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The tape" sheetId="2" state="visible" r:id="rId4"/>
    <sheet name="3. Assumptions" sheetId="3" state="visible" r:id="rId5"/>
    <sheet name="4. Rent cover" sheetId="4" state="visible" r:id="rId6"/>
    <sheet name="5. Decomposition" sheetId="5" state="visible" r:id="rId7"/>
    <sheet name="6. The ladder" sheetId="6" state="visible" r:id="rId8"/>
    <sheet name="7. Cash flow" sheetId="7" state="visible" r:id="rId9"/>
    <sheet name="8. Indexation" sheetId="8" state="visible" r:id="rId10"/>
    <sheet name="9. Solvers" sheetId="9" state="visible" r:id="rId11"/>
    <sheet name="10. Sensitivities" sheetId="10" state="visible" r:id="rId12"/>
    <sheet name="11. Inversions" sheetId="11" state="visible" r:id="rId13"/>
    <sheet name="12. Master lease" sheetId="12" state="visible" r:id="rId14"/>
    <sheet name="13. Credit, lender, seller" sheetId="13" state="visible" r:id="rId15"/>
    <sheet name="14. Scenario engine" sheetId="14" state="visible" r:id="rId16"/>
    <sheet name="15. Checks" sheetId="15" state="visible" r:id="rId1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<sst xmlns="http://schemas.openxmlformats.org/spreadsheetml/2006/main" count="738" uniqueCount="611">
  <si>
    <t xml:space="preserve">The Sale and Leaseback Model</t>
  </si>
  <si>
    <t xml:space="preserve">Companion workbook to Sale and Leaseback</t>
  </si>
  <si>
    <t xml:space="preserve">In a sale and leaseback the rent is not discovered. It is chosen by the seller, and the price falls out of it. This workbook is the model the whole book is computed from: nine buildings, two rent lines, and every figure the book prints.</t>
  </si>
  <si>
    <t xml:space="preserve">Overwrite the tape on sheet 2 with your own portfolio and everything downstream moves with it, including the checks on the last sheet.</t>
  </si>
  <si>
    <t xml:space="preserve">What it computes</t>
  </si>
  <si>
    <t xml:space="preserve">The two rents, the over-rent, and the price each produces at the deal yield.</t>
  </si>
  <si>
    <t xml:space="preserve">Rent cover on the group and on the entity that actually signs the lease.</t>
  </si>
  <si>
    <t xml:space="preserve">Net vacant possession value building by building, after void, capex and letting fees.</t>
  </si>
  <si>
    <t xml:space="preserve">The five-way decomposition of the price: bricks, costs avoided, signature premium, capitalised irrecoverable cost, over-rent — and the two subtotals that matter, property and exposure to one company.</t>
  </si>
  <si>
    <t xml:space="preserve">The recovery rate of each asset, and its rank against criticality.</t>
  </si>
  <si>
    <t xml:space="preserve">The ladder of risk premia from Chapter 9, the premium the price actually leaves, and every break-even: all found by formulas (sheet 9).</t>
  </si>
  <si>
    <t xml:space="preserve">The inputs to argue about</t>
  </si>
  <si>
    <t xml:space="preserve">The market rent per square metre, column D of sheet 2, on a yellow fill. It is the only external anchor in the transaction and the one number the seller did not set.</t>
  </si>
  <si>
    <t xml:space="preserve">The two risk premia on sheet 6. Set them both to zero and you are on the top rung of the ladder, where the deal is fairly priced for credit risk alone.</t>
  </si>
  <si>
    <t xml:space="preserve">Conventions</t>
  </si>
  <si>
    <t xml:space="preserve">Blue text on a pale blue fill — an input, you may edit these.</t>
  </si>
  <si>
    <t xml:space="preserve">Yellow fill — the carrying assumption of the sheet, the one to argue about first.</t>
  </si>
  <si>
    <t xml:space="preserve">Black text — a formula, do not overtype these.</t>
  </si>
  <si>
    <t xml:space="preserve">Nothing is locked, protected or watermarked. No macros, no external links.</t>
  </si>
  <si>
    <t xml:space="preserve">Sheet 8: indexation, the cap and the floor (Chapter 12). Sheet 10: the sensitivities of Chapter 20. Sheet 11: the inversions of Chapter 21.</t>
  </si>
  <si>
    <t xml:space="preserve">Sheet 12: the master lease and cherry-picking (Chapter 11). Sheet 13: the same cash flows read by a credit desk, a lender and the seller, and IFRS 16 (Chapters 4, 8, 16, 17 and 18). Sheet 14: the scenario engine.</t>
  </si>
  <si>
    <t xml:space="preserve">Sheet 15: 191 checks, every figure the book prints set against a live formula. The file ends ALL OK.</t>
  </si>
  <si>
    <t xml:space="preserve">Revised 24 September 2026. The first version pasted the recovery column, the residual, the four values of the ladder and the three premia as numbers: overwriting the tape moved the rent and nothing else. Every one is now a formula, and the break-evens and premia are solved by bisection on sheet 9. Chapter 12 discounted the cost of the cap at 3.85% whatever the inflation, which is the convention Chapter 20 calls wrong: with the rate moving with inflation, the cap costs 23.7 million at 4.5% (not 31.8), and 10.5 million weighted by the chance the tenant is still paying. Chapter 21 searched for the inflation that makes the price work only upwards from 2.2%: twenty years of deflation at 2.62% a year reaches it. Added: sheets 8 and 10 to 14.</t>
  </si>
  <si>
    <t xml:space="preserve">Nine buildings, one lease, one guarantor</t>
  </si>
  <si>
    <t xml:space="preserve">Overwrite every blue cell. Column D is the assumption to test first.</t>
  </si>
  <si>
    <t xml:space="preserve">Asset</t>
  </si>
  <si>
    <t xml:space="preserve">Type</t>
  </si>
  <si>
    <t xml:space="preserve">Area m²</t>
  </si>
  <si>
    <t xml:space="preserve">Market rent €/m²</t>
  </si>
  <si>
    <t xml:space="preserve">Passing rent €/m²</t>
  </si>
  <si>
    <t xml:space="preserve">VP €/m² (valuer)</t>
  </si>
  <si>
    <t xml:space="preserve">Criticality</t>
  </si>
  <si>
    <t xml:space="preserve">Void months</t>
  </si>
  <si>
    <t xml:space="preserve">Capex €/m²</t>
  </si>
  <si>
    <t xml:space="preserve">Depreciation</t>
  </si>
  <si>
    <t xml:space="preserve">Alkmaar processing plant</t>
  </si>
  <si>
    <t xml:space="preserve">Plant</t>
  </si>
  <si>
    <t xml:space="preserve">Roeselare cold store</t>
  </si>
  <si>
    <t xml:space="preserve">Cold store</t>
  </si>
  <si>
    <t xml:space="preserve">Zeebrugge warehouse</t>
  </si>
  <si>
    <t xml:space="preserve">Warehouse</t>
  </si>
  <si>
    <t xml:space="preserve">Venlo distribution centre</t>
  </si>
  <si>
    <t xml:space="preserve">Lyon processing plant</t>
  </si>
  <si>
    <t xml:space="preserve">Valencia packing hall</t>
  </si>
  <si>
    <t xml:space="preserve">Light ind.</t>
  </si>
  <si>
    <t xml:space="preserve">Wroclaw plant</t>
  </si>
  <si>
    <t xml:space="preserve">Hamburg head office</t>
  </si>
  <si>
    <t xml:space="preserve">Office</t>
  </si>
  <si>
    <t xml:space="preserve">Bristol depot</t>
  </si>
  <si>
    <t xml:space="preserve">Total</t>
  </si>
  <si>
    <t xml:space="preserve">Market rent, total</t>
  </si>
  <si>
    <t xml:space="preserve">Passing rent, total</t>
  </si>
  <si>
    <t xml:space="preserve">Over-rent</t>
  </si>
  <si>
    <t xml:space="preserve">Over-rent, per cent above market</t>
  </si>
  <si>
    <t xml:space="preserve">Every scalar input</t>
  </si>
  <si>
    <t xml:space="preserve">Assumption</t>
  </si>
  <si>
    <t xml:space="preserve">Value</t>
  </si>
  <si>
    <t xml:space="preserve">Note</t>
  </si>
  <si>
    <t xml:space="preserve">Deal yield</t>
  </si>
  <si>
    <t xml:space="preserve">Applied to the passing rent to make the price</t>
  </si>
  <si>
    <t xml:space="preserve">Re-letting yield</t>
  </si>
  <si>
    <t xml:space="preserve">A vacant building, unknown occupier</t>
  </si>
  <si>
    <t xml:space="preserve">Risk-free rate, 20 years</t>
  </si>
  <si>
    <t xml:space="preserve">Government curve</t>
  </si>
  <si>
    <t xml:space="preserve">Illiquidity premium</t>
  </si>
  <si>
    <t xml:space="preserve">⚠ Rent leg only. Contains NO default premium</t>
  </si>
  <si>
    <t xml:space="preserve">Property risk premium</t>
  </si>
  <si>
    <t xml:space="preserve">Recovery and residual legs</t>
  </si>
  <si>
    <t xml:space="preserve">Lease term, years</t>
  </si>
  <si>
    <t xml:space="preserve">Firm, no break</t>
  </si>
  <si>
    <t xml:space="preserve">Indexation cap</t>
  </si>
  <si>
    <t xml:space="preserve">Annual increase</t>
  </si>
  <si>
    <t xml:space="preserve">Indexation floor</t>
  </si>
  <si>
    <t xml:space="preserve">Inflation</t>
  </si>
  <si>
    <t xml:space="preserve">Nominal discount rates move with it</t>
  </si>
  <si>
    <t xml:space="preserve">Irrecoverable share of rent</t>
  </si>
  <si>
    <t xml:space="preserve">Acquisition costs</t>
  </si>
  <si>
    <t xml:space="preserve">Disposal costs</t>
  </si>
  <si>
    <t xml:space="preserve">Letting fees</t>
  </si>
  <si>
    <t xml:space="preserve">Of first year's rent</t>
  </si>
  <si>
    <t xml:space="preserve">Renewal at expiry</t>
  </si>
  <si>
    <t xml:space="preserve">Share renewed if the tenant survives</t>
  </si>
  <si>
    <t xml:space="preserve">Group profit before rent</t>
  </si>
  <si>
    <t xml:space="preserve">The teaser's denominator</t>
  </si>
  <si>
    <t xml:space="preserve">Guarantor profit before rent</t>
  </si>
  <si>
    <t xml:space="preserve">⚠ The only perimeter you can sue</t>
  </si>
  <si>
    <t xml:space="preserve">Group net debt</t>
  </si>
  <si>
    <t xml:space="preserve">Bond spread</t>
  </si>
  <si>
    <t xml:space="preserve">Traded, senior unsecured</t>
  </si>
  <si>
    <t xml:space="preserve">Bond recovery</t>
  </si>
  <si>
    <t xml:space="preserve">Marginal borrowing rate</t>
  </si>
  <si>
    <t xml:space="preserve">Also the tenant's discount rate</t>
  </si>
  <si>
    <t xml:space="preserve">Bank loan to value</t>
  </si>
  <si>
    <t xml:space="preserve">Bank interest cover</t>
  </si>
  <si>
    <t xml:space="preserve">Moving cost, years of rent</t>
  </si>
  <si>
    <t xml:space="preserve">Cherry-picking only</t>
  </si>
  <si>
    <t xml:space="preserve">Seller's cost of sale</t>
  </si>
  <si>
    <t xml:space="preserve">Seller's IRR and IFRS 16 (Chapter 17 and 18)</t>
  </si>
  <si>
    <t xml:space="preserve">Rent-leg discount rate</t>
  </si>
  <si>
    <t xml:space="preserve">Property-leg discount rate</t>
  </si>
  <si>
    <t xml:space="preserve">Depreciation by type</t>
  </si>
  <si>
    <t xml:space="preserve">The same rent, two denominators</t>
  </si>
  <si>
    <t xml:space="preserve">Perimeter</t>
  </si>
  <si>
    <t xml:space="preserve">Profit before rent</t>
  </si>
  <si>
    <t xml:space="preserve">Cover, passing</t>
  </si>
  <si>
    <t xml:space="preserve">Cover, market</t>
  </si>
  <si>
    <t xml:space="preserve">Claim?</t>
  </si>
  <si>
    <t xml:space="preserve">Group, as presented</t>
  </si>
  <si>
    <t xml:space="preserve">No</t>
  </si>
  <si>
    <t xml:space="preserve">Lease guarantor</t>
  </si>
  <si>
    <t xml:space="preserve">Yes</t>
  </si>
  <si>
    <t xml:space="preserve">Profit outside your recourse</t>
  </si>
  <si>
    <t xml:space="preserve">Cover read as a price ceiling</t>
  </si>
  <si>
    <t xml:space="preserve">Cover required on the guarantor</t>
  </si>
  <si>
    <t xml:space="preserve">Rent it supports</t>
  </si>
  <si>
    <t xml:space="preserve">Price at deal yield</t>
  </si>
  <si>
    <t xml:space="preserve">Vacant possession value, and what the price is made of</t>
  </si>
  <si>
    <t xml:space="preserve">Every column is a formula on sheet 2 and sheet 3. Bricks and costs avoided are property; the signature premium and the over-rent are exposure to one company.</t>
  </si>
  <si>
    <t xml:space="preserve">Market rent</t>
  </si>
  <si>
    <t xml:space="preserve">Gross at re-let yield</t>
  </si>
  <si>
    <t xml:space="preserve">Void</t>
  </si>
  <si>
    <t xml:space="preserve">Capex</t>
  </si>
  <si>
    <t xml:space="preserve">Fees</t>
  </si>
  <si>
    <t xml:space="preserve">Bricks (net VP)</t>
  </si>
  <si>
    <t xml:space="preserve">Price share</t>
  </si>
  <si>
    <t xml:space="preserve">Costs avoided</t>
  </si>
  <si>
    <t xml:space="preserve">Signature</t>
  </si>
  <si>
    <t xml:space="preserve">Non-recov.</t>
  </si>
  <si>
    <t xml:space="preserve">Bricks % of price</t>
  </si>
  <si>
    <t xml:space="preserve">Property (bricks + costs avoided)</t>
  </si>
  <si>
    <t xml:space="preserve">Exposure to one company</t>
  </si>
  <si>
    <t xml:space="preserve">Irrecoverable, capitalised</t>
  </si>
  <si>
    <t xml:space="preserve">Recovery rate, on total outlay</t>
  </si>
  <si>
    <t xml:space="preserve">Recovery</t>
  </si>
  <si>
    <t xml:space="preserve">Rank, criticality</t>
  </si>
  <si>
    <t xml:space="preserve">Rank, recovery</t>
  </si>
  <si>
    <t xml:space="preserve">Rank gap</t>
  </si>
  <si>
    <t xml:space="preserve">Spearman's rank correlation, criticality against recovery</t>
  </si>
  <si>
    <t xml:space="preserve">The two populations</t>
  </si>
  <si>
    <t xml:space="preserve">Group</t>
  </si>
  <si>
    <t xml:space="preserve">Share of price</t>
  </si>
  <si>
    <t xml:space="preserve">Recovery on outlay</t>
  </si>
  <si>
    <t xml:space="preserve">Criticality, price-weighted</t>
  </si>
  <si>
    <t xml:space="preserve">Assets</t>
  </si>
  <si>
    <t xml:space="preserve">Criticality at or above the threshold</t>
  </si>
  <si>
    <t xml:space="preserve">Below the threshold</t>
  </si>
  <si>
    <t xml:space="preserve">Threshold</t>
  </si>
  <si>
    <t xml:space="preserve">Recovery by year of default (Chapter 10), on total outlay</t>
  </si>
  <si>
    <t xml:space="preserve">Year 0</t>
  </si>
  <si>
    <t xml:space="preserve">Year 5</t>
  </si>
  <si>
    <t xml:space="preserve">Year 10</t>
  </si>
  <si>
    <t xml:space="preserve">Year 20</t>
  </si>
  <si>
    <t xml:space="preserve">Portfolio</t>
  </si>
  <si>
    <t xml:space="preserve">Zeebrugge, Venlo and Bristol: share of what comes back in year 20</t>
  </si>
  <si>
    <t xml:space="preserve">The buildings at each date (Chapter 13)</t>
  </si>
  <si>
    <t xml:space="preserve">Year</t>
  </si>
  <si>
    <t xml:space="preserve">Orderly ending</t>
  </si>
  <si>
    <t xml:space="preserve">Default at that date</t>
  </si>
  <si>
    <t xml:space="preserve">Difference</t>
  </si>
  <si>
    <t xml:space="preserve">Portfolio at an orderly ending, discounted to today at the property rate</t>
  </si>
  <si>
    <t xml:space="preserve">Two-column split: everything that is not bricks</t>
  </si>
  <si>
    <t xml:space="preserve">Deductions as a share of the gross value</t>
  </si>
  <si>
    <t xml:space="preserve">Net vacant possession value per m²</t>
  </si>
  <si>
    <t xml:space="preserve">Valuer's vacant possession value, and per m²</t>
  </si>
  <si>
    <t xml:space="preserve">The ladder of risk premia — Chapter 9</t>
  </si>
  <si>
    <t xml:space="preserve">⚠ The bond-implied default rate is a RISK-NEUTRAL hazard: it reproduces the bond's price when discounted at the risk-free rate. Adding a risk premium to the discount rate charges for the same credit risk twice. Start at the top rung — both premia zero — and add them one at a time.</t>
  </si>
  <si>
    <t xml:space="preserve">Discounting convention</t>
  </si>
  <si>
    <t xml:space="preserve">Property premium</t>
  </si>
  <si>
    <t xml:space="preserve">Rent-leg rate</t>
  </si>
  <si>
    <t xml:space="preserve">Property-leg rate</t>
  </si>
  <si>
    <t xml:space="preserve">vs price</t>
  </si>
  <si>
    <t xml:space="preserve">Break-even default</t>
  </si>
  <si>
    <t xml:space="preserve">Risk-free on both legs — the bond's own measure</t>
  </si>
  <si>
    <t xml:space="preserve">Plus illiquidity on the rent leg only</t>
  </si>
  <si>
    <t xml:space="preserve">Plus a modest property premium</t>
  </si>
  <si>
    <t xml:space="preserve">Plus the full property premium (base case)</t>
  </si>
  <si>
    <t xml:space="preserve">Column F is a live formula on the cash flow of sheet 7; column H and the premia below are found by the solvers on sheet 9.</t>
  </si>
  <si>
    <t xml:space="preserve">Risk premium the price leaves (available)</t>
  </si>
  <si>
    <t xml:space="preserve">Risk premium the base case requires</t>
  </si>
  <si>
    <t xml:space="preserve">Shortfall</t>
  </si>
  <si>
    <t xml:space="preserve">The same calculation run on the tenant's own bond</t>
  </si>
  <si>
    <t xml:space="preserve">⚠ Nil, which is what proves the quantity above is a residual and must NOT be compared with a gross bond spread.</t>
  </si>
  <si>
    <t xml:space="preserve">Base case: the single rate that reproduces the value</t>
  </si>
  <si>
    <t xml:space="preserve">Holding the property premium, illiquidity premium of</t>
  </si>
  <si>
    <t xml:space="preserve">Holding the property premium, no illiquidity premium</t>
  </si>
  <si>
    <t xml:space="preserve">Bond-implied default if a third of the spread is liquidity</t>
  </si>
  <si>
    <t xml:space="preserve">The hazard-rate cash flow, quarter by quarter</t>
  </si>
  <si>
    <t xml:space="preserve">Two discount factor columns, not one: the rent leg at the rent-leg rate, the recovery and residual at the property rate. Every column is a formula: overwrite the tape and the recovery, the residual and the value move with it.</t>
  </si>
  <si>
    <t xml:space="preserve">Annual default rate</t>
  </si>
  <si>
    <t xml:space="preserve">Quarterly</t>
  </si>
  <si>
    <t xml:space="preserve">Your own rate</t>
  </si>
  <si>
    <t xml:space="preserve">Leave G4 empty for the rate the bonds imply: spread over one less recovery (sheet 3).</t>
  </si>
  <si>
    <t xml:space="preserve">Quarter</t>
  </si>
  <si>
    <t xml:space="preserve">Survival</t>
  </si>
  <si>
    <t xml:space="preserve">Rent</t>
  </si>
  <si>
    <t xml:space="preserve">Recovery if default</t>
  </si>
  <si>
    <t xml:space="preserve">DF, rent leg</t>
  </si>
  <si>
    <t xml:space="preserve">DF, property leg</t>
  </si>
  <si>
    <t xml:space="preserve">PV</t>
  </si>
  <si>
    <t xml:space="preserve">Residual</t>
  </si>
  <si>
    <t xml:space="preserve">the buildings at expiry, 55% renewed at market, the rest re-let; net of disposal costs</t>
  </si>
  <si>
    <t xml:space="preserve">Present value</t>
  </si>
  <si>
    <t xml:space="preserve">Less acquisition costs</t>
  </si>
  <si>
    <t xml:space="preserve">Asking price</t>
  </si>
  <si>
    <t xml:space="preserve">Value against price</t>
  </si>
  <si>
    <t xml:space="preserve">Rent leg, present value</t>
  </si>
  <si>
    <t xml:space="preserve">Recovery leg, present value</t>
  </si>
  <si>
    <t xml:space="preserve">Residual leg, present value</t>
  </si>
  <si>
    <t xml:space="preserve">Survival to expiry</t>
  </si>
  <si>
    <t xml:space="preserve">Share of value: rent</t>
  </si>
  <si>
    <t xml:space="preserve">Share of value: recovery</t>
  </si>
  <si>
    <t xml:space="preserve">Share of value: residual</t>
  </si>
  <si>
    <t xml:space="preserve">Indexation: the cap, the floor and the threshold that matters (Chapter 12)</t>
  </si>
  <si>
    <t xml:space="preserve">Present value over the term at a constant rate of inflation. The discount rate moves with inflation, as Chapters 20 and 21 require; the first edition held it at 3.85%.</t>
  </si>
  <si>
    <t xml:space="preserve">Inflation, every year</t>
  </si>
  <si>
    <t xml:space="preserve">Last contractual rent</t>
  </si>
  <si>
    <t xml:space="preserve">Cost of the cap</t>
  </si>
  <si>
    <t xml:space="preserve">Value of the floor</t>
  </si>
  <si>
    <t xml:space="preserve">Cost of the cap, expected</t>
  </si>
  <si>
    <t xml:space="preserve">Value of the floor, expected</t>
  </si>
  <si>
    <t xml:space="preserve">Cost of the cap, rate held at 3.85% (first edition)</t>
  </si>
  <si>
    <t xml:space="preserve">Value of the floor, rate held (first edition)</t>
  </si>
  <si>
    <t xml:space="preserve">Cost of the cap at 4.5%, as a share of the asking price</t>
  </si>
  <si>
    <t xml:space="preserve">A 6% year capped at 3%: the permanent step down in the rent</t>
  </si>
  <si>
    <t xml:space="preserve">Expected: weighted by the probability that the tenant is still paying, at the bond-implied default rate. That is what the cap removes from the value of Chapter 14.</t>
  </si>
  <si>
    <t xml:space="preserve">Held at 3.85%: at 6% inflation a real discount rate of -2.1% a year. Chapter 20 includes that convention once, as the line that is wrong on purpose.</t>
  </si>
  <si>
    <t xml:space="preserve">Solvers: every rate the book backs out, found by bisection in formulas</t>
  </si>
  <si>
    <t xml:space="preserve">Sixty halvings each. Nothing here is typed: change the tape or an assumption and each result is found again.</t>
  </si>
  <si>
    <t xml:space="preserve">Break-even default, rung 1</t>
  </si>
  <si>
    <t xml:space="preserve">Break-even default, rung 2</t>
  </si>
  <si>
    <t xml:space="preserve">Break-even default, rung 3</t>
  </si>
  <si>
    <t xml:space="preserve">Break-even default, rung 4</t>
  </si>
  <si>
    <t xml:space="preserve">Break-even default, base case</t>
  </si>
  <si>
    <t xml:space="preserve">Risk premium the price leaves</t>
  </si>
  <si>
    <t xml:space="preserve">Single rate that gives the base value</t>
  </si>
  <si>
    <t xml:space="preserve">The same on the tenant's own bond</t>
  </si>
  <si>
    <t xml:space="preserve">The default rate at which the value equals the asking price</t>
  </si>
  <si>
    <t xml:space="preserve">At the rent-leg and property rates of sheet 3</t>
  </si>
  <si>
    <t xml:space="preserve">Both legs at the risk-free rate plus p, bond-implied default</t>
  </si>
  <si>
    <t xml:space="preserve">Both legs at one rate; the base case needs this much</t>
  </si>
  <si>
    <t xml:space="preserve">Five-year bond at the spread, 40% recovery, per 1 of face value</t>
  </si>
  <si>
    <t xml:space="preserve">Result</t>
  </si>
  <si>
    <t xml:space="preserve">Low</t>
  </si>
  <si>
    <t xml:space="preserve">High</t>
  </si>
  <si>
    <t xml:space="preserve">Mid</t>
  </si>
  <si>
    <t xml:space="preserve">f(mid)</t>
  </si>
  <si>
    <t xml:space="preserve">Sensitivities around the base case: Chapter 20</t>
  </si>
  <si>
    <t xml:space="preserve">Each line moves one assumption and holds everything else. The inflation lines move both discount rates with inflation, except the one labelled otherwise.</t>
  </si>
  <si>
    <t xml:space="preserve">Default rate multiplied by</t>
  </si>
  <si>
    <t xml:space="preserve">Inflation, high</t>
  </si>
  <si>
    <t xml:space="preserve">Inflation, low</t>
  </si>
  <si>
    <t xml:space="preserve">Re-letting yield, stressed</t>
  </si>
  <si>
    <t xml:space="preserve">Both discount rates, higher by</t>
  </si>
  <si>
    <t xml:space="preserve">Renewal at expiry, stressed</t>
  </si>
  <si>
    <t xml:space="preserve">Base case, at the bond-implied default rate</t>
  </si>
  <si>
    <t xml:space="preserve">Assumption moved</t>
  </si>
  <si>
    <t xml:space="preserve">Change</t>
  </si>
  <si>
    <t xml:space="preserve">%</t>
  </si>
  <si>
    <t xml:space="preserve">Rank</t>
  </si>
  <si>
    <t xml:space="preserve">Default rate, bond-implied to zero</t>
  </si>
  <si>
    <t xml:space="preserve">Default rate, bond-implied to the multiple above</t>
  </si>
  <si>
    <t xml:space="preserve">Inflation high, nominal rates held fixed (wrong on purpose)</t>
  </si>
  <si>
    <t xml:space="preserve">Re-letting yield, base to stressed</t>
  </si>
  <si>
    <t xml:space="preserve">Both discount rates higher</t>
  </si>
  <si>
    <t xml:space="preserve">Inflation, base to high (rates move)</t>
  </si>
  <si>
    <t xml:space="preserve">Renewal at expiry, base to stressed</t>
  </si>
  <si>
    <t xml:space="preserve">Inflation, base to low (rates move)</t>
  </si>
  <si>
    <t xml:space="preserve">Residual at the stressed renewal</t>
  </si>
  <si>
    <t xml:space="preserve">Market rent reached through the default rate: bonds widen to</t>
  </si>
  <si>
    <t xml:space="preserve">Implied default rate, and the value on today's tape</t>
  </si>
  <si>
    <t xml:space="preserve">What would have to be true: Chapter 21</t>
  </si>
  <si>
    <t xml:space="preserve">Hold the asking price and move one assumption alone until the model returns it. The inflation and re-letting yield searches are secant steps on sheet 14.</t>
  </si>
  <si>
    <t xml:space="preserve">Inflation search</t>
  </si>
  <si>
    <t xml:space="preserve">Upper bound tested</t>
  </si>
  <si>
    <t xml:space="preserve">Value at the upper bound</t>
  </si>
  <si>
    <t xml:space="preserve">Starting point 1 (deflation)</t>
  </si>
  <si>
    <t xml:space="preserve">Starting point 2</t>
  </si>
  <si>
    <t xml:space="preserve">Upper bound, inflation every year</t>
  </si>
  <si>
    <t xml:space="preserve">Re-letting yield search</t>
  </si>
  <si>
    <t xml:space="preserve">Starting point 1</t>
  </si>
  <si>
    <t xml:space="preserve">For the asking price to work…</t>
  </si>
  <si>
    <t xml:space="preserve">Assumed</t>
  </si>
  <si>
    <t xml:space="preserve">Required</t>
  </si>
  <si>
    <t xml:space="preserve">Reachable?</t>
  </si>
  <si>
    <t xml:space="preserve">Value at the required figure</t>
  </si>
  <si>
    <t xml:space="preserve">Annual default rate of the tenant</t>
  </si>
  <si>
    <t xml:space="preserve">Inflation, every year, for the whole lease</t>
  </si>
  <si>
    <t xml:space="preserve">Share of the portfolio renewed at expiry</t>
  </si>
  <si>
    <t xml:space="preserve">None: value at 100% renewal is</t>
  </si>
  <si>
    <t xml:space="preserve">Re-letting yield on a vacant building</t>
  </si>
  <si>
    <t xml:space="preserve">Residual if every building renews</t>
  </si>
  <si>
    <t xml:space="preserve">Rent-leg discount rate at the required inflation</t>
  </si>
  <si>
    <t xml:space="preserve">The master lease and cherry-picking (Chapter 11)</t>
  </si>
  <si>
    <t xml:space="preserve">Without cross-default, a tenant in restructuring keeps a building when leaving costs more than the over-rent it escapes. Appendix B gives the three formulas.</t>
  </si>
  <si>
    <t xml:space="preserve">Over-rent escaped</t>
  </si>
  <si>
    <t xml:space="preserve">Years to replicate</t>
  </si>
  <si>
    <t xml:space="preserve">Profit through the site</t>
  </si>
  <si>
    <t xml:space="preserve">Margin lost</t>
  </si>
  <si>
    <t xml:space="preserve">Moving cost</t>
  </si>
  <si>
    <t xml:space="preserve">Cost of leaving</t>
  </si>
  <si>
    <t xml:space="preserve">Decision</t>
  </si>
  <si>
    <t xml:space="preserve">Margin on the cost of leaving</t>
  </si>
  <si>
    <t xml:space="preserve">Loss to landlord if handed back</t>
  </si>
  <si>
    <t xml:space="preserve">At minus the range</t>
  </si>
  <si>
    <t xml:space="preserve">At plus the range</t>
  </si>
  <si>
    <t xml:space="preserve">Buildings handed back</t>
  </si>
  <si>
    <t xml:space="preserve">What the master lease is worth, at most</t>
  </si>
  <si>
    <t xml:space="preserve">As a share of the asking price</t>
  </si>
  <si>
    <t xml:space="preserve">Range applied to the cost of leaving, ±</t>
  </si>
  <si>
    <t xml:space="preserve">Range: buildings handed back, low and high</t>
  </si>
  <si>
    <t xml:space="preserve">Range: value of the master lease, low and high</t>
  </si>
  <si>
    <t xml:space="preserve">Alkmaar: trapped by a factor of (cost of leaving over over-rent escaped)</t>
  </si>
  <si>
    <t xml:space="preserve">The tenant discounts at its own borrowing rate (sheet 3, B23). The range moves the whole cost of leaving; the first model moved the moving cost only, with the same answer on this tape.</t>
  </si>
  <si>
    <t xml:space="preserve">The same cash flows read by a credit desk, a lender and the seller (Chapters 4, 8, 16, 17 and 18)</t>
  </si>
  <si>
    <t xml:space="preserve">Every rate is an internal rate of return on the quarterly flows in columns H to K, annualised.</t>
  </si>
  <si>
    <t xml:space="preserve">Over-rent slice (buyer)</t>
  </si>
  <si>
    <t xml:space="preserve">Seller, whole portfolio</t>
  </si>
  <si>
    <t xml:space="preserve">Seller, at a market rent</t>
  </si>
  <si>
    <t xml:space="preserve">Seller, the over-rent alone</t>
  </si>
  <si>
    <t xml:space="preserve">The over-rent slice (Chapter 8)</t>
  </si>
  <si>
    <t xml:space="preserve">Advance: the over-rent capitalised at the deal yield, net</t>
  </si>
  <si>
    <t xml:space="preserve">Nominal repayment over the term</t>
  </si>
  <si>
    <t xml:space="preserve">Cover, undiscounted</t>
  </si>
  <si>
    <t xml:space="preserve">All-in rate at which the stream repays the advance</t>
  </si>
  <si>
    <t xml:space="preserve">Spread over the twenty-year risk-free rate</t>
  </si>
  <si>
    <t xml:space="preserve">Against the tenant's bond spread</t>
  </si>
  <si>
    <t xml:space="preserve">Five-year rate below the twenty-year by</t>
  </si>
  <si>
    <t xml:space="preserve">Like-for-like gap to the bond</t>
  </si>
  <si>
    <t xml:space="preserve">What a lender will lend (Chapter 16)</t>
  </si>
  <si>
    <t xml:space="preserve">Loan to value on the vacant possession value</t>
  </si>
  <si>
    <t xml:space="preserve">Loan to value on the price paid</t>
  </si>
  <si>
    <t xml:space="preserve">Interest cover on the market rent</t>
  </si>
  <si>
    <t xml:space="preserve">Interest cover on the passing rent</t>
  </si>
  <si>
    <t xml:space="preserve">He lends the lowest of the two tests on market evidence</t>
  </si>
  <si>
    <t xml:space="preserve">As a share of the price</t>
  </si>
  <si>
    <t xml:space="preserve">Equity: total outlay less the loan</t>
  </si>
  <si>
    <t xml:space="preserve">Equity above what the buildings are worth</t>
  </si>
  <si>
    <t xml:space="preserve">The seller's cost of capital (Chapter 17)</t>
  </si>
  <si>
    <t xml:space="preserve">Sale and leaseback, whole portfolio</t>
  </si>
  <si>
    <t xml:space="preserve">At a market rent</t>
  </si>
  <si>
    <t xml:space="preserve">The over-rent slice alone</t>
  </si>
  <si>
    <t xml:space="preserve">Above bank debt</t>
  </si>
  <si>
    <t xml:space="preserve">Above the bonds (risk-free plus spread)</t>
  </si>
  <si>
    <t xml:space="preserve">The buildings given up at expiry, vacant possession value, no costs</t>
  </si>
  <si>
    <t xml:space="preserve">Did anybody deleverage? (Chapter 18)</t>
  </si>
  <si>
    <t xml:space="preserve">Net proceeds to the seller</t>
  </si>
  <si>
    <t xml:space="preserve">Net financial debt after</t>
  </si>
  <si>
    <t xml:space="preserve">Lease liability at the incremental borrowing rate</t>
  </si>
  <si>
    <t xml:space="preserve">Total obligations after</t>
  </si>
  <si>
    <t xml:space="preserve">Reduction in total obligations</t>
  </si>
  <si>
    <t xml:space="preserve">As a share of the proceeds</t>
  </si>
  <si>
    <t xml:space="preserve">Leverage before: net debt over profit before rent</t>
  </si>
  <si>
    <t xml:space="preserve">After, same basis: total obligations over profit before rent</t>
  </si>
  <si>
    <t xml:space="preserve">After, as presented: financial debt over profit after rent</t>
  </si>
  <si>
    <t xml:space="preserve">Lease liability at an alternative rate of</t>
  </si>
  <si>
    <t xml:space="preserve">Lease liability at that rate</t>
  </si>
  <si>
    <t xml:space="preserve">Nominal rent over the term</t>
  </si>
  <si>
    <t xml:space="preserve">Rent cover on a flat profit (Chapter 4)</t>
  </si>
  <si>
    <t xml:space="preserve">Guarantor cover in year 10, profit flat in nominal terms</t>
  </si>
  <si>
    <t xml:space="preserve">Guarantor cover on the last contractual rent</t>
  </si>
  <si>
    <t xml:space="preserve">The scenario engine: the whole cash flow again, once per scenario</t>
  </si>
  <si>
    <t xml:space="preserve">Each pair of columns is sheet 7 with its own default rate, inflation, re-letting yield, renewal and discount rates. Sheets 10 and 11 read the values in row 11.</t>
  </si>
  <si>
    <t xml:space="preserve">Base case</t>
  </si>
  <si>
    <t xml:space="preserve">Inflation high, rates move</t>
  </si>
  <si>
    <t xml:space="preserve">Inflation low, rates move</t>
  </si>
  <si>
    <t xml:space="preserve">Inflation high, rates fixed</t>
  </si>
  <si>
    <t xml:space="preserve">Re-letting yield stressed</t>
  </si>
  <si>
    <t xml:space="preserve">Inflation at the upper bound</t>
  </si>
  <si>
    <t xml:space="preserve">Inflation, step 0</t>
  </si>
  <si>
    <t xml:space="preserve">Inflation, step 1</t>
  </si>
  <si>
    <t xml:space="preserve">Inflation, step 2</t>
  </si>
  <si>
    <t xml:space="preserve">Inflation, step 3</t>
  </si>
  <si>
    <t xml:space="preserve">Inflation, step 4</t>
  </si>
  <si>
    <t xml:space="preserve">Inflation, step 5</t>
  </si>
  <si>
    <t xml:space="preserve">Inflation, step 6</t>
  </si>
  <si>
    <t xml:space="preserve">Inflation, step 7</t>
  </si>
  <si>
    <t xml:space="preserve">Inflation, step 8</t>
  </si>
  <si>
    <t xml:space="preserve">Inflation, step 9</t>
  </si>
  <si>
    <t xml:space="preserve">Re-letting yield, step 0</t>
  </si>
  <si>
    <t xml:space="preserve">Re-letting yield, step 1</t>
  </si>
  <si>
    <t xml:space="preserve">Re-letting yield, step 2</t>
  </si>
  <si>
    <t xml:space="preserve">Re-letting yield, step 3</t>
  </si>
  <si>
    <t xml:space="preserve">Re-letting yield, step 4</t>
  </si>
  <si>
    <t xml:space="preserve">Re-letting yield, step 5</t>
  </si>
  <si>
    <t xml:space="preserve">Re-letting yield, step 6</t>
  </si>
  <si>
    <t xml:space="preserve">Re-letting yield, step 7</t>
  </si>
  <si>
    <t xml:space="preserve">Re-letting yield, step 8</t>
  </si>
  <si>
    <t xml:space="preserve">Re-letting yield, step 9</t>
  </si>
  <si>
    <t xml:space="preserve">Value less asking price</t>
  </si>
  <si>
    <t xml:space="preserve">Checks: every figure the book prints, against what this workbook computes</t>
  </si>
  <si>
    <t xml:space="preserve">Every figure the book prints, recomputed by a live formula and set against the printed value. The rows without a book figure hold for any inputs.</t>
  </si>
  <si>
    <t xml:space="preserve">Check</t>
  </si>
  <si>
    <t xml:space="preserve">The book</t>
  </si>
  <si>
    <t xml:space="preserve">This file</t>
  </si>
  <si>
    <t xml:space="preserve">Status</t>
  </si>
  <si>
    <t xml:space="preserve">Chapter 2: total area, m²</t>
  </si>
  <si>
    <t xml:space="preserve">Chapter 2: market rent</t>
  </si>
  <si>
    <t xml:space="preserve">Chapter 2: passing rent</t>
  </si>
  <si>
    <t xml:space="preserve">Chapter 3: over-rent a year</t>
  </si>
  <si>
    <t xml:space="preserve">Chapter 1: over-rent, per cent above market</t>
  </si>
  <si>
    <t xml:space="preserve">Chapter 1: asking price, passing rent at the deal yield</t>
  </si>
  <si>
    <t xml:space="preserve">Chapter 1: the same buildings at market rent</t>
  </si>
  <si>
    <t xml:space="preserve">Chapter 3: over-rent capitalised at the deal yield</t>
  </si>
  <si>
    <t xml:space="preserve">Introduction: price per euro of rent</t>
  </si>
  <si>
    <t xml:space="preserve">Chapter 1: over-rent at a 5.50% yield</t>
  </si>
  <si>
    <t xml:space="preserve">Chapter 4: rent cover, group</t>
  </si>
  <si>
    <t xml:space="preserve">Chapter 4: rent cover, guarantor</t>
  </si>
  <si>
    <t xml:space="preserve">Chapter 4: guarantor cover on the market rent</t>
  </si>
  <si>
    <t xml:space="preserve">Chapter 4: profit outside recourse, share of the headline</t>
  </si>
  <si>
    <t xml:space="preserve">Chapter 4: price at 2.00x cover on the guarantor</t>
  </si>
  <si>
    <t xml:space="preserve">Chapter 4: flat profit, guarantor cover in year 10</t>
  </si>
  <si>
    <t xml:space="preserve">Chapter 4: flat profit, cover on the last contractual rent</t>
  </si>
  <si>
    <t xml:space="preserve">Chapter 5: gross vacant possession value</t>
  </si>
  <si>
    <t xml:space="preserve">Chapter 5: void</t>
  </si>
  <si>
    <t xml:space="preserve">Chapter 5: capital expenditure</t>
  </si>
  <si>
    <t xml:space="preserve">Chapter 5: letting fees</t>
  </si>
  <si>
    <t xml:space="preserve">Chapter 5: net vacant possession value (bricks)</t>
  </si>
  <si>
    <t xml:space="preserve">Chapter 5: deductions as a share of the gross</t>
  </si>
  <si>
    <t xml:space="preserve">Chapter 5: net value per m²</t>
  </si>
  <si>
    <t xml:space="preserve">Chapter 5: the valuer's vacant possession value</t>
  </si>
  <si>
    <t xml:space="preserve">Chapter 5: the valuer's figure per m²</t>
  </si>
  <si>
    <t xml:space="preserve">Chapter 6: costs avoided</t>
  </si>
  <si>
    <t xml:space="preserve">Chapter 6: signature premium</t>
  </si>
  <si>
    <t xml:space="preserve">Chapter 6: irrecoverable cost, capitalised</t>
  </si>
  <si>
    <t xml:space="preserve">Chapter 6: over-rent slice</t>
  </si>
  <si>
    <t xml:space="preserve">Chapter 6: bricks, share of price</t>
  </si>
  <si>
    <t xml:space="preserve">Chapter 6: costs avoided, share</t>
  </si>
  <si>
    <t xml:space="preserve">Chapter 6: signature premium, share</t>
  </si>
  <si>
    <t xml:space="preserve">Chapter 6: over-rent, share</t>
  </si>
  <si>
    <t xml:space="preserve">Chapter 6: property (bricks plus costs avoided)</t>
  </si>
  <si>
    <t xml:space="preserve">Chapter 6: exposure to one company</t>
  </si>
  <si>
    <t xml:space="preserve">Chapter 6: the two-column split, everything but bricks</t>
  </si>
  <si>
    <t xml:space="preserve">Chapter 6: the same, share of price</t>
  </si>
  <si>
    <t xml:space="preserve">Chapter 6: Bristol, bricks as % of price</t>
  </si>
  <si>
    <t xml:space="preserve">Chapter 6: Venlo</t>
  </si>
  <si>
    <t xml:space="preserve">Chapter 6: Wroclaw</t>
  </si>
  <si>
    <t xml:space="preserve">Chapter 6: Lyon</t>
  </si>
  <si>
    <t xml:space="preserve">The five components add to the price exactly</t>
  </si>
  <si>
    <t xml:space="preserve">any inputs</t>
  </si>
  <si>
    <t xml:space="preserve">Chapter 7: Spearman's rank correlation</t>
  </si>
  <si>
    <t xml:space="preserve">Chapter 7: specialised assets, bricks as share of price</t>
  </si>
  <si>
    <t xml:space="preserve">Chapter 7: the other five</t>
  </si>
  <si>
    <t xml:space="preserve">Chapter 7: specialised, recovery on outlay</t>
  </si>
  <si>
    <t xml:space="preserve">Chapter 7: the other five, recovery</t>
  </si>
  <si>
    <t xml:space="preserve">Chapter 7: Wroclaw recovery</t>
  </si>
  <si>
    <t xml:space="preserve">Chapter 7: Bristol recovery</t>
  </si>
  <si>
    <t xml:space="preserve">Chapter 20: specialised share of the price</t>
  </si>
  <si>
    <t xml:space="preserve">Chapter 23: criticality, specialised (price-weighted)</t>
  </si>
  <si>
    <t xml:space="preserve">Chapter 23: criticality, the other five</t>
  </si>
  <si>
    <t xml:space="preserve">Chapter 8: implied spread on the over-rent slice</t>
  </si>
  <si>
    <t xml:space="preserve">269 basis points</t>
  </si>
  <si>
    <t xml:space="preserve">Chapter 8: all-in rate</t>
  </si>
  <si>
    <t xml:space="preserve">Chapter 8: against the bond's 385 basis points</t>
  </si>
  <si>
    <t xml:space="preserve">Chapter 8: like for like, five-year rate 30 bp lower</t>
  </si>
  <si>
    <t xml:space="preserve">Chapter 3: nominal over-rent over twenty years</t>
  </si>
  <si>
    <t xml:space="preserve">Chapter 3: undiscounted cover</t>
  </si>
  <si>
    <t xml:space="preserve">Chapter 8: recovery on the whole position</t>
  </si>
  <si>
    <t xml:space="preserve">Chapter 9, ladder rung 1: value</t>
  </si>
  <si>
    <t xml:space="preserve">Chapter 9, ladder rung 1: break-even default</t>
  </si>
  <si>
    <t xml:space="preserve">Chapter 9, ladder rung 2: value</t>
  </si>
  <si>
    <t xml:space="preserve">Chapter 9, ladder rung 2: break-even default</t>
  </si>
  <si>
    <t xml:space="preserve">Chapter 9, ladder rung 3: value</t>
  </si>
  <si>
    <t xml:space="preserve">Chapter 9, ladder rung 3: break-even default</t>
  </si>
  <si>
    <t xml:space="preserve">Chapter 9, ladder rung 4: value</t>
  </si>
  <si>
    <t xml:space="preserve">Chapter 9, ladder rung 4: break-even default</t>
  </si>
  <si>
    <t xml:space="preserve">Chapter 9: risk premium the price leaves</t>
  </si>
  <si>
    <t xml:space="preserve">36 basis points</t>
  </si>
  <si>
    <t xml:space="preserve">Chapter 9: premium the base case requires</t>
  </si>
  <si>
    <t xml:space="preserve">241 basis points</t>
  </si>
  <si>
    <t xml:space="preserve">Chapter 9: shortfall</t>
  </si>
  <si>
    <t xml:space="preserve">205 basis points</t>
  </si>
  <si>
    <t xml:space="preserve">Chapter 9: the same calculation on the tenant's bond</t>
  </si>
  <si>
    <t xml:space="preserve">-18 basis points</t>
  </si>
  <si>
    <t xml:space="preserve">Chapter 9: blended rate of the base case</t>
  </si>
  <si>
    <t xml:space="preserve">Chapter 9: illiquidity 75 bp, property premium held</t>
  </si>
  <si>
    <t xml:space="preserve">Chapter 9: no illiquidity premium</t>
  </si>
  <si>
    <t xml:space="preserve">Chapter 9: hazard with a third of the spread as liquidity</t>
  </si>
  <si>
    <t xml:space="preserve">Every solver on sheet 9 converged inside its range</t>
  </si>
  <si>
    <t xml:space="preserve">Chapter 10: portfolio recovery at the start</t>
  </si>
  <si>
    <t xml:space="preserve">Chapter 10: at expiry</t>
  </si>
  <si>
    <t xml:space="preserve">Chapter 10: Wroclaw in year 20</t>
  </si>
  <si>
    <t xml:space="preserve">Chapter 10: Bristol in year 20</t>
  </si>
  <si>
    <t xml:space="preserve">Chapter 10: Lyon in year 20</t>
  </si>
  <si>
    <t xml:space="preserve">Chapter 10: the three distribution assets are the majority of recovery in year 20</t>
  </si>
  <si>
    <t xml:space="preserve">Chapter 10: their share of the area</t>
  </si>
  <si>
    <t xml:space="preserve">Chapter 10: defaults within five years, share of all paths</t>
  </si>
  <si>
    <t xml:space="preserve">38% of the defaults that happen during the lease</t>
  </si>
  <si>
    <t xml:space="preserve">Chapter 11: buildings handed back without a master lease</t>
  </si>
  <si>
    <t xml:space="preserve">Chapter 11: what the master lease is worth, at most</t>
  </si>
  <si>
    <t xml:space="preserve">Chapter 11: as a share of the price</t>
  </si>
  <si>
    <t xml:space="preserve">Chapter 11: top of the range</t>
  </si>
  <si>
    <t xml:space="preserve">Chapter 11: buildings handed back, top of the range</t>
  </si>
  <si>
    <t xml:space="preserve">Chapter 11: Alkmaar, margin lost while replicating</t>
  </si>
  <si>
    <t xml:space="preserve">Chapter 11: Alkmaar, profit through the site a year</t>
  </si>
  <si>
    <t xml:space="preserve">Chapter 11: Alkmaar trapped by a factor of</t>
  </si>
  <si>
    <t xml:space="preserve">Chapter 11: Venlo and Valencia within 2% of the flip</t>
  </si>
  <si>
    <t xml:space="preserve">Chapter 12: last contractual rent at 2.2% inflation</t>
  </si>
  <si>
    <t xml:space="preserve">Chapter 12: at 1.0%</t>
  </si>
  <si>
    <t xml:space="preserve">Chapter 12: at 3.0% and above</t>
  </si>
  <si>
    <t xml:space="preserve">Chapter 12, first edition convention (rate held at 3.85%): cost of the cap at 4.5%</t>
  </si>
  <si>
    <t xml:space="preserve">reproduces the printed figure on the convention the book printed it on</t>
  </si>
  <si>
    <t xml:space="preserve">Chapter 12, first edition convention: at 6.0%</t>
  </si>
  <si>
    <t xml:space="preserve">Chapter 12, first edition convention: floor at -1.0%</t>
  </si>
  <si>
    <t xml:space="preserve">Chapter 12, revised: cost of the cap at 4.5%, rate moving with inflation</t>
  </si>
  <si>
    <t xml:space="preserve">the first edition printed 31.8 million</t>
  </si>
  <si>
    <t xml:space="preserve">Chapter 12, revised: at 4.0%</t>
  </si>
  <si>
    <t xml:space="preserve">first edition 20.6</t>
  </si>
  <si>
    <t xml:space="preserve">Chapter 12, revised: at 5.0%</t>
  </si>
  <si>
    <t xml:space="preserve">first edition 43.7</t>
  </si>
  <si>
    <t xml:space="preserve">Chapter 12, revised: at 6.0%</t>
  </si>
  <si>
    <t xml:space="preserve">first edition 69.7</t>
  </si>
  <si>
    <t xml:space="preserve">Chapter 12, revised: floor at -1.0%</t>
  </si>
  <si>
    <t xml:space="preserve">first edition 13.1</t>
  </si>
  <si>
    <t xml:space="preserve">Chapter 12, revised: cost of the cap at 4.5%, expected at the bond-implied default rate</t>
  </si>
  <si>
    <t xml:space="preserve">new: what the cap removes from the value of Chapter 14</t>
  </si>
  <si>
    <t xml:space="preserve">Chapter 12, revised: cost of the cap at 4.5%, share of the price</t>
  </si>
  <si>
    <t xml:space="preserve">first edition 17.7%</t>
  </si>
  <si>
    <t xml:space="preserve">Chapter 12: a 6% year capped at 3%, the step down</t>
  </si>
  <si>
    <t xml:space="preserve">Chapter 12: the cap costs nothing at or below 3.0%</t>
  </si>
  <si>
    <t xml:space="preserve">Chapter 13: orderly ending, year 0</t>
  </si>
  <si>
    <t xml:space="preserve">Chapter 13: default, year 0</t>
  </si>
  <si>
    <t xml:space="preserve">Chapter 13: orderly ending, year 20</t>
  </si>
  <si>
    <t xml:space="preserve">Chapter 13: default, year 20</t>
  </si>
  <si>
    <t xml:space="preserve">Chapter 13: what a surviving tenant is worth at expiry</t>
  </si>
  <si>
    <t xml:space="preserve">Chapter 13: the orderly ending, discounted to today</t>
  </si>
  <si>
    <t xml:space="preserve">Chapter 13: as a share of total outlay</t>
  </si>
  <si>
    <t xml:space="preserve">Chapter 13: removing the renewal assumption</t>
  </si>
  <si>
    <t xml:space="preserve">Chapter 13: survival to expiry at the bond rate</t>
  </si>
  <si>
    <t xml:space="preserve">Chapter 14: quarterly default probability</t>
  </si>
  <si>
    <t xml:space="preserve">Chapter 14: value at a 0.00% default rate</t>
  </si>
  <si>
    <t xml:space="preserve">Chapter 14: at 1.00%</t>
  </si>
  <si>
    <t xml:space="preserve">Chapter 14: at 5.00%</t>
  </si>
  <si>
    <t xml:space="preserve">Chapter 14: at the bond-implied 6.42%</t>
  </si>
  <si>
    <t xml:space="preserve">Chapter 14: at 9.00%</t>
  </si>
  <si>
    <t xml:space="preserve">Chapter 14: at 13.00%</t>
  </si>
  <si>
    <t xml:space="preserve">Chapter 14: at the break-even rate, the asking price</t>
  </si>
  <si>
    <t xml:space="preserve">Chapter 15: rent leg</t>
  </si>
  <si>
    <t xml:space="preserve">Chapter 15: recovery leg</t>
  </si>
  <si>
    <t xml:space="preserve">Chapter 15: residual leg</t>
  </si>
  <si>
    <t xml:space="preserve">Chapter 15: total before acquisition costs</t>
  </si>
  <si>
    <t xml:space="preserve">Chapter 15: rent share</t>
  </si>
  <si>
    <t xml:space="preserve">Chapter 15: recovery share</t>
  </si>
  <si>
    <t xml:space="preserve">Chapter 15: residual share</t>
  </si>
  <si>
    <t xml:space="preserve">Chapter 16: loan to value on the vacant possession value</t>
  </si>
  <si>
    <t xml:space="preserve">Chapter 16: on the price paid</t>
  </si>
  <si>
    <t xml:space="preserve">Chapter 16: interest cover on the market rent</t>
  </si>
  <si>
    <t xml:space="preserve">Chapter 16: on the passing rent</t>
  </si>
  <si>
    <t xml:space="preserve">Chapter 16: share of the price</t>
  </si>
  <si>
    <t xml:space="preserve">Chapter 16: equity cheque</t>
  </si>
  <si>
    <t xml:space="preserve">Chapter 16: equity above the bricks</t>
  </si>
  <si>
    <t xml:space="preserve">Chapter 17: seller's cost, whole portfolio</t>
  </si>
  <si>
    <t xml:space="preserve">Chapter 17: at a market rent</t>
  </si>
  <si>
    <t xml:space="preserve">Chapter 17: the over-rent slice alone</t>
  </si>
  <si>
    <t xml:space="preserve">Chapter 17: above the bank</t>
  </si>
  <si>
    <t xml:space="preserve">Chapter 17: above the bonds</t>
  </si>
  <si>
    <t xml:space="preserve">Chapter 17: buildings given up at expiry</t>
  </si>
  <si>
    <t xml:space="preserve">Chapters 8 and 17: the buyer and the seller see the same rate on the slice</t>
  </si>
  <si>
    <t xml:space="preserve">Chapter 18: net proceeds</t>
  </si>
  <si>
    <t xml:space="preserve">Chapter 18: net financial debt after</t>
  </si>
  <si>
    <t xml:space="preserve">Chapter 18: lease liability</t>
  </si>
  <si>
    <t xml:space="preserve">Chapter 18: total obligations after</t>
  </si>
  <si>
    <t xml:space="preserve">Chapter 18: reduction</t>
  </si>
  <si>
    <t xml:space="preserve">Chapter 18: as a share of proceeds</t>
  </si>
  <si>
    <t xml:space="preserve">Chapter 18: leverage before</t>
  </si>
  <si>
    <t xml:space="preserve">Chapter 18: after, same basis</t>
  </si>
  <si>
    <t xml:space="preserve">Chapter 18: after, as presented</t>
  </si>
  <si>
    <t xml:space="preserve">Chapter 18: lease liability at 6.50%</t>
  </si>
  <si>
    <t xml:space="preserve">Chapter 18: nominal rent over the term</t>
  </si>
  <si>
    <t xml:space="preserve">Chapter 19: the buildings returned in year five</t>
  </si>
  <si>
    <t xml:space="preserve">Chapter 19: in year six</t>
  </si>
  <si>
    <t xml:space="preserve">Chapter 19: one month of rent deposit</t>
  </si>
  <si>
    <t xml:space="preserve">Chapter 20: default to zero</t>
  </si>
  <si>
    <t xml:space="preserve">change +66.6 million</t>
  </si>
  <si>
    <t xml:space="preserve">Chapter 20: default doubled to 12.83%</t>
  </si>
  <si>
    <t xml:space="preserve">change -30.6 million</t>
  </si>
  <si>
    <t xml:space="preserve">Chapter 20: inflation 3.50%, rates held fixed</t>
  </si>
  <si>
    <t xml:space="preserve">change +10.7 million</t>
  </si>
  <si>
    <t xml:space="preserve">Chapter 20: re-letting yield 9.75%</t>
  </si>
  <si>
    <t xml:space="preserve">change -7.0 million</t>
  </si>
  <si>
    <t xml:space="preserve">Chapter 20: both rates +0.50%</t>
  </si>
  <si>
    <t xml:space="preserve">change -5.4 million</t>
  </si>
  <si>
    <t xml:space="preserve">Chapter 20: inflation 3.50%</t>
  </si>
  <si>
    <t xml:space="preserve">change -4.1 million</t>
  </si>
  <si>
    <t xml:space="preserve">Chapter 20: renewal to none</t>
  </si>
  <si>
    <t xml:space="preserve">change -1.2 million</t>
  </si>
  <si>
    <t xml:space="preserve">Chapter 20: inflation 1.00%</t>
  </si>
  <si>
    <t xml:space="preserve">change +0.5 million</t>
  </si>
  <si>
    <t xml:space="preserve">Chapter 20: the two default-rate lines are the two largest</t>
  </si>
  <si>
    <t xml:space="preserve">Chapter 20: bid, gross initial yield</t>
  </si>
  <si>
    <t xml:space="preserve">Chapter 20: bid, net initial yield</t>
  </si>
  <si>
    <t xml:space="preserve">Chapter 20: spread between the three routes</t>
  </si>
  <si>
    <t xml:space="preserve">Chapter 20: cover route at 1.90x</t>
  </si>
  <si>
    <t xml:space="preserve">Chapter 20: cover route at 2.10x</t>
  </si>
  <si>
    <t xml:space="preserve">Chapter 21: default rate the price requires</t>
  </si>
  <si>
    <t xml:space="preserve">Chapter 21: re-letting yield the price requires</t>
  </si>
  <si>
    <t xml:space="preserve">Chapter 21, revised: inflation the price requires</t>
  </si>
  <si>
    <t xml:space="preserve">the first edition said "No — at any value": its search started at 2.2% and went up</t>
  </si>
  <si>
    <t xml:space="preserve">Chapter 21: no inflation from 2.2% up to the upper bound reaches the price</t>
  </si>
  <si>
    <t xml:space="preserve">Chapter 21: no renewal assumption reaches the price</t>
  </si>
  <si>
    <t xml:space="preserve">Chapter 21: the inflation and yield searches return the asking price</t>
  </si>
  <si>
    <t xml:space="preserve">Chapter 22: bonds at 600 bp, implied default</t>
  </si>
  <si>
    <t xml:space="preserve">Chapter 22: the value on the same tape</t>
  </si>
  <si>
    <t xml:space="preserve">Chapter 22: the move</t>
  </si>
  <si>
    <t xml:space="preserve">Chapter 22: market rents at 4.0%, the gap closes a year by</t>
  </si>
  <si>
    <t xml:space="preserve">Appendix D: yield net of the irrecoverable share</t>
  </si>
  <si>
    <t xml:space="preserve">Appendix D: net initial yield</t>
  </si>
  <si>
    <t xml:space="preserve">The scenario engine, base block, equals sheet 7</t>
  </si>
  <si>
    <t xml:space="preserve">Ladder rung 4 at the base premia equals the base value</t>
  </si>
  <si>
    <t xml:space="preserve">The cash flow has 80 quarters: the lease term on sheet 3 must be 20</t>
  </si>
  <si>
    <t xml:space="preserve">No building has a negative vacant value at the start</t>
  </si>
  <si>
    <t xml:space="preserve">All checks</t>
  </si>
</sst>
</file>

<file path=xl/styles.xml><?xml version="1.0" encoding="utf-8"?>
<styleSheet xmlns="http://schemas.openxmlformats.org/spreadsheetml/2006/main">
  <numFmts count="13">
    <numFmt numFmtId="164" formatCode="General"/>
    <numFmt numFmtId="165" formatCode="#,##0"/>
    <numFmt numFmtId="166" formatCode="#,##0.00"/>
    <numFmt numFmtId="167" formatCode="0.00"/>
    <numFmt numFmtId="168" formatCode="0"/>
    <numFmt numFmtId="169" formatCode="0.0%"/>
    <numFmt numFmtId="170" formatCode="0.00%"/>
    <numFmt numFmtId="171" formatCode="0.00\x"/>
    <numFmt numFmtId="172" formatCode="0.0000"/>
    <numFmt numFmtId="173" formatCode="0.0000%"/>
    <numFmt numFmtId="174" formatCode="0.000000%"/>
    <numFmt numFmtId="175" formatCode="0%"/>
    <numFmt numFmtId="176" formatCode="0.0"/>
  </numFmts>
  <fonts count="17">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
      <b val="true"/>
      <sz val="11"/>
      <color rgb="FF1F4E79"/>
      <name val="Cambria"/>
      <family val="0"/>
      <charset val="1"/>
    </font>
    <font>
      <sz val="11"/>
      <color rgb="FF1F4E79"/>
      <name val="Calibri"/>
      <family val="0"/>
      <charset val="1"/>
    </font>
    <font>
      <sz val="9"/>
      <color rgb="FF555555"/>
      <name val="Calibri"/>
      <family val="0"/>
      <charset val="1"/>
    </font>
    <font>
      <b val="true"/>
      <sz val="11"/>
      <name val="Calibri"/>
      <family val="0"/>
      <charset val="1"/>
    </font>
    <font>
      <b val="true"/>
      <sz val="11"/>
      <color rgb="FF1F4E79"/>
      <name val="Calibri"/>
      <family val="0"/>
      <charset val="1"/>
    </font>
    <font>
      <b val="true"/>
      <sz val="13"/>
      <color rgb="FF1F3864"/>
      <name val="Calibri"/>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3">
    <border diagonalUp="false" diagonalDown="false">
      <left/>
      <right/>
      <top/>
      <bottom/>
      <diagonal/>
    </border>
    <border diagonalUp="false" diagonalDown="false">
      <left/>
      <right/>
      <top/>
      <bottom style="thin">
        <color rgb="FFAAAAAA"/>
      </botto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1" fillId="3"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8" fontId="10"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0" fontId="10" fillId="2" borderId="0" xfId="0" applyFont="true" applyBorder="false" applyAlignment="false" applyProtection="false">
      <alignment horizontal="general" vertical="bottom" textRotation="0" wrapText="false" indent="0" shrinkToFit="false"/>
      <protection locked="true" hidden="false"/>
    </xf>
    <xf numFmtId="170" fontId="11" fillId="3"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0" fontId="12"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1" fontId="10" fillId="2" borderId="0" xfId="0" applyFont="true" applyBorder="false" applyAlignment="false" applyProtection="false">
      <alignment horizontal="general" vertical="bottom"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bottom"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12" fillId="2"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15" fillId="3"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9" fontId="12" fillId="2" borderId="0" xfId="0" applyFont="true" applyBorder="false" applyAlignment="false" applyProtection="false">
      <alignment horizontal="general" vertical="bottom" textRotation="0" wrapText="false" indent="0" shrinkToFit="false"/>
      <protection locked="true" hidden="false"/>
    </xf>
    <xf numFmtId="173" fontId="14"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75" fontId="12"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39"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15" hidden="false" customHeight="true" outlineLevel="0" collapsed="false">
      <c r="A9" s="3" t="s">
        <v>6</v>
      </c>
    </row>
    <row r="10" customFormat="false" ht="15" hidden="false" customHeight="true" outlineLevel="0" collapsed="false">
      <c r="A10" s="3" t="s">
        <v>7</v>
      </c>
    </row>
    <row r="11" customFormat="false" ht="25.5" hidden="false" customHeight="true" outlineLevel="0" collapsed="false">
      <c r="A11" s="3" t="s">
        <v>8</v>
      </c>
    </row>
    <row r="12" customFormat="false" ht="15" hidden="false" customHeight="true" outlineLevel="0" collapsed="false">
      <c r="A12" s="3" t="s">
        <v>9</v>
      </c>
    </row>
    <row r="13" customFormat="false" ht="15" hidden="false" customHeight="true" outlineLevel="0" collapsed="false">
      <c r="A13" s="3" t="s">
        <v>10</v>
      </c>
    </row>
    <row r="15" customFormat="false" ht="15" hidden="false" customHeight="false" outlineLevel="0" collapsed="false">
      <c r="A15" s="4" t="s">
        <v>11</v>
      </c>
    </row>
    <row r="16" customFormat="false" ht="25.5" hidden="false" customHeight="true" outlineLevel="0" collapsed="false">
      <c r="A16" s="3" t="s">
        <v>12</v>
      </c>
    </row>
    <row r="17" customFormat="false" ht="25.5" hidden="false" customHeight="true" outlineLevel="0" collapsed="false">
      <c r="A17" s="3" t="s">
        <v>13</v>
      </c>
    </row>
    <row r="19" customFormat="false" ht="15" hidden="false" customHeight="false" outlineLevel="0" collapsed="false">
      <c r="A19" s="4" t="s">
        <v>14</v>
      </c>
    </row>
    <row r="20" customFormat="false" ht="15" hidden="false" customHeight="true" outlineLevel="0" collapsed="false">
      <c r="A20" s="3" t="s">
        <v>15</v>
      </c>
    </row>
    <row r="21" customFormat="false" ht="15" hidden="false" customHeight="true" outlineLevel="0" collapsed="false">
      <c r="A21" s="3" t="s">
        <v>16</v>
      </c>
    </row>
    <row r="22" customFormat="false" ht="15" hidden="false" customHeight="true" outlineLevel="0" collapsed="false">
      <c r="A22" s="3" t="s">
        <v>17</v>
      </c>
    </row>
    <row r="23" customFormat="false" ht="15" hidden="false" customHeight="true" outlineLevel="0" collapsed="false">
      <c r="A23" s="3" t="s">
        <v>18</v>
      </c>
    </row>
    <row r="25" customFormat="false" ht="30" hidden="false" customHeight="true" outlineLevel="0" collapsed="false">
      <c r="A25" s="5" t="s">
        <v>19</v>
      </c>
    </row>
    <row r="27" customFormat="false" ht="45" hidden="false" customHeight="true" outlineLevel="0" collapsed="false">
      <c r="A27" s="5" t="s">
        <v>20</v>
      </c>
    </row>
    <row r="29" customFormat="false" ht="30" hidden="false" customHeight="true" outlineLevel="0" collapsed="false">
      <c r="A29" s="5" t="s">
        <v>21</v>
      </c>
    </row>
    <row r="31" customFormat="false" ht="120" hidden="false" customHeight="true" outlineLevel="0" collapsed="false">
      <c r="A31" s="5"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1"/>
    <col collapsed="false" customWidth="true" hidden="false" outlineLevel="0" max="6" min="4" style="0" width="15"/>
    <col collapsed="false" customWidth="true" hidden="false" outlineLevel="0" max="7" min="7" style="0" width="11"/>
    <col collapsed="false" customWidth="true" hidden="false" outlineLevel="0" max="9" min="8" style="0" width="12"/>
    <col collapsed="false" customWidth="true" hidden="false" outlineLevel="0" max="10" min="10" style="0" width="13"/>
  </cols>
  <sheetData>
    <row r="1" customFormat="false" ht="16.15" hidden="false" customHeight="false" outlineLevel="0" collapsed="false">
      <c r="A1" s="6" t="s">
        <v>23</v>
      </c>
    </row>
    <row r="2" customFormat="false" ht="15" hidden="false" customHeight="false" outlineLevel="0" collapsed="false">
      <c r="A2" s="2" t="s">
        <v>24</v>
      </c>
    </row>
    <row r="4" customFormat="false" ht="28.35" hidden="false" customHeight="false" outlineLevel="0" collapsed="false">
      <c r="A4" s="7" t="s">
        <v>25</v>
      </c>
      <c r="B4" s="7" t="s">
        <v>26</v>
      </c>
      <c r="C4" s="7" t="s">
        <v>27</v>
      </c>
      <c r="D4" s="7" t="s">
        <v>28</v>
      </c>
      <c r="E4" s="7" t="s">
        <v>29</v>
      </c>
      <c r="F4" s="7" t="s">
        <v>30</v>
      </c>
      <c r="G4" s="7" t="s">
        <v>31</v>
      </c>
      <c r="H4" s="7" t="s">
        <v>32</v>
      </c>
      <c r="I4" s="7" t="s">
        <v>33</v>
      </c>
      <c r="J4" s="7" t="s">
        <v>34</v>
      </c>
    </row>
    <row r="5" customFormat="false" ht="15" hidden="false" customHeight="false" outlineLevel="0" collapsed="false">
      <c r="A5" s="0" t="s">
        <v>35</v>
      </c>
      <c r="B5" s="0" t="s">
        <v>36</v>
      </c>
      <c r="C5" s="8" t="n">
        <v>24000</v>
      </c>
      <c r="D5" s="9" t="n">
        <v>55</v>
      </c>
      <c r="E5" s="10" t="n">
        <v>78</v>
      </c>
      <c r="F5" s="8" t="n">
        <v>380</v>
      </c>
      <c r="G5" s="11" t="n">
        <v>0.95</v>
      </c>
      <c r="H5" s="12" t="n">
        <v>24</v>
      </c>
      <c r="I5" s="8" t="n">
        <v>120</v>
      </c>
      <c r="J5" s="13" t="n">
        <f aca="false">VLOOKUP(B5,'3. Assumptions'!$A$32:$B$36,2,FALSE())</f>
        <v>0.03</v>
      </c>
    </row>
    <row r="6" customFormat="false" ht="15" hidden="false" customHeight="false" outlineLevel="0" collapsed="false">
      <c r="A6" s="0" t="s">
        <v>37</v>
      </c>
      <c r="B6" s="0" t="s">
        <v>38</v>
      </c>
      <c r="C6" s="8" t="n">
        <v>16500</v>
      </c>
      <c r="D6" s="9" t="n">
        <v>68</v>
      </c>
      <c r="E6" s="10" t="n">
        <v>95</v>
      </c>
      <c r="F6" s="8" t="n">
        <v>620</v>
      </c>
      <c r="G6" s="11" t="n">
        <v>0.9</v>
      </c>
      <c r="H6" s="12" t="n">
        <v>18</v>
      </c>
      <c r="I6" s="8" t="n">
        <v>90</v>
      </c>
      <c r="J6" s="13" t="n">
        <f aca="false">VLOOKUP(B6,'3. Assumptions'!$A$32:$B$36,2,FALSE())</f>
        <v>0.028</v>
      </c>
    </row>
    <row r="7" customFormat="false" ht="15" hidden="false" customHeight="false" outlineLevel="0" collapsed="false">
      <c r="A7" s="0" t="s">
        <v>39</v>
      </c>
      <c r="B7" s="0" t="s">
        <v>40</v>
      </c>
      <c r="C7" s="8" t="n">
        <v>32000</v>
      </c>
      <c r="D7" s="9" t="n">
        <v>52</v>
      </c>
      <c r="E7" s="10" t="n">
        <v>58</v>
      </c>
      <c r="F7" s="8" t="n">
        <v>620</v>
      </c>
      <c r="G7" s="11" t="n">
        <v>0.35</v>
      </c>
      <c r="H7" s="12" t="n">
        <v>9</v>
      </c>
      <c r="I7" s="8" t="n">
        <v>45</v>
      </c>
      <c r="J7" s="13" t="n">
        <f aca="false">VLOOKUP(B7,'3. Assumptions'!$A$32:$B$36,2,FALSE())</f>
        <v>0.015</v>
      </c>
    </row>
    <row r="8" customFormat="false" ht="15" hidden="false" customHeight="false" outlineLevel="0" collapsed="false">
      <c r="A8" s="0" t="s">
        <v>41</v>
      </c>
      <c r="B8" s="0" t="s">
        <v>40</v>
      </c>
      <c r="C8" s="8" t="n">
        <v>28500</v>
      </c>
      <c r="D8" s="9" t="n">
        <v>58</v>
      </c>
      <c r="E8" s="10" t="n">
        <v>64</v>
      </c>
      <c r="F8" s="8" t="n">
        <v>700</v>
      </c>
      <c r="G8" s="11" t="n">
        <v>0.4</v>
      </c>
      <c r="H8" s="12" t="n">
        <v>8</v>
      </c>
      <c r="I8" s="8" t="n">
        <v>45</v>
      </c>
      <c r="J8" s="13" t="n">
        <f aca="false">VLOOKUP(B8,'3. Assumptions'!$A$32:$B$36,2,FALSE())</f>
        <v>0.015</v>
      </c>
    </row>
    <row r="9" customFormat="false" ht="15" hidden="false" customHeight="false" outlineLevel="0" collapsed="false">
      <c r="A9" s="0" t="s">
        <v>42</v>
      </c>
      <c r="B9" s="0" t="s">
        <v>36</v>
      </c>
      <c r="C9" s="8" t="n">
        <v>19000</v>
      </c>
      <c r="D9" s="9" t="n">
        <v>48</v>
      </c>
      <c r="E9" s="10" t="n">
        <v>71</v>
      </c>
      <c r="F9" s="8" t="n">
        <v>300</v>
      </c>
      <c r="G9" s="11" t="n">
        <v>0.92</v>
      </c>
      <c r="H9" s="12" t="n">
        <v>24</v>
      </c>
      <c r="I9" s="8" t="n">
        <v>120</v>
      </c>
      <c r="J9" s="13" t="n">
        <f aca="false">VLOOKUP(B9,'3. Assumptions'!$A$32:$B$36,2,FALSE())</f>
        <v>0.03</v>
      </c>
    </row>
    <row r="10" customFormat="false" ht="15" hidden="false" customHeight="false" outlineLevel="0" collapsed="false">
      <c r="A10" s="0" t="s">
        <v>43</v>
      </c>
      <c r="B10" s="0" t="s">
        <v>44</v>
      </c>
      <c r="C10" s="8" t="n">
        <v>12000</v>
      </c>
      <c r="D10" s="9" t="n">
        <v>42</v>
      </c>
      <c r="E10" s="10" t="n">
        <v>52</v>
      </c>
      <c r="F10" s="8" t="n">
        <v>380</v>
      </c>
      <c r="G10" s="11" t="n">
        <v>0.6</v>
      </c>
      <c r="H10" s="12" t="n">
        <v>12</v>
      </c>
      <c r="I10" s="8" t="n">
        <v>60</v>
      </c>
      <c r="J10" s="13" t="n">
        <f aca="false">VLOOKUP(B10,'3. Assumptions'!$A$32:$B$36,2,FALSE())</f>
        <v>0.02</v>
      </c>
    </row>
    <row r="11" customFormat="false" ht="15" hidden="false" customHeight="false" outlineLevel="0" collapsed="false">
      <c r="A11" s="0" t="s">
        <v>45</v>
      </c>
      <c r="B11" s="0" t="s">
        <v>36</v>
      </c>
      <c r="C11" s="8" t="n">
        <v>21000</v>
      </c>
      <c r="D11" s="9" t="n">
        <v>34</v>
      </c>
      <c r="E11" s="10" t="n">
        <v>49</v>
      </c>
      <c r="F11" s="8" t="n">
        <v>240</v>
      </c>
      <c r="G11" s="11" t="n">
        <v>0.88</v>
      </c>
      <c r="H11" s="12" t="n">
        <v>24</v>
      </c>
      <c r="I11" s="8" t="n">
        <v>110</v>
      </c>
      <c r="J11" s="13" t="n">
        <f aca="false">VLOOKUP(B11,'3. Assumptions'!$A$32:$B$36,2,FALSE())</f>
        <v>0.03</v>
      </c>
    </row>
    <row r="12" customFormat="false" ht="15" hidden="false" customHeight="false" outlineLevel="0" collapsed="false">
      <c r="A12" s="0" t="s">
        <v>46</v>
      </c>
      <c r="B12" s="0" t="s">
        <v>47</v>
      </c>
      <c r="C12" s="8" t="n">
        <v>6500</v>
      </c>
      <c r="D12" s="9" t="n">
        <v>175</v>
      </c>
      <c r="E12" s="10" t="n">
        <v>210</v>
      </c>
      <c r="F12" s="8" t="n">
        <v>1950</v>
      </c>
      <c r="G12" s="11" t="n">
        <v>0.25</v>
      </c>
      <c r="H12" s="12" t="n">
        <v>15</v>
      </c>
      <c r="I12" s="8" t="n">
        <v>350</v>
      </c>
      <c r="J12" s="13" t="n">
        <f aca="false">VLOOKUP(B12,'3. Assumptions'!$A$32:$B$36,2,FALSE())</f>
        <v>0.022</v>
      </c>
    </row>
    <row r="13" customFormat="false" ht="15" hidden="false" customHeight="false" outlineLevel="0" collapsed="false">
      <c r="A13" s="0" t="s">
        <v>48</v>
      </c>
      <c r="B13" s="0" t="s">
        <v>40</v>
      </c>
      <c r="C13" s="8" t="n">
        <v>9500</v>
      </c>
      <c r="D13" s="9" t="n">
        <v>61</v>
      </c>
      <c r="E13" s="10" t="n">
        <v>66</v>
      </c>
      <c r="F13" s="8" t="n">
        <v>720</v>
      </c>
      <c r="G13" s="11" t="n">
        <v>0.3</v>
      </c>
      <c r="H13" s="12" t="n">
        <v>7</v>
      </c>
      <c r="I13" s="8" t="n">
        <v>45</v>
      </c>
      <c r="J13" s="13" t="n">
        <f aca="false">VLOOKUP(B13,'3. Assumptions'!$A$32:$B$36,2,FALSE())</f>
        <v>0.015</v>
      </c>
    </row>
    <row r="14" customFormat="false" ht="15" hidden="false" customHeight="false" outlineLevel="0" collapsed="false">
      <c r="A14" s="14" t="s">
        <v>49</v>
      </c>
      <c r="C14" s="15" t="n">
        <f aca="false">SUM(C5:C13)</f>
        <v>169000</v>
      </c>
    </row>
    <row r="16" customFormat="false" ht="15" hidden="false" customHeight="false" outlineLevel="0" collapsed="false">
      <c r="A16" s="14" t="s">
        <v>50</v>
      </c>
      <c r="C16" s="15" t="n">
        <f aca="false">SUMPRODUCT(C5:C13,D5:D13)</f>
        <v>9606000</v>
      </c>
    </row>
    <row r="17" customFormat="false" ht="15" hidden="false" customHeight="false" outlineLevel="0" collapsed="false">
      <c r="A17" s="14" t="s">
        <v>51</v>
      </c>
      <c r="C17" s="15" t="n">
        <f aca="false">SUMPRODUCT(C5:C13,E5:E13)</f>
        <v>12113500</v>
      </c>
    </row>
    <row r="18" customFormat="false" ht="15" hidden="false" customHeight="false" outlineLevel="0" collapsed="false">
      <c r="A18" s="14" t="s">
        <v>52</v>
      </c>
      <c r="C18" s="15" t="n">
        <f aca="false">C17-C16</f>
        <v>2507500</v>
      </c>
    </row>
    <row r="19" customFormat="false" ht="15" hidden="false" customHeight="false" outlineLevel="0" collapsed="false">
      <c r="A19" s="14" t="s">
        <v>53</v>
      </c>
      <c r="C19" s="16" t="n">
        <f aca="false">C18/C16</f>
        <v>0.261034769935457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62"/>
  </cols>
  <sheetData>
    <row r="1" customFormat="false" ht="16.15" hidden="false" customHeight="false" outlineLevel="0" collapsed="false">
      <c r="A1" s="6" t="s">
        <v>54</v>
      </c>
    </row>
    <row r="3" customFormat="false" ht="15" hidden="false" customHeight="false" outlineLevel="0" collapsed="false">
      <c r="A3" s="7" t="s">
        <v>55</v>
      </c>
      <c r="B3" s="7" t="s">
        <v>56</v>
      </c>
      <c r="C3" s="7" t="s">
        <v>57</v>
      </c>
    </row>
    <row r="4" customFormat="false" ht="15" hidden="false" customHeight="false" outlineLevel="0" collapsed="false">
      <c r="A4" s="0" t="s">
        <v>58</v>
      </c>
      <c r="B4" s="17" t="n">
        <v>0.0675</v>
      </c>
      <c r="C4" s="2" t="s">
        <v>59</v>
      </c>
    </row>
    <row r="5" customFormat="false" ht="15" hidden="false" customHeight="false" outlineLevel="0" collapsed="false">
      <c r="A5" s="0" t="s">
        <v>60</v>
      </c>
      <c r="B5" s="17" t="n">
        <v>0.085</v>
      </c>
      <c r="C5" s="2" t="s">
        <v>61</v>
      </c>
    </row>
    <row r="6" customFormat="false" ht="15" hidden="false" customHeight="false" outlineLevel="0" collapsed="false">
      <c r="A6" s="0" t="s">
        <v>62</v>
      </c>
      <c r="B6" s="17" t="n">
        <v>0.026</v>
      </c>
      <c r="C6" s="2" t="s">
        <v>63</v>
      </c>
    </row>
    <row r="7" customFormat="false" ht="15" hidden="false" customHeight="false" outlineLevel="0" collapsed="false">
      <c r="A7" s="0" t="s">
        <v>64</v>
      </c>
      <c r="B7" s="18" t="n">
        <v>0.0125</v>
      </c>
      <c r="C7" s="2" t="s">
        <v>65</v>
      </c>
    </row>
    <row r="8" customFormat="false" ht="15" hidden="false" customHeight="false" outlineLevel="0" collapsed="false">
      <c r="A8" s="0" t="s">
        <v>66</v>
      </c>
      <c r="B8" s="18" t="n">
        <v>0.049</v>
      </c>
      <c r="C8" s="2" t="s">
        <v>67</v>
      </c>
    </row>
    <row r="9" customFormat="false" ht="15" hidden="false" customHeight="false" outlineLevel="0" collapsed="false">
      <c r="A9" s="0" t="s">
        <v>68</v>
      </c>
      <c r="B9" s="12" t="n">
        <v>20</v>
      </c>
      <c r="C9" s="2" t="s">
        <v>69</v>
      </c>
    </row>
    <row r="10" customFormat="false" ht="15" hidden="false" customHeight="false" outlineLevel="0" collapsed="false">
      <c r="A10" s="0" t="s">
        <v>70</v>
      </c>
      <c r="B10" s="17" t="n">
        <v>0.03</v>
      </c>
      <c r="C10" s="2" t="s">
        <v>71</v>
      </c>
    </row>
    <row r="11" customFormat="false" ht="15" hidden="false" customHeight="false" outlineLevel="0" collapsed="false">
      <c r="A11" s="0" t="s">
        <v>72</v>
      </c>
      <c r="B11" s="17" t="n">
        <v>0</v>
      </c>
      <c r="C11" s="2"/>
    </row>
    <row r="12" customFormat="false" ht="15" hidden="false" customHeight="false" outlineLevel="0" collapsed="false">
      <c r="A12" s="0" t="s">
        <v>73</v>
      </c>
      <c r="B12" s="17" t="n">
        <v>0.022</v>
      </c>
      <c r="C12" s="2" t="s">
        <v>74</v>
      </c>
    </row>
    <row r="13" customFormat="false" ht="15" hidden="false" customHeight="false" outlineLevel="0" collapsed="false">
      <c r="A13" s="0" t="s">
        <v>75</v>
      </c>
      <c r="B13" s="17" t="n">
        <v>0.01</v>
      </c>
      <c r="C13" s="2"/>
    </row>
    <row r="14" customFormat="false" ht="15" hidden="false" customHeight="false" outlineLevel="0" collapsed="false">
      <c r="A14" s="0" t="s">
        <v>76</v>
      </c>
      <c r="B14" s="17" t="n">
        <v>0.02</v>
      </c>
      <c r="C14" s="2"/>
    </row>
    <row r="15" customFormat="false" ht="15" hidden="false" customHeight="false" outlineLevel="0" collapsed="false">
      <c r="A15" s="0" t="s">
        <v>77</v>
      </c>
      <c r="B15" s="17" t="n">
        <v>0.015</v>
      </c>
      <c r="C15" s="2"/>
    </row>
    <row r="16" customFormat="false" ht="15" hidden="false" customHeight="false" outlineLevel="0" collapsed="false">
      <c r="A16" s="0" t="s">
        <v>78</v>
      </c>
      <c r="B16" s="17" t="n">
        <v>0.15</v>
      </c>
      <c r="C16" s="2" t="s">
        <v>79</v>
      </c>
    </row>
    <row r="17" customFormat="false" ht="15" hidden="false" customHeight="false" outlineLevel="0" collapsed="false">
      <c r="A17" s="0" t="s">
        <v>80</v>
      </c>
      <c r="B17" s="17" t="n">
        <v>0.55</v>
      </c>
      <c r="C17" s="2" t="s">
        <v>81</v>
      </c>
    </row>
    <row r="18" customFormat="false" ht="15" hidden="false" customHeight="false" outlineLevel="0" collapsed="false">
      <c r="A18" s="0" t="s">
        <v>82</v>
      </c>
      <c r="B18" s="8" t="n">
        <v>58000000</v>
      </c>
      <c r="C18" s="2" t="s">
        <v>83</v>
      </c>
    </row>
    <row r="19" customFormat="false" ht="15" hidden="false" customHeight="false" outlineLevel="0" collapsed="false">
      <c r="A19" s="0" t="s">
        <v>84</v>
      </c>
      <c r="B19" s="8" t="n">
        <v>19500000</v>
      </c>
      <c r="C19" s="2" t="s">
        <v>85</v>
      </c>
    </row>
    <row r="20" customFormat="false" ht="15" hidden="false" customHeight="false" outlineLevel="0" collapsed="false">
      <c r="A20" s="0" t="s">
        <v>86</v>
      </c>
      <c r="B20" s="8" t="n">
        <v>340000000</v>
      </c>
      <c r="C20" s="2"/>
    </row>
    <row r="21" customFormat="false" ht="15" hidden="false" customHeight="false" outlineLevel="0" collapsed="false">
      <c r="A21" s="0" t="s">
        <v>87</v>
      </c>
      <c r="B21" s="17" t="n">
        <v>0.0385</v>
      </c>
      <c r="C21" s="2" t="s">
        <v>88</v>
      </c>
    </row>
    <row r="22" customFormat="false" ht="15" hidden="false" customHeight="false" outlineLevel="0" collapsed="false">
      <c r="A22" s="0" t="s">
        <v>89</v>
      </c>
      <c r="B22" s="19" t="n">
        <v>0.4</v>
      </c>
      <c r="C22" s="2"/>
    </row>
    <row r="23" customFormat="false" ht="15" hidden="false" customHeight="false" outlineLevel="0" collapsed="false">
      <c r="A23" s="0" t="s">
        <v>90</v>
      </c>
      <c r="B23" s="17" t="n">
        <v>0.0495</v>
      </c>
      <c r="C23" s="2" t="s">
        <v>91</v>
      </c>
    </row>
    <row r="24" customFormat="false" ht="15" hidden="false" customHeight="false" outlineLevel="0" collapsed="false">
      <c r="A24" s="0" t="s">
        <v>92</v>
      </c>
      <c r="B24" s="17" t="n">
        <v>0.55</v>
      </c>
      <c r="C24" s="2"/>
    </row>
    <row r="25" customFormat="false" ht="15" hidden="false" customHeight="false" outlineLevel="0" collapsed="false">
      <c r="A25" s="0" t="s">
        <v>93</v>
      </c>
      <c r="B25" s="11" t="n">
        <v>1.8</v>
      </c>
      <c r="C25" s="2"/>
    </row>
    <row r="26" customFormat="false" ht="15" hidden="false" customHeight="false" outlineLevel="0" collapsed="false">
      <c r="A26" s="0" t="s">
        <v>94</v>
      </c>
      <c r="B26" s="11" t="n">
        <v>0.75</v>
      </c>
      <c r="C26" s="2" t="s">
        <v>95</v>
      </c>
    </row>
    <row r="27" customFormat="false" ht="15" hidden="false" customHeight="false" outlineLevel="0" collapsed="false">
      <c r="A27" s="20" t="s">
        <v>96</v>
      </c>
      <c r="B27" s="21" t="n">
        <v>0.01</v>
      </c>
      <c r="C27" s="22" t="s">
        <v>97</v>
      </c>
    </row>
    <row r="28" customFormat="false" ht="15" hidden="false" customHeight="false" outlineLevel="0" collapsed="false">
      <c r="A28" s="14" t="s">
        <v>98</v>
      </c>
      <c r="B28" s="23" t="n">
        <f aca="false">B6+B7</f>
        <v>0.0385</v>
      </c>
    </row>
    <row r="29" customFormat="false" ht="15" hidden="false" customHeight="false" outlineLevel="0" collapsed="false">
      <c r="A29" s="14" t="s">
        <v>99</v>
      </c>
      <c r="B29" s="23" t="n">
        <f aca="false">B6+B8</f>
        <v>0.075</v>
      </c>
    </row>
    <row r="31" customFormat="false" ht="15" hidden="false" customHeight="false" outlineLevel="0" collapsed="false">
      <c r="A31" s="4" t="s">
        <v>100</v>
      </c>
    </row>
    <row r="32" customFormat="false" ht="15" hidden="false" customHeight="false" outlineLevel="0" collapsed="false">
      <c r="A32" s="0" t="s">
        <v>38</v>
      </c>
      <c r="B32" s="19" t="n">
        <v>0.028</v>
      </c>
    </row>
    <row r="33" customFormat="false" ht="15" hidden="false" customHeight="false" outlineLevel="0" collapsed="false">
      <c r="A33" s="0" t="s">
        <v>44</v>
      </c>
      <c r="B33" s="19" t="n">
        <v>0.02</v>
      </c>
    </row>
    <row r="34" customFormat="false" ht="15" hidden="false" customHeight="false" outlineLevel="0" collapsed="false">
      <c r="A34" s="0" t="s">
        <v>47</v>
      </c>
      <c r="B34" s="19" t="n">
        <v>0.022</v>
      </c>
    </row>
    <row r="35" customFormat="false" ht="15" hidden="false" customHeight="false" outlineLevel="0" collapsed="false">
      <c r="A35" s="0" t="s">
        <v>36</v>
      </c>
      <c r="B35" s="19" t="n">
        <v>0.03</v>
      </c>
    </row>
    <row r="36" customFormat="false" ht="15" hidden="false" customHeight="false" outlineLevel="0" collapsed="false">
      <c r="A36" s="0" t="s">
        <v>40</v>
      </c>
      <c r="B36" s="19" t="n">
        <v>0.015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3" min="2" style="0" width="20"/>
    <col collapsed="false" customWidth="true" hidden="false" outlineLevel="0" max="4" min="4" style="0" width="15"/>
    <col collapsed="false" customWidth="true" hidden="false" outlineLevel="0" max="5" min="5" style="0" width="10"/>
  </cols>
  <sheetData>
    <row r="1" customFormat="false" ht="16.15" hidden="false" customHeight="false" outlineLevel="0" collapsed="false">
      <c r="A1" s="6" t="s">
        <v>101</v>
      </c>
    </row>
    <row r="3" customFormat="false" ht="15" hidden="false" customHeight="false" outlineLevel="0" collapsed="false">
      <c r="A3" s="7" t="s">
        <v>102</v>
      </c>
      <c r="B3" s="7" t="s">
        <v>103</v>
      </c>
      <c r="C3" s="7" t="s">
        <v>104</v>
      </c>
      <c r="D3" s="7" t="s">
        <v>105</v>
      </c>
      <c r="E3" s="7" t="s">
        <v>106</v>
      </c>
    </row>
    <row r="4" customFormat="false" ht="15" hidden="false" customHeight="false" outlineLevel="0" collapsed="false">
      <c r="A4" s="0" t="s">
        <v>107</v>
      </c>
      <c r="B4" s="15" t="n">
        <f aca="false">'3. Assumptions'!$B$18</f>
        <v>58000000</v>
      </c>
      <c r="C4" s="24" t="n">
        <f aca="false">B4/'2. The tape'!C17</f>
        <v>4.78804639451851</v>
      </c>
      <c r="D4" s="24" t="n">
        <f aca="false">B4/'2. The tape'!C16</f>
        <v>6.03789298355195</v>
      </c>
      <c r="E4" s="25" t="s">
        <v>108</v>
      </c>
    </row>
    <row r="5" customFormat="false" ht="15" hidden="false" customHeight="false" outlineLevel="0" collapsed="false">
      <c r="A5" s="0" t="s">
        <v>109</v>
      </c>
      <c r="B5" s="15" t="n">
        <f aca="false">'3. Assumptions'!$B$19</f>
        <v>19500000</v>
      </c>
      <c r="C5" s="24" t="n">
        <f aca="false">B5/'2. The tape'!C17</f>
        <v>1.60977421884674</v>
      </c>
      <c r="D5" s="24" t="n">
        <f aca="false">B5/'2. The tape'!C16</f>
        <v>2.02998126171143</v>
      </c>
      <c r="E5" s="25" t="s">
        <v>110</v>
      </c>
    </row>
    <row r="7" customFormat="false" ht="15" hidden="false" customHeight="false" outlineLevel="0" collapsed="false">
      <c r="A7" s="14" t="s">
        <v>111</v>
      </c>
      <c r="B7" s="15" t="n">
        <f aca="false">B4-B5</f>
        <v>38500000</v>
      </c>
      <c r="C7" s="16" t="n">
        <f aca="false">B7/B4</f>
        <v>0.663793103448276</v>
      </c>
    </row>
    <row r="9" customFormat="false" ht="15" hidden="false" customHeight="false" outlineLevel="0" collapsed="false">
      <c r="A9" s="4" t="s">
        <v>112</v>
      </c>
    </row>
    <row r="10" customFormat="false" ht="28.35" hidden="false" customHeight="false" outlineLevel="0" collapsed="false">
      <c r="A10" s="7" t="s">
        <v>113</v>
      </c>
      <c r="B10" s="7" t="s">
        <v>114</v>
      </c>
      <c r="C10" s="7" t="s">
        <v>115</v>
      </c>
    </row>
    <row r="11" customFormat="false" ht="15" hidden="false" customHeight="false" outlineLevel="0" collapsed="false">
      <c r="A11" s="26" t="n">
        <v>2.25</v>
      </c>
      <c r="B11" s="15" t="n">
        <f aca="false">$B$5/A11</f>
        <v>8666666.66666667</v>
      </c>
      <c r="C11" s="15" t="n">
        <f aca="false">B11/'3. Assumptions'!$B$4</f>
        <v>128395061.728395</v>
      </c>
    </row>
    <row r="12" customFormat="false" ht="15" hidden="false" customHeight="false" outlineLevel="0" collapsed="false">
      <c r="A12" s="26" t="n">
        <v>2</v>
      </c>
      <c r="B12" s="15" t="n">
        <f aca="false">$B$5/A12</f>
        <v>9750000</v>
      </c>
      <c r="C12" s="15" t="n">
        <f aca="false">B12/'3. Assumptions'!$B$4</f>
        <v>144444444.444444</v>
      </c>
    </row>
    <row r="13" customFormat="false" ht="15" hidden="false" customHeight="false" outlineLevel="0" collapsed="false">
      <c r="A13" s="26" t="n">
        <v>1.75</v>
      </c>
      <c r="B13" s="15" t="n">
        <f aca="false">$B$5/A13</f>
        <v>11142857.1428571</v>
      </c>
      <c r="C13" s="15" t="n">
        <f aca="false">B13/'3. Assumptions'!$B$4</f>
        <v>165079365.079365</v>
      </c>
    </row>
    <row r="14" customFormat="false" ht="15" hidden="false" customHeight="false" outlineLevel="0" collapsed="false">
      <c r="A14" s="26" t="n">
        <v>1.5</v>
      </c>
      <c r="B14" s="15" t="n">
        <f aca="false">$B$5/A14</f>
        <v>13000000</v>
      </c>
      <c r="C14" s="15" t="n">
        <f aca="false">B14/'3. Assumptions'!$B$4</f>
        <v>192592592.592593</v>
      </c>
    </row>
    <row r="15" customFormat="false" ht="15" hidden="false" customHeight="false" outlineLevel="0" collapsed="false">
      <c r="A15" s="26" t="n">
        <v>1.25</v>
      </c>
      <c r="B15" s="15" t="n">
        <f aca="false">$B$5/A15</f>
        <v>15600000</v>
      </c>
      <c r="C15" s="15" t="n">
        <f aca="false">B15/'3. Assumptions'!$B$4</f>
        <v>231111111.111111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12" min="2" style="0" width="15"/>
    <col collapsed="false" customWidth="true" hidden="false" outlineLevel="0" max="13" min="13" style="0" width="12"/>
  </cols>
  <sheetData>
    <row r="1" customFormat="false" ht="16.15" hidden="false" customHeight="false" outlineLevel="0" collapsed="false">
      <c r="A1" s="6" t="s">
        <v>116</v>
      </c>
    </row>
    <row r="2" customFormat="false" ht="15" hidden="false" customHeight="false" outlineLevel="0" collapsed="false">
      <c r="A2" s="2" t="s">
        <v>117</v>
      </c>
    </row>
    <row r="4" customFormat="false" ht="28.35" hidden="false" customHeight="false" outlineLevel="0" collapsed="false">
      <c r="A4" s="7" t="s">
        <v>25</v>
      </c>
      <c r="B4" s="7" t="s">
        <v>118</v>
      </c>
      <c r="C4" s="7" t="s">
        <v>119</v>
      </c>
      <c r="D4" s="7" t="s">
        <v>120</v>
      </c>
      <c r="E4" s="7" t="s">
        <v>121</v>
      </c>
      <c r="F4" s="7" t="s">
        <v>122</v>
      </c>
      <c r="G4" s="7" t="s">
        <v>123</v>
      </c>
      <c r="H4" s="7" t="s">
        <v>124</v>
      </c>
      <c r="I4" s="7" t="s">
        <v>125</v>
      </c>
      <c r="J4" s="7" t="s">
        <v>126</v>
      </c>
      <c r="K4" s="7" t="s">
        <v>127</v>
      </c>
      <c r="L4" s="7" t="s">
        <v>52</v>
      </c>
      <c r="M4" s="27" t="s">
        <v>128</v>
      </c>
    </row>
    <row r="5" customFormat="false" ht="15" hidden="false" customHeight="false" outlineLevel="0" collapsed="false">
      <c r="A5" s="0" t="str">
        <f aca="false">'2. The tape'!A5</f>
        <v>Alkmaar processing plant</v>
      </c>
      <c r="B5" s="15" t="n">
        <f aca="false">'2. The tape'!C5*'2. The tape'!D5</f>
        <v>1320000</v>
      </c>
      <c r="C5" s="15" t="n">
        <f aca="false">B5*(1-'3. Assumptions'!$B$13)/'3. Assumptions'!$B$5</f>
        <v>15374117.6470588</v>
      </c>
      <c r="D5" s="15" t="n">
        <f aca="false">B5*'2. The tape'!H5/12</f>
        <v>2640000</v>
      </c>
      <c r="E5" s="15" t="n">
        <f aca="false">'2. The tape'!C5*'2. The tape'!I5</f>
        <v>2880000</v>
      </c>
      <c r="F5" s="15" t="n">
        <f aca="false">B5*'3. Assumptions'!$B$16</f>
        <v>198000</v>
      </c>
      <c r="G5" s="15" t="n">
        <f aca="false">MAX(0,C5-D5-E5-F5)</f>
        <v>9656117.64705882</v>
      </c>
      <c r="H5" s="15" t="n">
        <f aca="false">'2. The tape'!C5*'2. The tape'!E5/'3. Assumptions'!$B$4</f>
        <v>27733333.3333333</v>
      </c>
      <c r="I5" s="15" t="n">
        <f aca="false">C5-G5</f>
        <v>5718000</v>
      </c>
      <c r="J5" s="15" t="n">
        <f aca="false">B5*(1-'3. Assumptions'!$B$13)/'3. Assumptions'!$B$4-C5</f>
        <v>3985882.35294118</v>
      </c>
      <c r="K5" s="15" t="n">
        <f aca="false">'2. The tape'!C5*'2. The tape'!E5*'3. Assumptions'!$B$13/'3. Assumptions'!$B$4</f>
        <v>277333.333333333</v>
      </c>
      <c r="L5" s="15" t="n">
        <f aca="false">H5-G5-I5-J5-K5</f>
        <v>8096000</v>
      </c>
      <c r="M5" s="13" t="n">
        <f aca="false">G5/H5</f>
        <v>0.348177319004525</v>
      </c>
    </row>
    <row r="6" customFormat="false" ht="15" hidden="false" customHeight="false" outlineLevel="0" collapsed="false">
      <c r="A6" s="0" t="str">
        <f aca="false">'2. The tape'!A6</f>
        <v>Roeselare cold store</v>
      </c>
      <c r="B6" s="15" t="n">
        <f aca="false">'2. The tape'!C6*'2. The tape'!D6</f>
        <v>1122000</v>
      </c>
      <c r="C6" s="15" t="n">
        <f aca="false">B6*(1-'3. Assumptions'!$B$13)/'3. Assumptions'!$B$5</f>
        <v>13068000</v>
      </c>
      <c r="D6" s="15" t="n">
        <f aca="false">B6*'2. The tape'!H6/12</f>
        <v>1683000</v>
      </c>
      <c r="E6" s="15" t="n">
        <f aca="false">'2. The tape'!C6*'2. The tape'!I6</f>
        <v>1485000</v>
      </c>
      <c r="F6" s="15" t="n">
        <f aca="false">B6*'3. Assumptions'!$B$16</f>
        <v>168300</v>
      </c>
      <c r="G6" s="15" t="n">
        <f aca="false">MAX(0,C6-D6-E6-F6)</f>
        <v>9731700</v>
      </c>
      <c r="H6" s="15" t="n">
        <f aca="false">'2. The tape'!C6*'2. The tape'!E6/'3. Assumptions'!$B$4</f>
        <v>23222222.2222222</v>
      </c>
      <c r="I6" s="15" t="n">
        <f aca="false">C6-G6</f>
        <v>3336300</v>
      </c>
      <c r="J6" s="15" t="n">
        <f aca="false">B6*(1-'3. Assumptions'!$B$13)/'3. Assumptions'!$B$4-C6</f>
        <v>3388000</v>
      </c>
      <c r="K6" s="15" t="n">
        <f aca="false">'2. The tape'!C6*'2. The tape'!E6*'3. Assumptions'!$B$13/'3. Assumptions'!$B$4</f>
        <v>232222.222222222</v>
      </c>
      <c r="L6" s="15" t="n">
        <f aca="false">H6-G6-I6-J6-K6</f>
        <v>6534000</v>
      </c>
      <c r="M6" s="13" t="n">
        <f aca="false">G6/H6</f>
        <v>0.419068421052632</v>
      </c>
    </row>
    <row r="7" customFormat="false" ht="15" hidden="false" customHeight="false" outlineLevel="0" collapsed="false">
      <c r="A7" s="0" t="str">
        <f aca="false">'2. The tape'!A7</f>
        <v>Zeebrugge warehouse</v>
      </c>
      <c r="B7" s="15" t="n">
        <f aca="false">'2. The tape'!C7*'2. The tape'!D7</f>
        <v>1664000</v>
      </c>
      <c r="C7" s="15" t="n">
        <f aca="false">B7*(1-'3. Assumptions'!$B$13)/'3. Assumptions'!$B$5</f>
        <v>19380705.8823529</v>
      </c>
      <c r="D7" s="15" t="n">
        <f aca="false">B7*'2. The tape'!H7/12</f>
        <v>1248000</v>
      </c>
      <c r="E7" s="15" t="n">
        <f aca="false">'2. The tape'!C7*'2. The tape'!I7</f>
        <v>1440000</v>
      </c>
      <c r="F7" s="15" t="n">
        <f aca="false">B7*'3. Assumptions'!$B$16</f>
        <v>249600</v>
      </c>
      <c r="G7" s="15" t="n">
        <f aca="false">MAX(0,C7-D7-E7-F7)</f>
        <v>16443105.8823529</v>
      </c>
      <c r="H7" s="15" t="n">
        <f aca="false">'2. The tape'!C7*'2. The tape'!E7/'3. Assumptions'!$B$4</f>
        <v>27496296.2962963</v>
      </c>
      <c r="I7" s="15" t="n">
        <f aca="false">C7-G7</f>
        <v>2937600</v>
      </c>
      <c r="J7" s="15" t="n">
        <f aca="false">B7*(1-'3. Assumptions'!$B$13)/'3. Assumptions'!$B$4-C7</f>
        <v>5024627.45098039</v>
      </c>
      <c r="K7" s="15" t="n">
        <f aca="false">'2. The tape'!C7*'2. The tape'!E7*'3. Assumptions'!$B$13/'3. Assumptions'!$B$4</f>
        <v>274962.962962963</v>
      </c>
      <c r="L7" s="15" t="n">
        <f aca="false">H7-G7-I7-J7-K7</f>
        <v>2816000</v>
      </c>
      <c r="M7" s="13" t="n">
        <f aca="false">G7/H7</f>
        <v>0.598011663286004</v>
      </c>
    </row>
    <row r="8" customFormat="false" ht="15" hidden="false" customHeight="false" outlineLevel="0" collapsed="false">
      <c r="A8" s="0" t="str">
        <f aca="false">'2. The tape'!A8</f>
        <v>Venlo distribution centre</v>
      </c>
      <c r="B8" s="15" t="n">
        <f aca="false">'2. The tape'!C8*'2. The tape'!D8</f>
        <v>1653000</v>
      </c>
      <c r="C8" s="15" t="n">
        <f aca="false">B8*(1-'3. Assumptions'!$B$13)/'3. Assumptions'!$B$5</f>
        <v>19252588.2352941</v>
      </c>
      <c r="D8" s="15" t="n">
        <f aca="false">B8*'2. The tape'!H8/12</f>
        <v>1102000</v>
      </c>
      <c r="E8" s="15" t="n">
        <f aca="false">'2. The tape'!C8*'2. The tape'!I8</f>
        <v>1282500</v>
      </c>
      <c r="F8" s="15" t="n">
        <f aca="false">B8*'3. Assumptions'!$B$16</f>
        <v>247950</v>
      </c>
      <c r="G8" s="15" t="n">
        <f aca="false">MAX(0,C8-D8-E8-F8)</f>
        <v>16620138.2352941</v>
      </c>
      <c r="H8" s="15" t="n">
        <f aca="false">'2. The tape'!C8*'2. The tape'!E8/'3. Assumptions'!$B$4</f>
        <v>27022222.2222222</v>
      </c>
      <c r="I8" s="15" t="n">
        <f aca="false">C8-G8</f>
        <v>2632450</v>
      </c>
      <c r="J8" s="15" t="n">
        <f aca="false">B8*(1-'3. Assumptions'!$B$13)/'3. Assumptions'!$B$4-C8</f>
        <v>4991411.76470589</v>
      </c>
      <c r="K8" s="15" t="n">
        <f aca="false">'2. The tape'!C8*'2. The tape'!E8*'3. Assumptions'!$B$13/'3. Assumptions'!$B$4</f>
        <v>270222.222222222</v>
      </c>
      <c r="L8" s="15" t="n">
        <f aca="false">H8-G8-I8-J8-K8</f>
        <v>2508000</v>
      </c>
      <c r="M8" s="13" t="n">
        <f aca="false">G8/H8</f>
        <v>0.615054457720588</v>
      </c>
    </row>
    <row r="9" customFormat="false" ht="15" hidden="false" customHeight="false" outlineLevel="0" collapsed="false">
      <c r="A9" s="0" t="str">
        <f aca="false">'2. The tape'!A9</f>
        <v>Lyon processing plant</v>
      </c>
      <c r="B9" s="15" t="n">
        <f aca="false">'2. The tape'!C9*'2. The tape'!D9</f>
        <v>912000</v>
      </c>
      <c r="C9" s="15" t="n">
        <f aca="false">B9*(1-'3. Assumptions'!$B$13)/'3. Assumptions'!$B$5</f>
        <v>10622117.6470588</v>
      </c>
      <c r="D9" s="15" t="n">
        <f aca="false">B9*'2. The tape'!H9/12</f>
        <v>1824000</v>
      </c>
      <c r="E9" s="15" t="n">
        <f aca="false">'2. The tape'!C9*'2. The tape'!I9</f>
        <v>2280000</v>
      </c>
      <c r="F9" s="15" t="n">
        <f aca="false">B9*'3. Assumptions'!$B$16</f>
        <v>136800</v>
      </c>
      <c r="G9" s="15" t="n">
        <f aca="false">MAX(0,C9-D9-E9-F9)</f>
        <v>6381317.64705882</v>
      </c>
      <c r="H9" s="15" t="n">
        <f aca="false">'2. The tape'!C9*'2. The tape'!E9/'3. Assumptions'!$B$4</f>
        <v>19985185.1851852</v>
      </c>
      <c r="I9" s="15" t="n">
        <f aca="false">C9-G9</f>
        <v>4240800</v>
      </c>
      <c r="J9" s="15" t="n">
        <f aca="false">B9*(1-'3. Assumptions'!$B$13)/'3. Assumptions'!$B$4-C9</f>
        <v>2753882.35294118</v>
      </c>
      <c r="K9" s="15" t="n">
        <f aca="false">'2. The tape'!C9*'2. The tape'!E9*'3. Assumptions'!$B$13/'3. Assumptions'!$B$4</f>
        <v>199851.851851852</v>
      </c>
      <c r="L9" s="15" t="n">
        <f aca="false">H9-G9-I9-J9-K9</f>
        <v>6409333.33333333</v>
      </c>
      <c r="M9" s="13" t="n">
        <f aca="false">G9/H9</f>
        <v>0.319302402651201</v>
      </c>
    </row>
    <row r="10" customFormat="false" ht="15" hidden="false" customHeight="false" outlineLevel="0" collapsed="false">
      <c r="A10" s="0" t="str">
        <f aca="false">'2. The tape'!A10</f>
        <v>Valencia packing hall</v>
      </c>
      <c r="B10" s="15" t="n">
        <f aca="false">'2. The tape'!C10*'2. The tape'!D10</f>
        <v>504000</v>
      </c>
      <c r="C10" s="15" t="n">
        <f aca="false">B10*(1-'3. Assumptions'!$B$13)/'3. Assumptions'!$B$5</f>
        <v>5870117.64705882</v>
      </c>
      <c r="D10" s="15" t="n">
        <f aca="false">B10*'2. The tape'!H10/12</f>
        <v>504000</v>
      </c>
      <c r="E10" s="15" t="n">
        <f aca="false">'2. The tape'!C10*'2. The tape'!I10</f>
        <v>720000</v>
      </c>
      <c r="F10" s="15" t="n">
        <f aca="false">B10*'3. Assumptions'!$B$16</f>
        <v>75600</v>
      </c>
      <c r="G10" s="15" t="n">
        <f aca="false">MAX(0,C10-D10-E10-F10)</f>
        <v>4570517.64705882</v>
      </c>
      <c r="H10" s="15" t="n">
        <f aca="false">'2. The tape'!C10*'2. The tape'!E10/'3. Assumptions'!$B$4</f>
        <v>9244444.44444444</v>
      </c>
      <c r="I10" s="15" t="n">
        <f aca="false">C10-G10</f>
        <v>1299600</v>
      </c>
      <c r="J10" s="15" t="n">
        <f aca="false">B10*(1-'3. Assumptions'!$B$13)/'3. Assumptions'!$B$4-C10</f>
        <v>1521882.35294118</v>
      </c>
      <c r="K10" s="15" t="n">
        <f aca="false">'2. The tape'!C10*'2. The tape'!E10*'3. Assumptions'!$B$13/'3. Assumptions'!$B$4</f>
        <v>92444.4444444444</v>
      </c>
      <c r="L10" s="15" t="n">
        <f aca="false">H10-G10-I10-J10-K10</f>
        <v>1760000</v>
      </c>
      <c r="M10" s="13" t="n">
        <f aca="false">G10/H10</f>
        <v>0.494406957013575</v>
      </c>
    </row>
    <row r="11" customFormat="false" ht="15" hidden="false" customHeight="false" outlineLevel="0" collapsed="false">
      <c r="A11" s="0" t="str">
        <f aca="false">'2. The tape'!A11</f>
        <v>Wroclaw plant</v>
      </c>
      <c r="B11" s="15" t="n">
        <f aca="false">'2. The tape'!C11*'2. The tape'!D11</f>
        <v>714000</v>
      </c>
      <c r="C11" s="15" t="n">
        <f aca="false">B11*(1-'3. Assumptions'!$B$13)/'3. Assumptions'!$B$5</f>
        <v>8316000</v>
      </c>
      <c r="D11" s="15" t="n">
        <f aca="false">B11*'2. The tape'!H11/12</f>
        <v>1428000</v>
      </c>
      <c r="E11" s="15" t="n">
        <f aca="false">'2. The tape'!C11*'2. The tape'!I11</f>
        <v>2310000</v>
      </c>
      <c r="F11" s="15" t="n">
        <f aca="false">B11*'3. Assumptions'!$B$16</f>
        <v>107100</v>
      </c>
      <c r="G11" s="15" t="n">
        <f aca="false">MAX(0,C11-D11-E11-F11)</f>
        <v>4470900</v>
      </c>
      <c r="H11" s="15" t="n">
        <f aca="false">'2. The tape'!C11*'2. The tape'!E11/'3. Assumptions'!$B$4</f>
        <v>15244444.4444444</v>
      </c>
      <c r="I11" s="15" t="n">
        <f aca="false">C11-G11</f>
        <v>3845100</v>
      </c>
      <c r="J11" s="15" t="n">
        <f aca="false">B11*(1-'3. Assumptions'!$B$13)/'3. Assumptions'!$B$4-C11</f>
        <v>2156000</v>
      </c>
      <c r="K11" s="15" t="n">
        <f aca="false">'2. The tape'!C11*'2. The tape'!E11*'3. Assumptions'!$B$13/'3. Assumptions'!$B$4</f>
        <v>152444.444444444</v>
      </c>
      <c r="L11" s="15" t="n">
        <f aca="false">H11-G11-I11-J11-K11</f>
        <v>4620000</v>
      </c>
      <c r="M11" s="13" t="n">
        <f aca="false">G11/H11</f>
        <v>0.293280612244898</v>
      </c>
    </row>
    <row r="12" customFormat="false" ht="15" hidden="false" customHeight="false" outlineLevel="0" collapsed="false">
      <c r="A12" s="0" t="str">
        <f aca="false">'2. The tape'!A12</f>
        <v>Hamburg head office</v>
      </c>
      <c r="B12" s="15" t="n">
        <f aca="false">'2. The tape'!C12*'2. The tape'!D12</f>
        <v>1137500</v>
      </c>
      <c r="C12" s="15" t="n">
        <f aca="false">B12*(1-'3. Assumptions'!$B$13)/'3. Assumptions'!$B$5</f>
        <v>13248529.4117647</v>
      </c>
      <c r="D12" s="15" t="n">
        <f aca="false">B12*'2. The tape'!H12/12</f>
        <v>1421875</v>
      </c>
      <c r="E12" s="15" t="n">
        <f aca="false">'2. The tape'!C12*'2. The tape'!I12</f>
        <v>2275000</v>
      </c>
      <c r="F12" s="15" t="n">
        <f aca="false">B12*'3. Assumptions'!$B$16</f>
        <v>170625</v>
      </c>
      <c r="G12" s="15" t="n">
        <f aca="false">MAX(0,C12-D12-E12-F12)</f>
        <v>9381029.41176471</v>
      </c>
      <c r="H12" s="15" t="n">
        <f aca="false">'2. The tape'!C12*'2. The tape'!E12/'3. Assumptions'!$B$4</f>
        <v>20222222.2222222</v>
      </c>
      <c r="I12" s="15" t="n">
        <f aca="false">C12-G12</f>
        <v>3867500</v>
      </c>
      <c r="J12" s="15" t="n">
        <f aca="false">B12*(1-'3. Assumptions'!$B$13)/'3. Assumptions'!$B$4-C12</f>
        <v>3434803.92156863</v>
      </c>
      <c r="K12" s="15" t="n">
        <f aca="false">'2. The tape'!C12*'2. The tape'!E12*'3. Assumptions'!$B$13/'3. Assumptions'!$B$4</f>
        <v>202222.222222222</v>
      </c>
      <c r="L12" s="15" t="n">
        <f aca="false">H12-G12-I12-J12-K12</f>
        <v>3336666.66666667</v>
      </c>
      <c r="M12" s="13" t="n">
        <f aca="false">G12/H12</f>
        <v>0.463897058823529</v>
      </c>
    </row>
    <row r="13" customFormat="false" ht="15" hidden="false" customHeight="false" outlineLevel="0" collapsed="false">
      <c r="A13" s="0" t="str">
        <f aca="false">'2. The tape'!A13</f>
        <v>Bristol depot</v>
      </c>
      <c r="B13" s="15" t="n">
        <f aca="false">'2. The tape'!C13*'2. The tape'!D13</f>
        <v>579500</v>
      </c>
      <c r="C13" s="15" t="n">
        <f aca="false">B13*(1-'3. Assumptions'!$B$13)/'3. Assumptions'!$B$5</f>
        <v>6749470.58823529</v>
      </c>
      <c r="D13" s="15" t="n">
        <f aca="false">B13*'2. The tape'!H13/12</f>
        <v>338041.666666667</v>
      </c>
      <c r="E13" s="15" t="n">
        <f aca="false">'2. The tape'!C13*'2. The tape'!I13</f>
        <v>427500</v>
      </c>
      <c r="F13" s="15" t="n">
        <f aca="false">B13*'3. Assumptions'!$B$16</f>
        <v>86925</v>
      </c>
      <c r="G13" s="15" t="n">
        <f aca="false">MAX(0,C13-D13-E13-F13)</f>
        <v>5897003.92156863</v>
      </c>
      <c r="H13" s="15" t="n">
        <f aca="false">'2. The tape'!C13*'2. The tape'!E13/'3. Assumptions'!$B$4</f>
        <v>9288888.88888889</v>
      </c>
      <c r="I13" s="15" t="n">
        <f aca="false">C13-G13</f>
        <v>852466.666666667</v>
      </c>
      <c r="J13" s="15" t="n">
        <f aca="false">B13*(1-'3. Assumptions'!$B$13)/'3. Assumptions'!$B$4-C13</f>
        <v>1749862.74509804</v>
      </c>
      <c r="K13" s="15" t="n">
        <f aca="false">'2. The tape'!C13*'2. The tape'!E13*'3. Assumptions'!$B$13/'3. Assumptions'!$B$4</f>
        <v>92888.8888888889</v>
      </c>
      <c r="L13" s="15" t="n">
        <f aca="false">H13-G13-I13-J13-K13</f>
        <v>696666.666666667</v>
      </c>
      <c r="M13" s="13" t="n">
        <f aca="false">G13/H13</f>
        <v>0.634844919786096</v>
      </c>
    </row>
    <row r="14" customFormat="false" ht="15" hidden="false" customHeight="false" outlineLevel="0" collapsed="false">
      <c r="A14" s="14" t="s">
        <v>49</v>
      </c>
      <c r="B14" s="15" t="n">
        <f aca="false">SUM(B5:B13)</f>
        <v>9606000</v>
      </c>
      <c r="C14" s="15" t="n">
        <f aca="false">SUM(C5:C13)</f>
        <v>111881647.058824</v>
      </c>
      <c r="D14" s="15" t="n">
        <f aca="false">SUM(D5:D13)</f>
        <v>12188916.6666667</v>
      </c>
      <c r="E14" s="15" t="n">
        <f aca="false">SUM(E5:E13)</f>
        <v>15100000</v>
      </c>
      <c r="F14" s="15" t="n">
        <f aca="false">SUM(F5:F13)</f>
        <v>1440900</v>
      </c>
      <c r="G14" s="15" t="n">
        <f aca="false">SUM(G5:G13)</f>
        <v>83151830.3921569</v>
      </c>
      <c r="H14" s="15" t="n">
        <f aca="false">SUM(H5:H13)</f>
        <v>179459259.259259</v>
      </c>
      <c r="I14" s="15" t="n">
        <f aca="false">SUM(I5:I13)</f>
        <v>28729816.6666667</v>
      </c>
      <c r="J14" s="15" t="n">
        <f aca="false">SUM(J5:J13)</f>
        <v>29006352.9411765</v>
      </c>
      <c r="K14" s="15" t="n">
        <f aca="false">SUM(K5:K13)</f>
        <v>1794592.59259259</v>
      </c>
      <c r="L14" s="15" t="n">
        <f aca="false">SUM(L5:L13)</f>
        <v>36776666.6666667</v>
      </c>
    </row>
    <row r="16" customFormat="false" ht="15" hidden="false" customHeight="false" outlineLevel="0" collapsed="false">
      <c r="A16" s="14" t="s">
        <v>129</v>
      </c>
      <c r="B16" s="15" t="n">
        <f aca="false">G14+I14</f>
        <v>111881647.058824</v>
      </c>
      <c r="C16" s="16" t="n">
        <f aca="false">B16/H14</f>
        <v>0.623437584221785</v>
      </c>
    </row>
    <row r="17" customFormat="false" ht="15" hidden="false" customHeight="false" outlineLevel="0" collapsed="false">
      <c r="A17" s="14" t="s">
        <v>130</v>
      </c>
      <c r="B17" s="15" t="n">
        <f aca="false">J14+L14</f>
        <v>65783019.6078431</v>
      </c>
      <c r="C17" s="16" t="n">
        <f aca="false">B17/H14</f>
        <v>0.366562415778215</v>
      </c>
    </row>
    <row r="18" customFormat="false" ht="15" hidden="false" customHeight="false" outlineLevel="0" collapsed="false">
      <c r="A18" s="14" t="s">
        <v>131</v>
      </c>
      <c r="B18" s="15" t="n">
        <f aca="false">K14</f>
        <v>1794592.59259259</v>
      </c>
      <c r="C18" s="16" t="n">
        <f aca="false">B18/H14</f>
        <v>0.01</v>
      </c>
    </row>
    <row r="20" customFormat="false" ht="28.35" hidden="false" customHeight="false" outlineLevel="0" collapsed="false">
      <c r="A20" s="4" t="s">
        <v>132</v>
      </c>
      <c r="B20" s="4" t="s">
        <v>133</v>
      </c>
      <c r="C20" s="4" t="s">
        <v>31</v>
      </c>
      <c r="D20" s="28" t="s">
        <v>134</v>
      </c>
      <c r="E20" s="28" t="s">
        <v>135</v>
      </c>
      <c r="F20" s="28" t="s">
        <v>136</v>
      </c>
    </row>
    <row r="21" customFormat="false" ht="15" hidden="false" customHeight="false" outlineLevel="0" collapsed="false">
      <c r="A21" s="0" t="str">
        <f aca="false">'2. The tape'!A5</f>
        <v>Alkmaar processing plant</v>
      </c>
      <c r="B21" s="16" t="n">
        <f aca="false">G5*(1-'3. Assumptions'!$B$15)/(H5*(1+'3. Assumptions'!$B$14))</f>
        <v>0.336230058058291</v>
      </c>
      <c r="C21" s="29" t="n">
        <f aca="false">'2. The tape'!G5</f>
        <v>0.95</v>
      </c>
      <c r="D21" s="20" t="n">
        <f aca="false">RANK(C21,$C$21:$C$29,1)</f>
        <v>9</v>
      </c>
      <c r="E21" s="20" t="n">
        <f aca="false">RANK(B21,$B$21:$B$29,1)</f>
        <v>3</v>
      </c>
      <c r="F21" s="20" t="n">
        <f aca="false">D21-E21</f>
        <v>6</v>
      </c>
    </row>
    <row r="22" customFormat="false" ht="15" hidden="false" customHeight="false" outlineLevel="0" collapsed="false">
      <c r="A22" s="0" t="str">
        <f aca="false">'2. The tape'!A6</f>
        <v>Roeselare cold store</v>
      </c>
      <c r="B22" s="16" t="n">
        <f aca="false">G6*(1-'3. Assumptions'!$B$15)/(H6*(1+'3. Assumptions'!$B$14))</f>
        <v>0.404688622291022</v>
      </c>
      <c r="C22" s="29" t="n">
        <f aca="false">'2. The tape'!G6</f>
        <v>0.9</v>
      </c>
      <c r="D22" s="20" t="n">
        <f aca="false">RANK(C22,$C$21:$C$29,1)</f>
        <v>7</v>
      </c>
      <c r="E22" s="20" t="n">
        <f aca="false">RANK(B22,$B$21:$B$29,1)</f>
        <v>4</v>
      </c>
      <c r="F22" s="20" t="n">
        <f aca="false">D22-E22</f>
        <v>3</v>
      </c>
    </row>
    <row r="23" customFormat="false" ht="15" hidden="false" customHeight="false" outlineLevel="0" collapsed="false">
      <c r="A23" s="0" t="str">
        <f aca="false">'2. The tape'!A7</f>
        <v>Zeebrugge warehouse</v>
      </c>
      <c r="B23" s="16" t="n">
        <f aca="false">G7*(1-'3. Assumptions'!$B$15)/(H7*(1+'3. Assumptions'!$B$14))</f>
        <v>0.577491655232073</v>
      </c>
      <c r="C23" s="29" t="n">
        <f aca="false">'2. The tape'!G7</f>
        <v>0.35</v>
      </c>
      <c r="D23" s="20" t="n">
        <f aca="false">RANK(C23,$C$21:$C$29,1)</f>
        <v>3</v>
      </c>
      <c r="E23" s="20" t="n">
        <f aca="false">RANK(B23,$B$21:$B$29,1)</f>
        <v>7</v>
      </c>
      <c r="F23" s="20" t="n">
        <f aca="false">D23-E23</f>
        <v>-4</v>
      </c>
    </row>
    <row r="24" customFormat="false" ht="15" hidden="false" customHeight="false" outlineLevel="0" collapsed="false">
      <c r="A24" s="0" t="str">
        <f aca="false">'2. The tape'!A8</f>
        <v>Venlo distribution centre</v>
      </c>
      <c r="B24" s="16" t="n">
        <f aca="false">G8*(1-'3. Assumptions'!$B$15)/(H8*(1+'3. Assumptions'!$B$14))</f>
        <v>0.593949647896843</v>
      </c>
      <c r="C24" s="29" t="n">
        <f aca="false">'2. The tape'!G8</f>
        <v>0.4</v>
      </c>
      <c r="D24" s="20" t="n">
        <f aca="false">RANK(C24,$C$21:$C$29,1)</f>
        <v>4</v>
      </c>
      <c r="E24" s="20" t="n">
        <f aca="false">RANK(B24,$B$21:$B$29,1)</f>
        <v>8</v>
      </c>
      <c r="F24" s="20" t="n">
        <f aca="false">D24-E24</f>
        <v>-4</v>
      </c>
    </row>
    <row r="25" customFormat="false" ht="15" hidden="false" customHeight="false" outlineLevel="0" collapsed="false">
      <c r="A25" s="0" t="str">
        <f aca="false">'2. The tape'!A9</f>
        <v>Lyon processing plant</v>
      </c>
      <c r="B25" s="16" t="n">
        <f aca="false">G9*(1-'3. Assumptions'!$B$15)/(H9*(1+'3. Assumptions'!$B$14))</f>
        <v>0.308345947658268</v>
      </c>
      <c r="C25" s="29" t="n">
        <f aca="false">'2. The tape'!G9</f>
        <v>0.92</v>
      </c>
      <c r="D25" s="20" t="n">
        <f aca="false">RANK(C25,$C$21:$C$29,1)</f>
        <v>8</v>
      </c>
      <c r="E25" s="20" t="n">
        <f aca="false">RANK(B25,$B$21:$B$29,1)</f>
        <v>2</v>
      </c>
      <c r="F25" s="20" t="n">
        <f aca="false">D25-E25</f>
        <v>6</v>
      </c>
    </row>
    <row r="26" customFormat="false" ht="15" hidden="false" customHeight="false" outlineLevel="0" collapsed="false">
      <c r="A26" s="0" t="str">
        <f aca="false">'2. The tape'!A10</f>
        <v>Valencia packing hall</v>
      </c>
      <c r="B26" s="16" t="n">
        <f aca="false">G10*(1-'3. Assumptions'!$B$15)/(H10*(1+'3. Assumptions'!$B$14))</f>
        <v>0.477442012410168</v>
      </c>
      <c r="C26" s="29" t="n">
        <f aca="false">'2. The tape'!G10</f>
        <v>0.6</v>
      </c>
      <c r="D26" s="20" t="n">
        <f aca="false">RANK(C26,$C$21:$C$29,1)</f>
        <v>5</v>
      </c>
      <c r="E26" s="20" t="n">
        <f aca="false">RANK(B26,$B$21:$B$29,1)</f>
        <v>6</v>
      </c>
      <c r="F26" s="20" t="n">
        <f aca="false">D26-E26</f>
        <v>-1</v>
      </c>
    </row>
    <row r="27" customFormat="false" ht="15" hidden="false" customHeight="false" outlineLevel="0" collapsed="false">
      <c r="A27" s="0" t="str">
        <f aca="false">'2. The tape'!A11</f>
        <v>Wroclaw plant</v>
      </c>
      <c r="B27" s="16" t="n">
        <f aca="false">G11*(1-'3. Assumptions'!$B$15)/(H11*(1+'3. Assumptions'!$B$14))</f>
        <v>0.28321706182473</v>
      </c>
      <c r="C27" s="29" t="n">
        <f aca="false">'2. The tape'!G11</f>
        <v>0.88</v>
      </c>
      <c r="D27" s="20" t="n">
        <f aca="false">RANK(C27,$C$21:$C$29,1)</f>
        <v>6</v>
      </c>
      <c r="E27" s="20" t="n">
        <f aca="false">RANK(B27,$B$21:$B$29,1)</f>
        <v>1</v>
      </c>
      <c r="F27" s="20" t="n">
        <f aca="false">D27-E27</f>
        <v>5</v>
      </c>
    </row>
    <row r="28" customFormat="false" ht="15" hidden="false" customHeight="false" outlineLevel="0" collapsed="false">
      <c r="A28" s="0" t="str">
        <f aca="false">'2. The tape'!A12</f>
        <v>Hamburg head office</v>
      </c>
      <c r="B28" s="16" t="n">
        <f aca="false">G12*(1-'3. Assumptions'!$B$15)/(H12*(1+'3. Assumptions'!$B$14))</f>
        <v>0.44797902249135</v>
      </c>
      <c r="C28" s="29" t="n">
        <f aca="false">'2. The tape'!G12</f>
        <v>0.25</v>
      </c>
      <c r="D28" s="20" t="n">
        <f aca="false">RANK(C28,$C$21:$C$29,1)</f>
        <v>1</v>
      </c>
      <c r="E28" s="20" t="n">
        <f aca="false">RANK(B28,$B$21:$B$29,1)</f>
        <v>5</v>
      </c>
      <c r="F28" s="20" t="n">
        <f aca="false">D28-E28</f>
        <v>-4</v>
      </c>
    </row>
    <row r="29" customFormat="false" ht="15" hidden="false" customHeight="false" outlineLevel="0" collapsed="false">
      <c r="A29" s="0" t="str">
        <f aca="false">'2. The tape'!A13</f>
        <v>Bristol depot</v>
      </c>
      <c r="B29" s="16" t="n">
        <f aca="false">G13*(1-'3. Assumptions'!$B$15)/(H13*(1+'3. Assumptions'!$B$14))</f>
        <v>0.613061025479711</v>
      </c>
      <c r="C29" s="29" t="n">
        <f aca="false">'2. The tape'!G13</f>
        <v>0.3</v>
      </c>
      <c r="D29" s="20" t="n">
        <f aca="false">RANK(C29,$C$21:$C$29,1)</f>
        <v>2</v>
      </c>
      <c r="E29" s="20" t="n">
        <f aca="false">RANK(B29,$B$21:$B$29,1)</f>
        <v>9</v>
      </c>
      <c r="F29" s="20" t="n">
        <f aca="false">D29-E29</f>
        <v>-7</v>
      </c>
    </row>
    <row r="31" customFormat="false" ht="15" hidden="false" customHeight="false" outlineLevel="0" collapsed="false">
      <c r="A31" s="30" t="s">
        <v>137</v>
      </c>
      <c r="B31" s="31" t="n">
        <f aca="false">1-6*SUMPRODUCT(F21:F29^2)/(9*(9^2-1))</f>
        <v>-0.7</v>
      </c>
    </row>
    <row r="33" customFormat="false" ht="15" hidden="false" customHeight="false" outlineLevel="0" collapsed="false">
      <c r="A33" s="30" t="s">
        <v>138</v>
      </c>
    </row>
    <row r="34" customFormat="false" ht="28.35" hidden="false" customHeight="false" outlineLevel="0" collapsed="false">
      <c r="A34" s="28" t="s">
        <v>139</v>
      </c>
      <c r="B34" s="28" t="s">
        <v>140</v>
      </c>
      <c r="C34" s="28" t="s">
        <v>128</v>
      </c>
      <c r="D34" s="28" t="s">
        <v>141</v>
      </c>
      <c r="E34" s="28" t="s">
        <v>142</v>
      </c>
      <c r="F34" s="28" t="s">
        <v>143</v>
      </c>
    </row>
    <row r="35" customFormat="false" ht="15" hidden="false" customHeight="false" outlineLevel="0" collapsed="false">
      <c r="A35" s="20" t="s">
        <v>144</v>
      </c>
      <c r="B35" s="13" t="n">
        <f aca="false">SUMIF('2. The tape'!$G$5:$G$13,"&gt;="&amp;$B$38,$H$5:$H$13)/$H$14</f>
        <v>0.480249308622611</v>
      </c>
      <c r="C35" s="13" t="n">
        <f aca="false">SUMIF('2. The tape'!$G$5:$G$13,"&gt;="&amp;$B$38,$G$5:$G$13)/SUMIF('2. The tape'!$G$5:$G$13,"&gt;="&amp;$B$38,$H$5:$H$13)</f>
        <v>0.35087277737051</v>
      </c>
      <c r="D35" s="13" t="n">
        <f aca="false">SUMIF('2. The tape'!$G$5:$G$13,"&gt;="&amp;$B$38,$G$5:$G$13)*(1-'3. Assumptions'!$B$15)/(SUMIF('2. The tape'!$G$5:$G$13,"&gt;="&amp;$B$38,$H$5:$H$13)*(1+'3. Assumptions'!$B$14))</f>
        <v>0.338833025205835</v>
      </c>
      <c r="E35" s="31" t="n">
        <f aca="false">SUMPRODUCT(('2. The tape'!$G$5:$G$13&gt;=$B$38)*'2. The tape'!$G$5:$G$13*$H$5:$H$13)/SUMIF('2. The tape'!$G$5:$G$13,"&gt;="&amp;$B$38,$H$5:$H$13)</f>
        <v>0.917189514396218</v>
      </c>
      <c r="F35" s="20" t="n">
        <f aca="false">COUNTIF('2. The tape'!$G$5:$G$13,"&gt;="&amp;$B$38)</f>
        <v>4</v>
      </c>
    </row>
    <row r="36" customFormat="false" ht="15" hidden="false" customHeight="false" outlineLevel="0" collapsed="false">
      <c r="A36" s="20" t="s">
        <v>145</v>
      </c>
      <c r="B36" s="13" t="n">
        <f aca="false">SUMIF('2. The tape'!$G$5:$G$13,"&lt;"&amp;$B$38,$H$5:$H$13)/$H$14</f>
        <v>0.519750691377389</v>
      </c>
      <c r="C36" s="13" t="n">
        <f aca="false">SUMIF('2. The tape'!$G$5:$G$13,"&lt;"&amp;$B$38,$G$5:$G$13)/SUMIF('2. The tape'!$G$5:$G$13,"&lt;"&amp;$B$38,$H$5:$H$13)</f>
        <v>0.567272263201659</v>
      </c>
      <c r="D36" s="13" t="n">
        <f aca="false">SUMIF('2. The tape'!$G$5:$G$13,"&lt;"&amp;$B$38,$G$5:$G$13)*(1-'3. Assumptions'!$B$15)/(SUMIF('2. The tape'!$G$5:$G$13,"&lt;"&amp;$B$38,$H$5:$H$13)*(1+'3. Assumptions'!$B$14))</f>
        <v>0.547807038483955</v>
      </c>
      <c r="E36" s="31" t="n">
        <f aca="false">SUMPRODUCT(('2. The tape'!$G$5:$G$13&lt;$B$38)*'2. The tape'!$G$5:$G$13*$H$5:$H$13)/SUMIF('2. The tape'!$G$5:$G$13,"&lt;"&amp;$B$38,$H$5:$H$13)</f>
        <v>0.362603240152478</v>
      </c>
      <c r="F36" s="20" t="n">
        <f aca="false">COUNTIF('2. The tape'!$G$5:$G$13,"&lt;"&amp;$B$38)</f>
        <v>5</v>
      </c>
    </row>
    <row r="38" customFormat="false" ht="15" hidden="false" customHeight="false" outlineLevel="0" collapsed="false">
      <c r="A38" s="20" t="s">
        <v>146</v>
      </c>
      <c r="B38" s="32" t="n">
        <v>0.7</v>
      </c>
    </row>
    <row r="40" customFormat="false" ht="15" hidden="false" customHeight="false" outlineLevel="0" collapsed="false">
      <c r="A40" s="30" t="s">
        <v>147</v>
      </c>
    </row>
    <row r="41" customFormat="false" ht="15" hidden="false" customHeight="false" outlineLevel="0" collapsed="false">
      <c r="A41" s="28" t="s">
        <v>25</v>
      </c>
      <c r="B41" s="28" t="s">
        <v>148</v>
      </c>
      <c r="C41" s="28" t="s">
        <v>149</v>
      </c>
      <c r="D41" s="28" t="s">
        <v>150</v>
      </c>
      <c r="E41" s="28" t="s">
        <v>151</v>
      </c>
    </row>
    <row r="42" customFormat="false" ht="15" hidden="false" customHeight="false" outlineLevel="0" collapsed="false">
      <c r="A42" s="20" t="str">
        <f aca="false">'2. The tape'!A5</f>
        <v>Alkmaar processing plant</v>
      </c>
      <c r="B42" s="13" t="n">
        <f aca="false">MAX(0,('2. The tape'!$C$5*'2. The tape'!$D$5*(1-'2. The tape'!$J$5)^0*(1+'3. Assumptions'!$B$12)^0*((1-'3. Assumptions'!$B$13)/'3. Assumptions'!$B$5-'2. The tape'!$H$5/12-'3. Assumptions'!$B$16)-'2. The tape'!$C$5*'2. The tape'!$I$5*(1+'3. Assumptions'!$B$12)^0))*(1-'3. Assumptions'!$B$15)/(H5*(1+'3. Assumptions'!$B$14))</f>
        <v>0.336230058058291</v>
      </c>
      <c r="C42" s="13" t="n">
        <f aca="false">MAX(0,('2. The tape'!$C$5*'2. The tape'!$D$5*(1-'2. The tape'!$J$5)^5*(1+'3. Assumptions'!$B$12)^5*((1-'3. Assumptions'!$B$13)/'3. Assumptions'!$B$5-'2. The tape'!$H$5/12-'3. Assumptions'!$B$16)-'2. The tape'!$C$5*'2. The tape'!$I$5*(1+'3. Assumptions'!$B$12)^5))*(1-'3. Assumptions'!$B$15)/(H5*(1+'3. Assumptions'!$B$14))</f>
        <v>0.306126320315054</v>
      </c>
      <c r="D42" s="13" t="n">
        <f aca="false">MAX(0,('2. The tape'!$C$5*'2. The tape'!$D$5*(1-'2. The tape'!$J$5)^10*(1+'3. Assumptions'!$B$12)^10*((1-'3. Assumptions'!$B$13)/'3. Assumptions'!$B$5-'2. The tape'!$H$5/12-'3. Assumptions'!$B$16)-'2. The tape'!$C$5*'2. The tape'!$I$5*(1+'3. Assumptions'!$B$12)^10))*(1-'3. Assumptions'!$B$15)/(H5*(1+'3. Assumptions'!$B$14))</f>
        <v>0.275488098999949</v>
      </c>
      <c r="E42" s="13" t="n">
        <f aca="false">MAX(0,('2. The tape'!$C$5*'2. The tape'!$D$5*(1-'2. The tape'!$J$5)^20*(1+'3. Assumptions'!$B$12)^20*((1-'3. Assumptions'!$B$13)/'3. Assumptions'!$B$5-'2. The tape'!$H$5/12-'3. Assumptions'!$B$16)-'2. The tape'!$C$5*'2. The tape'!$I$5*(1+'3. Assumptions'!$B$12)^20))*(1-'3. Assumptions'!$B$15)/(H5*(1+'3. Assumptions'!$B$14))</f>
        <v>0.211848319873638</v>
      </c>
    </row>
    <row r="43" customFormat="false" ht="15" hidden="false" customHeight="false" outlineLevel="0" collapsed="false">
      <c r="A43" s="20" t="str">
        <f aca="false">'2. The tape'!A6</f>
        <v>Roeselare cold store</v>
      </c>
      <c r="B43" s="13" t="n">
        <f aca="false">MAX(0,('2. The tape'!$C$6*'2. The tape'!$D$6*(1-'2. The tape'!$J$6)^0*(1+'3. Assumptions'!$B$12)^0*((1-'3. Assumptions'!$B$13)/'3. Assumptions'!$B$5-'2. The tape'!$H$6/12-'3. Assumptions'!$B$16)-'2. The tape'!$C$6*'2. The tape'!$I$6*(1+'3. Assumptions'!$B$12)^0))*(1-'3. Assumptions'!$B$15)/(H6*(1+'3. Assumptions'!$B$14))</f>
        <v>0.404688622291022</v>
      </c>
      <c r="C43" s="13" t="n">
        <f aca="false">MAX(0,('2. The tape'!$C$6*'2. The tape'!$D$6*(1-'2. The tape'!$J$6)^5*(1+'3. Assumptions'!$B$12)^5*((1-'3. Assumptions'!$B$13)/'3. Assumptions'!$B$5-'2. The tape'!$H$6/12-'3. Assumptions'!$B$16)-'2. The tape'!$C$6*'2. The tape'!$I$6*(1+'3. Assumptions'!$B$12)^5))*(1-'3. Assumptions'!$B$15)/(H6*(1+'3. Assumptions'!$B$14))</f>
        <v>0.382363178607155</v>
      </c>
      <c r="D43" s="13" t="n">
        <f aca="false">MAX(0,('2. The tape'!$C$6*'2. The tape'!$D$6*(1-'2. The tape'!$J$6)^10*(1+'3. Assumptions'!$B$12)^10*((1-'3. Assumptions'!$B$13)/'3. Assumptions'!$B$5-'2. The tape'!$H$6/12-'3. Assumptions'!$B$16)-'2. The tape'!$C$6*'2. The tape'!$I$6*(1+'3. Assumptions'!$B$12)^10))*(1-'3. Assumptions'!$B$15)/(H6*(1+'3. Assumptions'!$B$14))</f>
        <v>0.359718883823426</v>
      </c>
      <c r="E43" s="13" t="n">
        <f aca="false">MAX(0,('2. The tape'!$C$6*'2. The tape'!$D$6*(1-'2. The tape'!$J$6)^20*(1+'3. Assumptions'!$B$12)^20*((1-'3. Assumptions'!$B$13)/'3. Assumptions'!$B$5-'2. The tape'!$H$6/12-'3. Assumptions'!$B$16)-'2. The tape'!$C$6*'2. The tape'!$I$6*(1+'3. Assumptions'!$B$12)^20))*(1-'3. Assumptions'!$B$15)/(H6*(1+'3. Assumptions'!$B$14))</f>
        <v>0.313023417095091</v>
      </c>
    </row>
    <row r="44" customFormat="false" ht="15" hidden="false" customHeight="false" outlineLevel="0" collapsed="false">
      <c r="A44" s="20" t="str">
        <f aca="false">'2. The tape'!A7</f>
        <v>Zeebrugge warehouse</v>
      </c>
      <c r="B44" s="13" t="n">
        <f aca="false">MAX(0,('2. The tape'!$C$7*'2. The tape'!$D$7*(1-'2. The tape'!$J$7)^0*(1+'3. Assumptions'!$B$12)^0*((1-'3. Assumptions'!$B$13)/'3. Assumptions'!$B$5-'2. The tape'!$H$7/12-'3. Assumptions'!$B$16)-'2. The tape'!$C$7*'2. The tape'!$I$7*(1+'3. Assumptions'!$B$12)^0))*(1-'3. Assumptions'!$B$15)/(H7*(1+'3. Assumptions'!$B$14))</f>
        <v>0.577491655232073</v>
      </c>
      <c r="C44" s="13" t="n">
        <f aca="false">MAX(0,('2. The tape'!$C$7*'2. The tape'!$D$7*(1-'2. The tape'!$J$7)^5*(1+'3. Assumptions'!$B$12)^5*((1-'3. Assumptions'!$B$13)/'3. Assumptions'!$B$5-'2. The tape'!$H$7/12-'3. Assumptions'!$B$16)-'2. The tape'!$C$7*'2. The tape'!$I$7*(1+'3. Assumptions'!$B$12)^5))*(1-'3. Assumptions'!$B$15)/(H7*(1+'3. Assumptions'!$B$14))</f>
        <v>0.592905599411161</v>
      </c>
      <c r="D44" s="13" t="n">
        <f aca="false">MAX(0,('2. The tape'!$C$7*'2. The tape'!$D$7*(1-'2. The tape'!$J$7)^10*(1+'3. Assumptions'!$B$12)^10*((1-'3. Assumptions'!$B$13)/'3. Assumptions'!$B$5-'2. The tape'!$H$7/12-'3. Assumptions'!$B$16)-'2. The tape'!$C$7*'2. The tape'!$I$7*(1+'3. Assumptions'!$B$12)^10))*(1-'3. Assumptions'!$B$15)/(H7*(1+'3. Assumptions'!$B$14))</f>
        <v>0.608368752052978</v>
      </c>
      <c r="E44" s="13" t="n">
        <f aca="false">MAX(0,('2. The tape'!$C$7*'2. The tape'!$D$7*(1-'2. The tape'!$J$7)^20*(1+'3. Assumptions'!$B$12)^20*((1-'3. Assumptions'!$B$13)/'3. Assumptions'!$B$5-'2. The tape'!$H$7/12-'3. Assumptions'!$B$16)-'2. The tape'!$C$7*'2. The tape'!$I$7*(1+'3. Assumptions'!$B$12)^20))*(1-'3. Assumptions'!$B$15)/(H7*(1+'3. Assumptions'!$B$14))</f>
        <v>0.639224419332432</v>
      </c>
    </row>
    <row r="45" customFormat="false" ht="15" hidden="false" customHeight="false" outlineLevel="0" collapsed="false">
      <c r="A45" s="20" t="str">
        <f aca="false">'2. The tape'!A8</f>
        <v>Venlo distribution centre</v>
      </c>
      <c r="B45" s="13" t="n">
        <f aca="false">MAX(0,('2. The tape'!$C$8*'2. The tape'!$D$8*(1-'2. The tape'!$J$8)^0*(1+'3. Assumptions'!$B$12)^0*((1-'3. Assumptions'!$B$13)/'3. Assumptions'!$B$5-'2. The tape'!$H$8/12-'3. Assumptions'!$B$16)-'2. The tape'!$C$8*'2. The tape'!$I$8*(1+'3. Assumptions'!$B$12)^0))*(1-'3. Assumptions'!$B$15)/(H8*(1+'3. Assumptions'!$B$14))</f>
        <v>0.593949647896843</v>
      </c>
      <c r="C45" s="13" t="n">
        <f aca="false">MAX(0,('2. The tape'!$C$8*'2. The tape'!$D$8*(1-'2. The tape'!$J$8)^5*(1+'3. Assumptions'!$B$12)^5*((1-'3. Assumptions'!$B$13)/'3. Assumptions'!$B$5-'2. The tape'!$H$8/12-'3. Assumptions'!$B$16)-'2. The tape'!$C$8*'2. The tape'!$I$8*(1+'3. Assumptions'!$B$12)^5))*(1-'3. Assumptions'!$B$15)/(H8*(1+'3. Assumptions'!$B$14))</f>
        <v>0.610304591010477</v>
      </c>
      <c r="D45" s="13" t="n">
        <f aca="false">MAX(0,('2. The tape'!$C$8*'2. The tape'!$D$8*(1-'2. The tape'!$J$8)^10*(1+'3. Assumptions'!$B$12)^10*((1-'3. Assumptions'!$B$13)/'3. Assumptions'!$B$5-'2. The tape'!$H$8/12-'3. Assumptions'!$B$16)-'2. The tape'!$C$8*'2. The tape'!$I$8*(1+'3. Assumptions'!$B$12)^10))*(1-'3. Assumptions'!$B$15)/(H8*(1+'3. Assumptions'!$B$14))</f>
        <v>0.626784772901983</v>
      </c>
      <c r="E45" s="13" t="n">
        <f aca="false">MAX(0,('2. The tape'!$C$8*'2. The tape'!$D$8*(1-'2. The tape'!$J$8)^20*(1+'3. Assumptions'!$B$12)^20*((1-'3. Assumptions'!$B$13)/'3. Assumptions'!$B$5-'2. The tape'!$H$8/12-'3. Assumptions'!$B$16)-'2. The tape'!$C$8*'2. The tape'!$I$8*(1+'3. Assumptions'!$B$12)^20))*(1-'3. Assumptions'!$B$15)/(H8*(1+'3. Assumptions'!$B$14))</f>
        <v>0.659934046265728</v>
      </c>
    </row>
    <row r="46" customFormat="false" ht="15" hidden="false" customHeight="false" outlineLevel="0" collapsed="false">
      <c r="A46" s="20" t="str">
        <f aca="false">'2. The tape'!A9</f>
        <v>Lyon processing plant</v>
      </c>
      <c r="B46" s="13" t="n">
        <f aca="false">MAX(0,('2. The tape'!$C$9*'2. The tape'!$D$9*(1-'2. The tape'!$J$9)^0*(1+'3. Assumptions'!$B$12)^0*((1-'3. Assumptions'!$B$13)/'3. Assumptions'!$B$5-'2. The tape'!$H$9/12-'3. Assumptions'!$B$16)-'2. The tape'!$C$9*'2. The tape'!$I$9*(1+'3. Assumptions'!$B$12)^0))*(1-'3. Assumptions'!$B$15)/(H9*(1+'3. Assumptions'!$B$14))</f>
        <v>0.308345947658268</v>
      </c>
      <c r="C46" s="13" t="n">
        <f aca="false">MAX(0,('2. The tape'!$C$9*'2. The tape'!$D$9*(1-'2. The tape'!$J$9)^5*(1+'3. Assumptions'!$B$12)^5*((1-'3. Assumptions'!$B$13)/'3. Assumptions'!$B$5-'2. The tape'!$H$9/12-'3. Assumptions'!$B$16)-'2. The tape'!$C$9*'2. The tape'!$I$9*(1+'3. Assumptions'!$B$12)^5))*(1-'3. Assumptions'!$B$15)/(H9*(1+'3. Assumptions'!$B$14))</f>
        <v>0.277871610802331</v>
      </c>
      <c r="D46" s="13" t="n">
        <f aca="false">MAX(0,('2. The tape'!$C$9*'2. The tape'!$D$9*(1-'2. The tape'!$J$9)^10*(1+'3. Assumptions'!$B$12)^10*((1-'3. Assumptions'!$B$13)/'3. Assumptions'!$B$5-'2. The tape'!$H$9/12-'3. Assumptions'!$B$16)-'2. The tape'!$C$9*'2. The tape'!$I$9*(1+'3. Assumptions'!$B$12)^10))*(1-'3. Assumptions'!$B$15)/(H9*(1+'3. Assumptions'!$B$14))</f>
        <v>0.246699559593203</v>
      </c>
      <c r="E46" s="13" t="n">
        <f aca="false">MAX(0,('2. The tape'!$C$9*'2. The tape'!$D$9*(1-'2. The tape'!$J$9)^20*(1+'3. Assumptions'!$B$12)^20*((1-'3. Assumptions'!$B$13)/'3. Assumptions'!$B$5-'2. The tape'!$H$9/12-'3. Assumptions'!$B$16)-'2. The tape'!$C$9*'2. The tape'!$I$9*(1+'3. Assumptions'!$B$12)^20))*(1-'3. Assumptions'!$B$15)/(H9*(1+'3. Assumptions'!$B$14))</f>
        <v>0.181446125805624</v>
      </c>
    </row>
    <row r="47" customFormat="false" ht="15" hidden="false" customHeight="false" outlineLevel="0" collapsed="false">
      <c r="A47" s="20" t="str">
        <f aca="false">'2. The tape'!A10</f>
        <v>Valencia packing hall</v>
      </c>
      <c r="B47" s="13" t="n">
        <f aca="false">MAX(0,('2. The tape'!$C$10*'2. The tape'!$D$10*(1-'2. The tape'!$J$10)^0*(1+'3. Assumptions'!$B$12)^0*((1-'3. Assumptions'!$B$13)/'3. Assumptions'!$B$5-'2. The tape'!$H$10/12-'3. Assumptions'!$B$16)-'2. The tape'!$C$10*'2. The tape'!$I$10*(1+'3. Assumptions'!$B$12)^0))*(1-'3. Assumptions'!$B$15)/(H10*(1+'3. Assumptions'!$B$14))</f>
        <v>0.477442012410168</v>
      </c>
      <c r="C47" s="13" t="n">
        <f aca="false">MAX(0,('2. The tape'!$C$10*'2. The tape'!$D$10*(1-'2. The tape'!$J$10)^5*(1+'3. Assumptions'!$B$12)^5*((1-'3. Assumptions'!$B$13)/'3. Assumptions'!$B$5-'2. The tape'!$H$10/12-'3. Assumptions'!$B$16)-'2. The tape'!$C$10*'2. The tape'!$I$10*(1+'3. Assumptions'!$B$12)^5))*(1-'3. Assumptions'!$B$15)/(H10*(1+'3. Assumptions'!$B$14))</f>
        <v>0.473120729808165</v>
      </c>
      <c r="D47" s="13" t="n">
        <f aca="false">MAX(0,('2. The tape'!$C$10*'2. The tape'!$D$10*(1-'2. The tape'!$J$10)^10*(1+'3. Assumptions'!$B$12)^10*((1-'3. Assumptions'!$B$13)/'3. Assumptions'!$B$5-'2. The tape'!$H$10/12-'3. Assumptions'!$B$16)-'2. The tape'!$C$10*'2. The tape'!$I$10*(1+'3. Assumptions'!$B$12)^10))*(1-'3. Assumptions'!$B$15)/(H10*(1+'3. Assumptions'!$B$14))</f>
        <v>0.467839506346608</v>
      </c>
      <c r="E47" s="13" t="n">
        <f aca="false">MAX(0,('2. The tape'!$C$10*'2. The tape'!$D$10*(1-'2. The tape'!$J$10)^20*(1+'3. Assumptions'!$B$12)^20*((1-'3. Assumptions'!$B$13)/'3. Assumptions'!$B$5-'2. The tape'!$H$10/12-'3. Assumptions'!$B$16)-'2. The tape'!$C$10*'2. The tape'!$I$10*(1+'3. Assumptions'!$B$12)^20))*(1-'3. Assumptions'!$B$15)/(H10*(1+'3. Assumptions'!$B$14))</f>
        <v>0.453928238785221</v>
      </c>
    </row>
    <row r="48" customFormat="false" ht="15" hidden="false" customHeight="false" outlineLevel="0" collapsed="false">
      <c r="A48" s="20" t="str">
        <f aca="false">'2. The tape'!A11</f>
        <v>Wroclaw plant</v>
      </c>
      <c r="B48" s="13" t="n">
        <f aca="false">MAX(0,('2. The tape'!$C$11*'2. The tape'!$D$11*(1-'2. The tape'!$J$11)^0*(1+'3. Assumptions'!$B$12)^0*((1-'3. Assumptions'!$B$13)/'3. Assumptions'!$B$5-'2. The tape'!$H$11/12-'3. Assumptions'!$B$16)-'2. The tape'!$C$11*'2. The tape'!$I$11*(1+'3. Assumptions'!$B$12)^0))*(1-'3. Assumptions'!$B$15)/(H11*(1+'3. Assumptions'!$B$14))</f>
        <v>0.28321706182473</v>
      </c>
      <c r="C48" s="13" t="n">
        <f aca="false">MAX(0,('2. The tape'!$C$11*'2. The tape'!$D$11*(1-'2. The tape'!$J$11)^5*(1+'3. Assumptions'!$B$12)^5*((1-'3. Assumptions'!$B$13)/'3. Assumptions'!$B$5-'2. The tape'!$H$11/12-'3. Assumptions'!$B$16)-'2. The tape'!$C$11*'2. The tape'!$I$11*(1+'3. Assumptions'!$B$12)^5))*(1-'3. Assumptions'!$B$15)/(H11*(1+'3. Assumptions'!$B$14))</f>
        <v>0.248116584582919</v>
      </c>
      <c r="D48" s="13" t="n">
        <f aca="false">MAX(0,('2. The tape'!$C$11*'2. The tape'!$D$11*(1-'2. The tape'!$J$11)^10*(1+'3. Assumptions'!$B$12)^10*((1-'3. Assumptions'!$B$13)/'3. Assumptions'!$B$5-'2. The tape'!$H$11/12-'3. Assumptions'!$B$16)-'2. The tape'!$C$11*'2. The tape'!$I$11*(1+'3. Assumptions'!$B$12)^10))*(1-'3. Assumptions'!$B$15)/(H11*(1+'3. Assumptions'!$B$14))</f>
        <v>0.211860576625513</v>
      </c>
      <c r="E48" s="13" t="n">
        <f aca="false">MAX(0,('2. The tape'!$C$11*'2. The tape'!$D$11*(1-'2. The tape'!$J$11)^20*(1+'3. Assumptions'!$B$12)^20*((1-'3. Assumptions'!$B$13)/'3. Assumptions'!$B$5-'2. The tape'!$H$11/12-'3. Assumptions'!$B$16)-'2. The tape'!$C$11*'2. The tape'!$I$11*(1+'3. Assumptions'!$B$12)^20))*(1-'3. Assumptions'!$B$15)/(H11*(1+'3. Assumptions'!$B$14))</f>
        <v>0.134836415846942</v>
      </c>
    </row>
    <row r="49" customFormat="false" ht="15" hidden="false" customHeight="false" outlineLevel="0" collapsed="false">
      <c r="A49" s="20" t="str">
        <f aca="false">'2. The tape'!A12</f>
        <v>Hamburg head office</v>
      </c>
      <c r="B49" s="13" t="n">
        <f aca="false">MAX(0,('2. The tape'!$C$12*'2. The tape'!$D$12*(1-'2. The tape'!$J$12)^0*(1+'3. Assumptions'!$B$12)^0*((1-'3. Assumptions'!$B$13)/'3. Assumptions'!$B$5-'2. The tape'!$H$12/12-'3. Assumptions'!$B$16)-'2. The tape'!$C$12*'2. The tape'!$I$12*(1+'3. Assumptions'!$B$12)^0))*(1-'3. Assumptions'!$B$15)/(H12*(1+'3. Assumptions'!$B$14))</f>
        <v>0.44797902249135</v>
      </c>
      <c r="C49" s="13" t="n">
        <f aca="false">MAX(0,('2. The tape'!$C$12*'2. The tape'!$D$12*(1-'2. The tape'!$J$12)^5*(1+'3. Assumptions'!$B$12)^5*((1-'3. Assumptions'!$B$13)/'3. Assumptions'!$B$5-'2. The tape'!$H$12/12-'3. Assumptions'!$B$16)-'2. The tape'!$C$12*'2. The tape'!$I$12*(1+'3. Assumptions'!$B$12)^5))*(1-'3. Assumptions'!$B$15)/(H12*(1+'3. Assumptions'!$B$14))</f>
        <v>0.434145428863697</v>
      </c>
      <c r="D49" s="13" t="n">
        <f aca="false">MAX(0,('2. The tape'!$C$12*'2. The tape'!$D$12*(1-'2. The tape'!$J$12)^10*(1+'3. Assumptions'!$B$12)^10*((1-'3. Assumptions'!$B$13)/'3. Assumptions'!$B$5-'2. The tape'!$H$12/12-'3. Assumptions'!$B$16)-'2. The tape'!$C$12*'2. The tape'!$I$12*(1+'3. Assumptions'!$B$12)^10))*(1-'3. Assumptions'!$B$15)/(H12*(1+'3. Assumptions'!$B$14))</f>
        <v>0.418879636220803</v>
      </c>
      <c r="E49" s="13" t="n">
        <f aca="false">MAX(0,('2. The tape'!$C$12*'2. The tape'!$D$12*(1-'2. The tape'!$J$12)^20*(1+'3. Assumptions'!$B$12)^20*((1-'3. Assumptions'!$B$13)/'3. Assumptions'!$B$5-'2. The tape'!$H$12/12-'3. Assumptions'!$B$16)-'2. The tape'!$C$12*'2. The tape'!$I$12*(1+'3. Assumptions'!$B$12)^20))*(1-'3. Assumptions'!$B$15)/(H12*(1+'3. Assumptions'!$B$14))</f>
        <v>0.383372448263757</v>
      </c>
    </row>
    <row r="50" customFormat="false" ht="15" hidden="false" customHeight="false" outlineLevel="0" collapsed="false">
      <c r="A50" s="20" t="str">
        <f aca="false">'2. The tape'!A13</f>
        <v>Bristol depot</v>
      </c>
      <c r="B50" s="13" t="n">
        <f aca="false">MAX(0,('2. The tape'!$C$13*'2. The tape'!$D$13*(1-'2. The tape'!$J$13)^0*(1+'3. Assumptions'!$B$12)^0*((1-'3. Assumptions'!$B$13)/'3. Assumptions'!$B$5-'2. The tape'!$H$13/12-'3. Assumptions'!$B$16)-'2. The tape'!$C$13*'2. The tape'!$I$13*(1+'3. Assumptions'!$B$12)^0))*(1-'3. Assumptions'!$B$15)/(H13*(1+'3. Assumptions'!$B$14))</f>
        <v>0.613061025479711</v>
      </c>
      <c r="C50" s="13" t="n">
        <f aca="false">MAX(0,('2. The tape'!$C$13*'2. The tape'!$D$13*(1-'2. The tape'!$J$13)^5*(1+'3. Assumptions'!$B$12)^5*((1-'3. Assumptions'!$B$13)/'3. Assumptions'!$B$5-'2. The tape'!$H$13/12-'3. Assumptions'!$B$16)-'2. The tape'!$C$13*'2. The tape'!$I$13*(1+'3. Assumptions'!$B$12)^5))*(1-'3. Assumptions'!$B$15)/(H13*(1+'3. Assumptions'!$B$14))</f>
        <v>0.630174598065529</v>
      </c>
      <c r="D50" s="13" t="n">
        <f aca="false">MAX(0,('2. The tape'!$C$13*'2. The tape'!$D$13*(1-'2. The tape'!$J$13)^10*(1+'3. Assumptions'!$B$12)^10*((1-'3. Assumptions'!$B$13)/'3. Assumptions'!$B$5-'2. The tape'!$H$13/12-'3. Assumptions'!$B$16)-'2. The tape'!$C$13*'2. The tape'!$I$13*(1+'3. Assumptions'!$B$12)^10))*(1-'3. Assumptions'!$B$15)/(H13*(1+'3. Assumptions'!$B$14))</f>
        <v>0.647452004741346</v>
      </c>
      <c r="E50" s="13" t="n">
        <f aca="false">MAX(0,('2. The tape'!$C$13*'2. The tape'!$D$13*(1-'2. The tape'!$J$13)^20*(1+'3. Assumptions'!$B$12)^20*((1-'3. Assumptions'!$B$13)/'3. Assumptions'!$B$5-'2. The tape'!$H$13/12-'3. Assumptions'!$B$16)-'2. The tape'!$C$13*'2. The tape'!$I$13*(1+'3. Assumptions'!$B$12)^20))*(1-'3. Assumptions'!$B$15)/(H13*(1+'3. Assumptions'!$B$14))</f>
        <v>0.682322953667079</v>
      </c>
    </row>
    <row r="51" customFormat="false" ht="15" hidden="false" customHeight="false" outlineLevel="0" collapsed="false">
      <c r="A51" s="20" t="s">
        <v>152</v>
      </c>
      <c r="B51" s="13" t="n">
        <f aca="false">(1-'3. Assumptions'!$B$15)*SUMPRODUCT((('2. The tape'!$C$5:$C$13*'2. The tape'!$D$5:$D$13*(1-'2. The tape'!$J$5:$J$13)^(0)*(1+'3. Assumptions'!$B$12)^(0)*((1-'3. Assumptions'!$B$13)/('3. Assumptions'!$B$5)-'2. The tape'!$H$5:$H$13/12-'3. Assumptions'!$B$16)-'2. The tape'!$C$5:$C$13*'2. The tape'!$I$5:$I$13*(1+'3. Assumptions'!$B$12)^(0))&gt;0)*('2. The tape'!$C$5:$C$13*'2. The tape'!$D$5:$D$13*(1-'2. The tape'!$J$5:$J$13)^(0)*(1+'3. Assumptions'!$B$12)^(0)*((1-'3. Assumptions'!$B$13)/('3. Assumptions'!$B$5)-'2. The tape'!$H$5:$H$13/12-'3. Assumptions'!$B$16)-'2. The tape'!$C$5:$C$13*'2. The tape'!$I$5:$I$13*(1+'3. Assumptions'!$B$12)^(0)))/(H14*(1+'3. Assumptions'!$B$14))</f>
        <v>0.447447413087046</v>
      </c>
      <c r="C51" s="13" t="n">
        <f aca="false">(1-'3. Assumptions'!$B$15)*SUMPRODUCT((('2. The tape'!$C$5:$C$13*'2. The tape'!$D$5:$D$13*(1-'2. The tape'!$J$5:$J$13)^(5)*(1+'3. Assumptions'!$B$12)^(5)*((1-'3. Assumptions'!$B$13)/('3. Assumptions'!$B$5)-'2. The tape'!$H$5:$H$13/12-'3. Assumptions'!$B$16)-'2. The tape'!$C$5:$C$13*'2. The tape'!$I$5:$I$13*(1+'3. Assumptions'!$B$12)^(5))&gt;0)*('2. The tape'!$C$5:$C$13*'2. The tape'!$D$5:$D$13*(1-'2. The tape'!$J$5:$J$13)^(5)*(1+'3. Assumptions'!$B$12)^(5)*((1-'3. Assumptions'!$B$13)/('3. Assumptions'!$B$5)-'2. The tape'!$H$5:$H$13/12-'3. Assumptions'!$B$16)-'2. The tape'!$C$5:$C$13*'2. The tape'!$I$5:$I$13*(1+'3. Assumptions'!$B$12)^(5)))/(H14*(1+'3. Assumptions'!$B$14))</f>
        <v>0.437459628340382</v>
      </c>
      <c r="D51" s="13" t="n">
        <f aca="false">(1-'3. Assumptions'!$B$15)*SUMPRODUCT((('2. The tape'!$C$5:$C$13*'2. The tape'!$D$5:$D$13*(1-'2. The tape'!$J$5:$J$13)^(10)*(1+'3. Assumptions'!$B$12)^(10)*((1-'3. Assumptions'!$B$13)/('3. Assumptions'!$B$5)-'2. The tape'!$H$5:$H$13/12-'3. Assumptions'!$B$16)-'2. The tape'!$C$5:$C$13*'2. The tape'!$I$5:$I$13*(1+'3. Assumptions'!$B$12)^(10))&gt;0)*('2. The tape'!$C$5:$C$13*'2. The tape'!$D$5:$D$13*(1-'2. The tape'!$J$5:$J$13)^(10)*(1+'3. Assumptions'!$B$12)^(10)*((1-'3. Assumptions'!$B$13)/('3. Assumptions'!$B$5)-'2. The tape'!$H$5:$H$13/12-'3. Assumptions'!$B$16)-'2. The tape'!$C$5:$C$13*'2. The tape'!$I$5:$I$13*(1+'3. Assumptions'!$B$12)^(10)))/(H14*(1+'3. Assumptions'!$B$14))</f>
        <v>0.426996169803777</v>
      </c>
      <c r="E51" s="13" t="n">
        <f aca="false">(1-'3. Assumptions'!$B$15)*SUMPRODUCT((('2. The tape'!$C$5:$C$13*'2. The tape'!$D$5:$D$13*(1-'2. The tape'!$J$5:$J$13)^(20)*(1+'3. Assumptions'!$B$12)^(20)*((1-'3. Assumptions'!$B$13)/('3. Assumptions'!$B$5)-'2. The tape'!$H$5:$H$13/12-'3. Assumptions'!$B$16)-'2. The tape'!$C$5:$C$13*'2. The tape'!$I$5:$I$13*(1+'3. Assumptions'!$B$12)^(20))&gt;0)*('2. The tape'!$C$5:$C$13*'2. The tape'!$D$5:$D$13*(1-'2. The tape'!$J$5:$J$13)^(20)*(1+'3. Assumptions'!$B$12)^(20)*((1-'3. Assumptions'!$B$13)/('3. Assumptions'!$B$5)-'2. The tape'!$H$5:$H$13/12-'3. Assumptions'!$B$16)-'2. The tape'!$C$5:$C$13*'2. The tape'!$I$5:$I$13*(1+'3. Assumptions'!$B$12)^(20)))/(H14*(1+'3. Assumptions'!$B$14))</f>
        <v>0.404115497933648</v>
      </c>
    </row>
    <row r="52" customFormat="false" ht="15" hidden="false" customHeight="false" outlineLevel="0" collapsed="false">
      <c r="A52" s="20" t="s">
        <v>153</v>
      </c>
      <c r="E52" s="13" t="n">
        <f aca="false">(E44*H7+E45*H8+E50*H13)/SUMPRODUCT(E42:E50,H5:H13)</f>
        <v>0.57564678804924</v>
      </c>
    </row>
    <row r="54" customFormat="false" ht="15" hidden="false" customHeight="false" outlineLevel="0" collapsed="false">
      <c r="A54" s="30" t="s">
        <v>154</v>
      </c>
    </row>
    <row r="55" customFormat="false" ht="28.35" hidden="false" customHeight="false" outlineLevel="0" collapsed="false">
      <c r="A55" s="28" t="s">
        <v>155</v>
      </c>
      <c r="B55" s="28" t="s">
        <v>156</v>
      </c>
      <c r="C55" s="28" t="s">
        <v>157</v>
      </c>
      <c r="D55" s="28" t="s">
        <v>158</v>
      </c>
    </row>
    <row r="56" customFormat="false" ht="15" hidden="false" customHeight="false" outlineLevel="0" collapsed="false">
      <c r="A56" s="20" t="n">
        <v>0</v>
      </c>
      <c r="B56" s="33" t="n">
        <f aca="false">(1-'3. Assumptions'!$B$15)*(('3. Assumptions'!$B$17)*SUMPRODUCT('2. The tape'!$C$5:$C$13*'2. The tape'!$D$5:$D$13*(1-'2. The tape'!$J$5:$J$13)^(A56)*(1+'3. Assumptions'!$B$12)^(A56)*((1-'3. Assumptions'!$B$13)/('3. Assumptions'!$B$5)-0.5*'3. Assumptions'!$B$16))+(1-('3. Assumptions'!$B$17))*SUMPRODUCT((('2. The tape'!$C$5:$C$13*'2. The tape'!$D$5:$D$13*(1-'2. The tape'!$J$5:$J$13)^(A56)*(1+'3. Assumptions'!$B$12)^(A56)*((1-'3. Assumptions'!$B$13)/('3. Assumptions'!$B$5)-'2. The tape'!$H$5:$H$13/12-'3. Assumptions'!$B$16)-'2. The tape'!$C$5:$C$13*'2. The tape'!$I$5:$I$13*(1+'3. Assumptions'!$B$12)^(A56))&gt;0)*('2. The tape'!$C$5:$C$13*'2. The tape'!$D$5:$D$13*(1-'2. The tape'!$J$5:$J$13)^(A56)*(1+'3. Assumptions'!$B$12)^(A56)*((1-'3. Assumptions'!$B$13)/('3. Assumptions'!$B$5)-'2. The tape'!$H$5:$H$13/12-'3. Assumptions'!$B$16)-'2. The tape'!$C$5:$C$13*'2. The tape'!$I$5:$I$13*(1+'3. Assumptions'!$B$12)^(A56))))</f>
        <v>97078627.3279412</v>
      </c>
      <c r="C56" s="33" t="n">
        <f aca="false">(1-'3. Assumptions'!$B$15)*SUMPRODUCT((('2. The tape'!$C$5:$C$13*'2. The tape'!$D$5:$D$13*(1-'2. The tape'!$J$5:$J$13)^(A56)*(1+'3. Assumptions'!$B$12)^(A56)*((1-'3. Assumptions'!$B$13)/('3. Assumptions'!$B$5)-'2. The tape'!$H$5:$H$13/12-'3. Assumptions'!$B$16)-'2. The tape'!$C$5:$C$13*'2. The tape'!$I$5:$I$13*(1+'3. Assumptions'!$B$12)^(A56))&gt;0)*('2. The tape'!$C$5:$C$13*'2. The tape'!$D$5:$D$13*(1-'2. The tape'!$J$5:$J$13)^(A56)*(1+'3. Assumptions'!$B$12)^(A56)*((1-'3. Assumptions'!$B$13)/('3. Assumptions'!$B$5)-'2. The tape'!$H$5:$H$13/12-'3. Assumptions'!$B$16)-'2. The tape'!$C$5:$C$13*'2. The tape'!$I$5:$I$13*(1+'3. Assumptions'!$B$12)^(A56)))</f>
        <v>81904552.9362745</v>
      </c>
      <c r="D56" s="33" t="n">
        <f aca="false">B56-C56</f>
        <v>15174074.3916667</v>
      </c>
    </row>
    <row r="57" customFormat="false" ht="15" hidden="false" customHeight="false" outlineLevel="0" collapsed="false">
      <c r="A57" s="20" t="n">
        <v>5</v>
      </c>
      <c r="B57" s="33" t="n">
        <f aca="false">(1-'3. Assumptions'!$B$15)*(('3. Assumptions'!$B$17)*SUMPRODUCT('2. The tape'!$C$5:$C$13*'2. The tape'!$D$5:$D$13*(1-'2. The tape'!$J$5:$J$13)^(A57)*(1+'3. Assumptions'!$B$12)^(A57)*((1-'3. Assumptions'!$B$13)/('3. Assumptions'!$B$5)-0.5*'3. Assumptions'!$B$16))+(1-('3. Assumptions'!$B$17))*SUMPRODUCT((('2. The tape'!$C$5:$C$13*'2. The tape'!$D$5:$D$13*(1-'2. The tape'!$J$5:$J$13)^(A57)*(1+'3. Assumptions'!$B$12)^(A57)*((1-'3. Assumptions'!$B$13)/('3. Assumptions'!$B$5)-'2. The tape'!$H$5:$H$13/12-'3. Assumptions'!$B$16)-'2. The tape'!$C$5:$C$13*'2. The tape'!$I$5:$I$13*(1+'3. Assumptions'!$B$12)^(A57))&gt;0)*('2. The tape'!$C$5:$C$13*'2. The tape'!$D$5:$D$13*(1-'2. The tape'!$J$5:$J$13)^(A57)*(1+'3. Assumptions'!$B$12)^(A57)*((1-'3. Assumptions'!$B$13)/('3. Assumptions'!$B$5)-'2. The tape'!$H$5:$H$13/12-'3. Assumptions'!$B$16)-'2. The tape'!$C$5:$C$13*'2. The tape'!$I$5:$I$13*(1+'3. Assumptions'!$B$12)^(A57))))</f>
        <v>96073404.0220908</v>
      </c>
      <c r="C57" s="33" t="n">
        <f aca="false">(1-'3. Assumptions'!$B$15)*SUMPRODUCT((('2. The tape'!$C$5:$C$13*'2. The tape'!$D$5:$D$13*(1-'2. The tape'!$J$5:$J$13)^(A57)*(1+'3. Assumptions'!$B$12)^(A57)*((1-'3. Assumptions'!$B$13)/('3. Assumptions'!$B$5)-'2. The tape'!$H$5:$H$13/12-'3. Assumptions'!$B$16)-'2. The tape'!$C$5:$C$13*'2. The tape'!$I$5:$I$13*(1+'3. Assumptions'!$B$12)^(A57))&gt;0)*('2. The tape'!$C$5:$C$13*'2. The tape'!$D$5:$D$13*(1-'2. The tape'!$J$5:$J$13)^(A57)*(1+'3. Assumptions'!$B$12)^(A57)*((1-'3. Assumptions'!$B$13)/('3. Assumptions'!$B$5)-'2. The tape'!$H$5:$H$13/12-'3. Assumptions'!$B$16)-'2. The tape'!$C$5:$C$13*'2. The tape'!$I$5:$I$13*(1+'3. Assumptions'!$B$12)^(A57)))</f>
        <v>80076304.4749517</v>
      </c>
      <c r="D57" s="33" t="n">
        <f aca="false">B57-C57</f>
        <v>15997099.5471391</v>
      </c>
    </row>
    <row r="58" customFormat="false" ht="15" hidden="false" customHeight="false" outlineLevel="0" collapsed="false">
      <c r="A58" s="20" t="n">
        <v>10</v>
      </c>
      <c r="B58" s="33" t="n">
        <f aca="false">(1-'3. Assumptions'!$B$15)*(('3. Assumptions'!$B$17)*SUMPRODUCT('2. The tape'!$C$5:$C$13*'2. The tape'!$D$5:$D$13*(1-'2. The tape'!$J$5:$J$13)^(A58)*(1+'3. Assumptions'!$B$12)^(A58)*((1-'3. Assumptions'!$B$13)/('3. Assumptions'!$B$5)-0.5*'3. Assumptions'!$B$16))+(1-('3. Assumptions'!$B$17))*SUMPRODUCT((('2. The tape'!$C$5:$C$13*'2. The tape'!$D$5:$D$13*(1-'2. The tape'!$J$5:$J$13)^(A58)*(1+'3. Assumptions'!$B$12)^(A58)*((1-'3. Assumptions'!$B$13)/('3. Assumptions'!$B$5)-'2. The tape'!$H$5:$H$13/12-'3. Assumptions'!$B$16)-'2. The tape'!$C$5:$C$13*'2. The tape'!$I$5:$I$13*(1+'3. Assumptions'!$B$12)^(A58))&gt;0)*('2. The tape'!$C$5:$C$13*'2. The tape'!$D$5:$D$13*(1-'2. The tape'!$J$5:$J$13)^(A58)*(1+'3. Assumptions'!$B$12)^(A58)*((1-'3. Assumptions'!$B$13)/('3. Assumptions'!$B$5)-'2. The tape'!$H$5:$H$13/12-'3. Assumptions'!$B$16)-'2. The tape'!$C$5:$C$13*'2. The tape'!$I$5:$I$13*(1+'3. Assumptions'!$B$12)^(A58))))</f>
        <v>95098081.9997731</v>
      </c>
      <c r="C58" s="33" t="n">
        <f aca="false">(1-'3. Assumptions'!$B$15)*SUMPRODUCT((('2. The tape'!$C$5:$C$13*'2. The tape'!$D$5:$D$13*(1-'2. The tape'!$J$5:$J$13)^(A58)*(1+'3. Assumptions'!$B$12)^(A58)*((1-'3. Assumptions'!$B$13)/('3. Assumptions'!$B$5)-'2. The tape'!$H$5:$H$13/12-'3. Assumptions'!$B$16)-'2. The tape'!$C$5:$C$13*'2. The tape'!$I$5:$I$13*(1+'3. Assumptions'!$B$12)^(A58))&gt;0)*('2. The tape'!$C$5:$C$13*'2. The tape'!$D$5:$D$13*(1-'2. The tape'!$J$5:$J$13)^(A58)*(1+'3. Assumptions'!$B$12)^(A58)*((1-'3. Assumptions'!$B$13)/('3. Assumptions'!$B$5)-'2. The tape'!$H$5:$H$13/12-'3. Assumptions'!$B$16)-'2. The tape'!$C$5:$C$13*'2. The tape'!$I$5:$I$13*(1+'3. Assumptions'!$B$12)^(A58)))</f>
        <v>78160984.6663173</v>
      </c>
      <c r="D58" s="33" t="n">
        <f aca="false">B58-C58</f>
        <v>16937097.3334558</v>
      </c>
    </row>
    <row r="59" customFormat="false" ht="15" hidden="false" customHeight="false" outlineLevel="0" collapsed="false">
      <c r="A59" s="20" t="n">
        <v>15</v>
      </c>
      <c r="B59" s="33" t="n">
        <f aca="false">(1-'3. Assumptions'!$B$15)*(('3. Assumptions'!$B$17)*SUMPRODUCT('2. The tape'!$C$5:$C$13*'2. The tape'!$D$5:$D$13*(1-'2. The tape'!$J$5:$J$13)^(A59)*(1+'3. Assumptions'!$B$12)^(A59)*((1-'3. Assumptions'!$B$13)/('3. Assumptions'!$B$5)-0.5*'3. Assumptions'!$B$16))+(1-('3. Assumptions'!$B$17))*SUMPRODUCT((('2. The tape'!$C$5:$C$13*'2. The tape'!$D$5:$D$13*(1-'2. The tape'!$J$5:$J$13)^(A59)*(1+'3. Assumptions'!$B$12)^(A59)*((1-'3. Assumptions'!$B$13)/('3. Assumptions'!$B$5)-'2. The tape'!$H$5:$H$13/12-'3. Assumptions'!$B$16)-'2. The tape'!$C$5:$C$13*'2. The tape'!$I$5:$I$13*(1+'3. Assumptions'!$B$12)^(A59))&gt;0)*('2. The tape'!$C$5:$C$13*'2. The tape'!$D$5:$D$13*(1-'2. The tape'!$J$5:$J$13)^(A59)*(1+'3. Assumptions'!$B$12)^(A59)*((1-'3. Assumptions'!$B$13)/('3. Assumptions'!$B$5)-'2. The tape'!$H$5:$H$13/12-'3. Assumptions'!$B$16)-'2. The tape'!$C$5:$C$13*'2. The tape'!$I$5:$I$13*(1+'3. Assumptions'!$B$12)^(A59))))</f>
        <v>94141365.0598974</v>
      </c>
      <c r="C59" s="33" t="n">
        <f aca="false">(1-'3. Assumptions'!$B$15)*SUMPRODUCT((('2. The tape'!$C$5:$C$13*'2. The tape'!$D$5:$D$13*(1-'2. The tape'!$J$5:$J$13)^(A59)*(1+'3. Assumptions'!$B$12)^(A59)*((1-'3. Assumptions'!$B$13)/('3. Assumptions'!$B$5)-'2. The tape'!$H$5:$H$13/12-'3. Assumptions'!$B$16)-'2. The tape'!$C$5:$C$13*'2. The tape'!$I$5:$I$13*(1+'3. Assumptions'!$B$12)^(A59))&gt;0)*('2. The tape'!$C$5:$C$13*'2. The tape'!$D$5:$D$13*(1-'2. The tape'!$J$5:$J$13)^(A59)*(1+'3. Assumptions'!$B$12)^(A59)*((1-'3. Assumptions'!$B$13)/('3. Assumptions'!$B$5)-'2. The tape'!$H$5:$H$13/12-'3. Assumptions'!$B$16)-'2. The tape'!$C$5:$C$13*'2. The tape'!$I$5:$I$13*(1+'3. Assumptions'!$B$12)^(A59)))</f>
        <v>76135098.9693043</v>
      </c>
      <c r="D59" s="33" t="n">
        <f aca="false">B59-C59</f>
        <v>18006266.0905932</v>
      </c>
    </row>
    <row r="60" customFormat="false" ht="15" hidden="false" customHeight="false" outlineLevel="0" collapsed="false">
      <c r="A60" s="20" t="n">
        <v>20</v>
      </c>
      <c r="B60" s="33" t="n">
        <f aca="false">(1-'3. Assumptions'!$B$15)*(('3. Assumptions'!$B$17)*SUMPRODUCT('2. The tape'!$C$5:$C$13*'2. The tape'!$D$5:$D$13*(1-'2. The tape'!$J$5:$J$13)^(A60)*(1+'3. Assumptions'!$B$12)^(A60)*((1-'3. Assumptions'!$B$13)/('3. Assumptions'!$B$5)-0.5*'3. Assumptions'!$B$16))+(1-('3. Assumptions'!$B$17))*SUMPRODUCT((('2. The tape'!$C$5:$C$13*'2. The tape'!$D$5:$D$13*(1-'2. The tape'!$J$5:$J$13)^(A60)*(1+'3. Assumptions'!$B$12)^(A60)*((1-'3. Assumptions'!$B$13)/('3. Assumptions'!$B$5)-'2. The tape'!$H$5:$H$13/12-'3. Assumptions'!$B$16)-'2. The tape'!$C$5:$C$13*'2. The tape'!$I$5:$I$13*(1+'3. Assumptions'!$B$12)^(A60))&gt;0)*('2. The tape'!$C$5:$C$13*'2. The tape'!$D$5:$D$13*(1-'2. The tape'!$J$5:$J$13)^(A60)*(1+'3. Assumptions'!$B$12)^(A60)*((1-'3. Assumptions'!$B$13)/('3. Assumptions'!$B$5)-'2. The tape'!$H$5:$H$13/12-'3. Assumptions'!$B$16)-'2. The tape'!$C$5:$C$13*'2. The tape'!$I$5:$I$13*(1+'3. Assumptions'!$B$12)^(A60))))</f>
        <v>93190959.6467624</v>
      </c>
      <c r="C60" s="33" t="n">
        <f aca="false">(1-'3. Assumptions'!$B$15)*SUMPRODUCT((('2. The tape'!$C$5:$C$13*'2. The tape'!$D$5:$D$13*(1-'2. The tape'!$J$5:$J$13)^(A60)*(1+'3. Assumptions'!$B$12)^(A60)*((1-'3. Assumptions'!$B$13)/('3. Assumptions'!$B$5)-'2. The tape'!$H$5:$H$13/12-'3. Assumptions'!$B$16)-'2. The tape'!$C$5:$C$13*'2. The tape'!$I$5:$I$13*(1+'3. Assumptions'!$B$12)^(A60))&gt;0)*('2. The tape'!$C$5:$C$13*'2. The tape'!$D$5:$D$13*(1-'2. The tape'!$J$5:$J$13)^(A60)*(1+'3. Assumptions'!$B$12)^(A60)*((1-'3. Assumptions'!$B$13)/('3. Assumptions'!$B$5)-'2. The tape'!$H$5:$H$13/12-'3. Assumptions'!$B$16)-'2. The tape'!$C$5:$C$13*'2. The tape'!$I$5:$I$13*(1+'3. Assumptions'!$B$12)^(A60)))</f>
        <v>73972713.2726463</v>
      </c>
      <c r="D60" s="33" t="n">
        <f aca="false">B60-C60</f>
        <v>19218246.3741161</v>
      </c>
    </row>
    <row r="62" customFormat="false" ht="15" hidden="false" customHeight="false" outlineLevel="0" collapsed="false">
      <c r="A62" s="20" t="s">
        <v>159</v>
      </c>
      <c r="B62" s="33" t="n">
        <f aca="false">B60/(1+'3. Assumptions'!$B$29)^'3. Assumptions'!$B$9</f>
        <v>21938377.1812333</v>
      </c>
      <c r="C62" s="13" t="n">
        <f aca="false">B62/(('2. The tape'!$C$17/'3. Assumptions'!$B$4)*(1+'3. Assumptions'!$B$14))</f>
        <v>0.11985011534961</v>
      </c>
    </row>
    <row r="63" customFormat="false" ht="15" hidden="false" customHeight="false" outlineLevel="0" collapsed="false">
      <c r="A63" s="20" t="s">
        <v>160</v>
      </c>
      <c r="B63" s="33" t="n">
        <f aca="false">H14-G14</f>
        <v>96307428.8671024</v>
      </c>
      <c r="C63" s="13" t="n">
        <f aca="false">B63/H14</f>
        <v>0.536653440255039</v>
      </c>
    </row>
    <row r="64" customFormat="false" ht="15" hidden="false" customHeight="false" outlineLevel="0" collapsed="false">
      <c r="A64" s="20" t="s">
        <v>161</v>
      </c>
      <c r="B64" s="13" t="n">
        <f aca="false">(D14+E14+F14)/C14</f>
        <v>0.256787573493278</v>
      </c>
    </row>
    <row r="65" customFormat="false" ht="15" hidden="false" customHeight="false" outlineLevel="0" collapsed="false">
      <c r="A65" s="20" t="s">
        <v>162</v>
      </c>
      <c r="B65" s="33" t="n">
        <f aca="false">G14/'2. The tape'!C14</f>
        <v>492.022665042348</v>
      </c>
    </row>
    <row r="66" customFormat="false" ht="15" hidden="false" customHeight="false" outlineLevel="0" collapsed="false">
      <c r="A66" s="20" t="s">
        <v>163</v>
      </c>
      <c r="B66" s="33" t="n">
        <f aca="false">SUMPRODUCT('2. The tape'!C5:C13,'2. The tape'!F5:F13)</f>
        <v>93955000</v>
      </c>
      <c r="C66" s="33" t="n">
        <f aca="false">B66/'2. The tape'!C14</f>
        <v>555.94674556213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7"/>
    <col collapsed="false" customWidth="true" hidden="false" outlineLevel="0" max="5" min="4" style="0" width="15"/>
    <col collapsed="false" customWidth="true" hidden="false" outlineLevel="0" max="6" min="6" style="0" width="17"/>
  </cols>
  <sheetData>
    <row r="1" customFormat="false" ht="16.15" hidden="false" customHeight="false" outlineLevel="0" collapsed="false">
      <c r="A1" s="6" t="s">
        <v>164</v>
      </c>
    </row>
    <row r="2" customFormat="false" ht="53.7" hidden="false" customHeight="false" outlineLevel="0" collapsed="false">
      <c r="A2" s="34" t="s">
        <v>165</v>
      </c>
    </row>
    <row r="5" customFormat="false" ht="41.75" hidden="false" customHeight="false" outlineLevel="0" collapsed="false">
      <c r="A5" s="7" t="s">
        <v>166</v>
      </c>
      <c r="B5" s="7" t="s">
        <v>64</v>
      </c>
      <c r="C5" s="7" t="s">
        <v>167</v>
      </c>
      <c r="D5" s="7" t="s">
        <v>168</v>
      </c>
      <c r="E5" s="7" t="s">
        <v>169</v>
      </c>
      <c r="F5" s="7" t="s">
        <v>56</v>
      </c>
      <c r="G5" s="28" t="s">
        <v>170</v>
      </c>
      <c r="H5" s="28" t="s">
        <v>171</v>
      </c>
    </row>
    <row r="6" customFormat="false" ht="15" hidden="false" customHeight="false" outlineLevel="0" collapsed="false">
      <c r="A6" s="0" t="s">
        <v>172</v>
      </c>
      <c r="B6" s="17" t="n">
        <v>0</v>
      </c>
      <c r="C6" s="17" t="n">
        <v>0</v>
      </c>
      <c r="D6" s="23" t="n">
        <f aca="false">'3. Assumptions'!$B$6+B6</f>
        <v>0.026</v>
      </c>
      <c r="E6" s="23" t="n">
        <f aca="false">'3. Assumptions'!$B$6+C6</f>
        <v>0.026</v>
      </c>
      <c r="F6" s="15" t="n">
        <f aca="false">(SUMPRODUCT((1-(('3. Assumptions'!$B$21/(1-'3. Assumptions'!$B$22))))^('7. Cash flow'!$A$7:$A$86/4)*'7. Cash flow'!$C$7:$C$86/(1+(D6))^('7. Cash flow'!$A$7:$A$86/4))+SUMPRODUCT((1-(('3. Assumptions'!$B$21/(1-'3. Assumptions'!$B$22))))^(('7. Cash flow'!$A$7:$A$86-1)/4)*(1-(1-(('3. Assumptions'!$B$21/(1-'3. Assumptions'!$B$22))))^0.25)*'7. Cash flow'!$D$7:$D$86/(1+(E6))^('7. Cash flow'!$A$7:$A$86/4))+(1-(('3. Assumptions'!$B$21/(1-'3. Assumptions'!$B$22))))^'3. Assumptions'!$B$9*'7. Cash flow'!$D$87/(1+(E6))^'3. Assumptions'!$B$9)/(1+'3. Assumptions'!$B$14)</f>
        <v>184980684.941636</v>
      </c>
      <c r="G6" s="13" t="n">
        <f aca="false">F6/('2. The tape'!$C$17/'3. Assumptions'!$B$4)-1</f>
        <v>0.030767014781891</v>
      </c>
      <c r="H6" s="35" t="n">
        <f aca="false">'9. Solvers'!$B$6</f>
        <v>0.0702608454046763</v>
      </c>
    </row>
    <row r="7" customFormat="false" ht="15" hidden="false" customHeight="false" outlineLevel="0" collapsed="false">
      <c r="A7" s="0" t="s">
        <v>173</v>
      </c>
      <c r="B7" s="17" t="n">
        <v>0.0125</v>
      </c>
      <c r="C7" s="17" t="n">
        <v>0</v>
      </c>
      <c r="D7" s="23" t="n">
        <f aca="false">'3. Assumptions'!$B$6+B7</f>
        <v>0.0385</v>
      </c>
      <c r="E7" s="23" t="n">
        <f aca="false">'3. Assumptions'!$B$6+C7</f>
        <v>0.026</v>
      </c>
      <c r="F7" s="15" t="n">
        <f aca="false">(SUMPRODUCT((1-(('3. Assumptions'!$B$21/(1-'3. Assumptions'!$B$22))))^('7. Cash flow'!$A$7:$A$86/4)*'7. Cash flow'!$C$7:$C$86/(1+(D7))^('7. Cash flow'!$A$7:$A$86/4))+SUMPRODUCT((1-(('3. Assumptions'!$B$21/(1-'3. Assumptions'!$B$22))))^(('7. Cash flow'!$A$7:$A$86-1)/4)*(1-(1-(('3. Assumptions'!$B$21/(1-'3. Assumptions'!$B$22))))^0.25)*'7. Cash flow'!$D$7:$D$86/(1+(E7))^('7. Cash flow'!$A$7:$A$86/4))+(1-(('3. Assumptions'!$B$21/(1-'3. Assumptions'!$B$22))))^'3. Assumptions'!$B$9*'7. Cash flow'!$D$87/(1+(E7))^'3. Assumptions'!$B$9)/(1+'3. Assumptions'!$B$14)</f>
        <v>174015852.542027</v>
      </c>
      <c r="G7" s="13" t="n">
        <f aca="false">F7/('2. The tape'!$C$17/'3. Assumptions'!$B$4)-1</f>
        <v>-0.0303322700634163</v>
      </c>
      <c r="H7" s="35" t="n">
        <f aca="false">'9. Solvers'!$G$6</f>
        <v>0.0576608620644231</v>
      </c>
    </row>
    <row r="8" customFormat="false" ht="15" hidden="false" customHeight="false" outlineLevel="0" collapsed="false">
      <c r="A8" s="0" t="s">
        <v>174</v>
      </c>
      <c r="B8" s="17" t="n">
        <v>0.0125</v>
      </c>
      <c r="C8" s="17" t="n">
        <v>0.02</v>
      </c>
      <c r="D8" s="23" t="n">
        <f aca="false">'3. Assumptions'!$B$6+B8</f>
        <v>0.0385</v>
      </c>
      <c r="E8" s="23" t="n">
        <f aca="false">'3. Assumptions'!$B$6+C8</f>
        <v>0.046</v>
      </c>
      <c r="F8" s="15" t="n">
        <f aca="false">(SUMPRODUCT((1-(('3. Assumptions'!$B$21/(1-'3. Assumptions'!$B$22))))^('7. Cash flow'!$A$7:$A$86/4)*'7. Cash flow'!$C$7:$C$86/(1+(D8))^('7. Cash flow'!$A$7:$A$86/4))+SUMPRODUCT((1-(('3. Assumptions'!$B$21/(1-'3. Assumptions'!$B$22))))^(('7. Cash flow'!$A$7:$A$86-1)/4)*(1-(1-(('3. Assumptions'!$B$21/(1-'3. Assumptions'!$B$22))))^0.25)*'7. Cash flow'!$D$7:$D$86/(1+(E8))^('7. Cash flow'!$A$7:$A$86/4))+(1-(('3. Assumptions'!$B$21/(1-'3. Assumptions'!$B$22))))^'3. Assumptions'!$B$9*'7. Cash flow'!$D$87/(1+(E8))^'3. Assumptions'!$B$9)/(1+'3. Assumptions'!$B$14)</f>
        <v>163580608.969078</v>
      </c>
      <c r="G8" s="13" t="n">
        <f aca="false">F8/('2. The tape'!$C$17/'3. Assumptions'!$B$4)-1</f>
        <v>-0.0884805295403668</v>
      </c>
      <c r="H8" s="35" t="n">
        <f aca="false">'9. Solvers'!$L$6</f>
        <v>0.0449128327103397</v>
      </c>
    </row>
    <row r="9" customFormat="false" ht="15" hidden="false" customHeight="false" outlineLevel="0" collapsed="false">
      <c r="A9" s="0" t="s">
        <v>175</v>
      </c>
      <c r="B9" s="17" t="n">
        <v>0.0125</v>
      </c>
      <c r="C9" s="17" t="n">
        <v>0.049</v>
      </c>
      <c r="D9" s="23" t="n">
        <f aca="false">'3. Assumptions'!$B$6+B9</f>
        <v>0.0385</v>
      </c>
      <c r="E9" s="23" t="n">
        <f aca="false">'3. Assumptions'!$B$6+C9</f>
        <v>0.075</v>
      </c>
      <c r="F9" s="15" t="n">
        <f aca="false">(SUMPRODUCT((1-(('3. Assumptions'!$B$21/(1-'3. Assumptions'!$B$22))))^('7. Cash flow'!$A$7:$A$86/4)*'7. Cash flow'!$C$7:$C$86/(1+(D9))^('7. Cash flow'!$A$7:$A$86/4))+SUMPRODUCT((1-(('3. Assumptions'!$B$21/(1-'3. Assumptions'!$B$22))))^(('7. Cash flow'!$A$7:$A$86-1)/4)*(1-(1-(('3. Assumptions'!$B$21/(1-'3. Assumptions'!$B$22))))^0.25)*'7. Cash flow'!$D$7:$D$86/(1+(E9))^('7. Cash flow'!$A$7:$A$86/4))+(1-(('3. Assumptions'!$B$21/(1-'3. Assumptions'!$B$22))))^'3. Assumptions'!$B$9*'7. Cash flow'!$D$87/(1+(E9))^'3. Assumptions'!$B$9)/(1+'3. Assumptions'!$B$14)</f>
        <v>152990676.905815</v>
      </c>
      <c r="G9" s="13" t="n">
        <f aca="false">F9/('2. The tape'!$C$17/'3. Assumptions'!$B$4)-1</f>
        <v>-0.14749075897614</v>
      </c>
      <c r="H9" s="35" t="n">
        <f aca="false">'9. Solvers'!$Q$6</f>
        <v>0.032285034807498</v>
      </c>
    </row>
    <row r="11" customFormat="false" ht="15" hidden="false" customHeight="false" outlineLevel="0" collapsed="false">
      <c r="A11" s="2" t="s">
        <v>176</v>
      </c>
    </row>
    <row r="13" customFormat="false" ht="15" hidden="false" customHeight="false" outlineLevel="0" collapsed="false">
      <c r="A13" s="14" t="s">
        <v>177</v>
      </c>
      <c r="B13" s="23" t="n">
        <f aca="false">'9. Solvers'!$AA$6</f>
        <v>0.00364530202843607</v>
      </c>
    </row>
    <row r="14" customFormat="false" ht="15" hidden="false" customHeight="false" outlineLevel="0" collapsed="false">
      <c r="A14" s="14" t="s">
        <v>178</v>
      </c>
      <c r="B14" s="23" t="n">
        <f aca="false">'9. Solvers'!$AF$6-'3. Assumptions'!$B$6</f>
        <v>0.0241035708211505</v>
      </c>
    </row>
    <row r="15" customFormat="false" ht="15" hidden="false" customHeight="false" outlineLevel="0" collapsed="false">
      <c r="A15" s="14" t="s">
        <v>179</v>
      </c>
      <c r="B15" s="23" t="n">
        <f aca="false">B14-B13</f>
        <v>0.0204582687927144</v>
      </c>
    </row>
    <row r="16" customFormat="false" ht="15" hidden="false" customHeight="false" outlineLevel="0" collapsed="false">
      <c r="A16" s="14" t="s">
        <v>180</v>
      </c>
      <c r="B16" s="23" t="n">
        <f aca="false">'9. Solvers'!$AK$6</f>
        <v>-0.00180680470795946</v>
      </c>
    </row>
    <row r="17" customFormat="false" ht="15" hidden="false" customHeight="false" outlineLevel="0" collapsed="false">
      <c r="A17" s="2" t="s">
        <v>181</v>
      </c>
    </row>
    <row r="18" customFormat="false" ht="15" hidden="false" customHeight="false" outlineLevel="0" collapsed="false">
      <c r="A18" s="20" t="s">
        <v>182</v>
      </c>
      <c r="B18" s="35" t="n">
        <f aca="false">'9. Solvers'!$AF$6</f>
        <v>0.0501035708211505</v>
      </c>
    </row>
    <row r="19" customFormat="false" ht="15" hidden="false" customHeight="false" outlineLevel="0" collapsed="false">
      <c r="A19" s="20" t="s">
        <v>183</v>
      </c>
      <c r="B19" s="21" t="n">
        <v>0.0075</v>
      </c>
      <c r="C19" s="33" t="n">
        <f aca="false">(SUMPRODUCT((1-(('3. Assumptions'!$B$21/(1-'3. Assumptions'!$B$22))))^('7. Cash flow'!$A$7:$A$86/4)*'7. Cash flow'!$C$7:$C$86/(1+('3. Assumptions'!$B$6+B19))^('7.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157177896.537133</v>
      </c>
    </row>
    <row r="20" customFormat="false" ht="15" hidden="false" customHeight="false" outlineLevel="0" collapsed="false">
      <c r="A20" s="20" t="s">
        <v>184</v>
      </c>
      <c r="C20" s="33" t="n">
        <f aca="false">(SUMPRODUCT((1-(('3. Assumptions'!$B$21/(1-'3. Assumptions'!$B$22))))^('7. Cash flow'!$A$7:$A$86/4)*'7. Cash flow'!$C$7:$C$86/(1+('3. Assumptions'!$B$6))^('7.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163955509.305425</v>
      </c>
    </row>
    <row r="21" customFormat="false" ht="15" hidden="false" customHeight="false" outlineLevel="0" collapsed="false">
      <c r="A21" s="20" t="s">
        <v>185</v>
      </c>
      <c r="B21" s="35" t="n">
        <f aca="false">'3. Assumptions'!$B$21*2/3/(1-'3. Assumptions'!$B$22)</f>
        <v>0.0427777777777778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8" min="2" style="0" width="16"/>
  </cols>
  <sheetData>
    <row r="1" customFormat="false" ht="16.15" hidden="false" customHeight="false" outlineLevel="0" collapsed="false">
      <c r="A1" s="6" t="s">
        <v>186</v>
      </c>
    </row>
    <row r="2" customFormat="false" ht="15" hidden="false" customHeight="false" outlineLevel="0" collapsed="false">
      <c r="A2" s="2" t="s">
        <v>187</v>
      </c>
    </row>
    <row r="4" customFormat="false" ht="15" hidden="false" customHeight="false" outlineLevel="0" collapsed="false">
      <c r="A4" s="14" t="s">
        <v>188</v>
      </c>
      <c r="B4" s="35" t="n">
        <f aca="false">IF(ISNUMBER(G4),G4,('3. Assumptions'!$B$21/(1-'3. Assumptions'!$B$22)))</f>
        <v>0.0641666666666667</v>
      </c>
      <c r="C4" s="25" t="s">
        <v>189</v>
      </c>
      <c r="D4" s="23" t="n">
        <f aca="false">1-(1-B4)^0.25</f>
        <v>0.0164427872620915</v>
      </c>
      <c r="E4" s="20" t="s">
        <v>190</v>
      </c>
      <c r="G4" s="36"/>
    </row>
    <row r="5" customFormat="false" ht="15" hidden="false" customHeight="false" outlineLevel="0" collapsed="false">
      <c r="E5" s="22" t="s">
        <v>191</v>
      </c>
    </row>
    <row r="6" customFormat="false" ht="28.35" hidden="false" customHeight="false" outlineLevel="0" collapsed="false">
      <c r="A6" s="7" t="s">
        <v>192</v>
      </c>
      <c r="B6" s="7" t="s">
        <v>193</v>
      </c>
      <c r="C6" s="7" t="s">
        <v>194</v>
      </c>
      <c r="D6" s="7" t="s">
        <v>195</v>
      </c>
      <c r="E6" s="7" t="s">
        <v>196</v>
      </c>
      <c r="F6" s="7" t="s">
        <v>197</v>
      </c>
      <c r="G6" s="7" t="s">
        <v>198</v>
      </c>
    </row>
    <row r="7" customFormat="false" ht="15" hidden="false" customHeight="false" outlineLevel="0" collapsed="false">
      <c r="A7" s="0" t="n">
        <v>1</v>
      </c>
      <c r="B7" s="37" t="n">
        <f aca="false">IF(A7=1,1,B6*(1-$D$4))</f>
        <v>1</v>
      </c>
      <c r="C7" s="15" t="n">
        <f aca="false">'2. The tape'!$C$17*(1+MIN(MAX('3. Assumptions'!$B$12,'3. Assumptions'!$B$11),'3. Assumptions'!$B$10))^INT((A7-1)/4)/4*(1-'3. Assumptions'!$B$13)</f>
        <v>2998091.25</v>
      </c>
      <c r="D7" s="15" t="n">
        <f aca="false">(1-'3. Assumptions'!$B$15)*SUMPRODUCT((('2. The tape'!$C$5:$C$13*'2. The tape'!$D$5:$D$13*(1-'2. The tape'!$J$5:$J$13)^(A7/4)*(1+'3. Assumptions'!$B$12)^(A7/4)*((1-'3. Assumptions'!$B$13)/('3. Assumptions'!$B$5)-'2. The tape'!$H$5:$H$13/12-'3. Assumptions'!$B$16)-'2. The tape'!$C$5:$C$13*'2. The tape'!$I$5:$I$13*(1+'3. Assumptions'!$B$12)^(A7/4))&gt;0)*('2. The tape'!$C$5:$C$13*'2. The tape'!$D$5:$D$13*(1-'2. The tape'!$J$5:$J$13)^(A7/4)*(1+'3. Assumptions'!$B$12)^(A7/4)*((1-'3. Assumptions'!$B$13)/('3. Assumptions'!$B$5)-'2. The tape'!$H$5:$H$13/12-'3. Assumptions'!$B$16)-'2. The tape'!$C$5:$C$13*'2. The tape'!$I$5:$I$13*(1+'3. Assumptions'!$B$12)^(A7/4)))</f>
        <v>81814871.059345</v>
      </c>
      <c r="E7" s="37" t="n">
        <f aca="false">1/(1+(1+'3. Assumptions'!$B$28)^0.25-1)^A7</f>
        <v>0.990600116637701</v>
      </c>
      <c r="F7" s="37" t="n">
        <f aca="false">1/(1+(1+'3. Assumptions'!$B$29)^0.25-1)^A7</f>
        <v>0.98208230018712</v>
      </c>
      <c r="G7" s="15" t="n">
        <f aca="false">B7*(1-$D$4)*C7*E7+B7*$D$4*D7*F7</f>
        <v>4242236.42502596</v>
      </c>
    </row>
    <row r="8" customFormat="false" ht="15" hidden="false" customHeight="false" outlineLevel="0" collapsed="false">
      <c r="A8" s="0" t="n">
        <v>2</v>
      </c>
      <c r="B8" s="37" t="n">
        <f aca="false">IF(A8=1,1,B7*(1-$D$4))</f>
        <v>0.983557212737909</v>
      </c>
      <c r="C8" s="15" t="n">
        <f aca="false">'2. The tape'!$C$17*(1+MIN(MAX('3. Assumptions'!$B$12,'3. Assumptions'!$B$11),'3. Assumptions'!$B$10))^INT((A8-1)/4)/4*(1-'3. Assumptions'!$B$13)</f>
        <v>2998091.25</v>
      </c>
      <c r="D8" s="15" t="n">
        <f aca="false">(1-'3. Assumptions'!$B$15)*SUMPRODUCT((('2. The tape'!$C$5:$C$13*'2. The tape'!$D$5:$D$13*(1-'2. The tape'!$J$5:$J$13)^(A8/4)*(1+'3. Assumptions'!$B$12)^(A8/4)*((1-'3. Assumptions'!$B$13)/('3. Assumptions'!$B$5)-'2. The tape'!$H$5:$H$13/12-'3. Assumptions'!$B$16)-'2. The tape'!$C$5:$C$13*'2. The tape'!$I$5:$I$13*(1+'3. Assumptions'!$B$12)^(A8/4))&gt;0)*('2. The tape'!$C$5:$C$13*'2. The tape'!$D$5:$D$13*(1-'2. The tape'!$J$5:$J$13)^(A8/4)*(1+'3. Assumptions'!$B$12)^(A8/4)*((1-'3. Assumptions'!$B$13)/('3. Assumptions'!$B$5)-'2. The tape'!$H$5:$H$13/12-'3. Assumptions'!$B$16)-'2. The tape'!$C$5:$C$13*'2. The tape'!$I$5:$I$13*(1+'3. Assumptions'!$B$12)^(A8/4)))</f>
        <v>81725022.672908</v>
      </c>
      <c r="E8" s="37" t="n">
        <f aca="false">1/(1+(1+'3. Assumptions'!$B$28)^0.25-1)^A8</f>
        <v>0.981288591082626</v>
      </c>
      <c r="F8" s="37" t="n">
        <f aca="false">1/(1+(1+'3. Assumptions'!$B$29)^0.25-1)^A8</f>
        <v>0.964485644340824</v>
      </c>
      <c r="G8" s="15" t="n">
        <f aca="false">B8*(1-$D$4)*C8*E8+B8*$D$4*D8*F8</f>
        <v>4120791.5612081</v>
      </c>
    </row>
    <row r="9" customFormat="false" ht="15" hidden="false" customHeight="false" outlineLevel="0" collapsed="false">
      <c r="A9" s="0" t="n">
        <v>3</v>
      </c>
      <c r="B9" s="37" t="n">
        <f aca="false">IF(A9=1,1,B8*(1-$D$4))</f>
        <v>0.967384790728764</v>
      </c>
      <c r="C9" s="15" t="n">
        <f aca="false">'2. The tape'!$C$17*(1+MIN(MAX('3. Assumptions'!$B$12,'3. Assumptions'!$B$11),'3. Assumptions'!$B$10))^INT((A9-1)/4)/4*(1-'3. Assumptions'!$B$13)</f>
        <v>2998091.25</v>
      </c>
      <c r="D9" s="15" t="n">
        <f aca="false">(1-'3. Assumptions'!$B$15)*SUMPRODUCT((('2. The tape'!$C$5:$C$13*'2. The tape'!$D$5:$D$13*(1-'2. The tape'!$J$5:$J$13)^(A9/4)*(1+'3. Assumptions'!$B$12)^(A9/4)*((1-'3. Assumptions'!$B$13)/('3. Assumptions'!$B$5)-'2. The tape'!$H$5:$H$13/12-'3. Assumptions'!$B$16)-'2. The tape'!$C$5:$C$13*'2. The tape'!$I$5:$I$13*(1+'3. Assumptions'!$B$12)^(A9/4))&gt;0)*('2. The tape'!$C$5:$C$13*'2. The tape'!$D$5:$D$13*(1-'2. The tape'!$J$5:$J$13)^(A9/4)*(1+'3. Assumptions'!$B$12)^(A9/4)*((1-'3. Assumptions'!$B$13)/('3. Assumptions'!$B$5)-'2. The tape'!$H$5:$H$13/12-'3. Assumptions'!$B$16)-'2. The tape'!$C$5:$C$13*'2. The tape'!$I$5:$I$13*(1+'3. Assumptions'!$B$12)^(A9/4)))</f>
        <v>81635005.2207625</v>
      </c>
      <c r="E9" s="37" t="n">
        <f aca="false">1/(1+(1+'3. Assumptions'!$B$28)^0.25-1)^A9</f>
        <v>0.972064592781694</v>
      </c>
      <c r="F9" s="37" t="n">
        <f aca="false">1/(1+(1+'3. Assumptions'!$B$29)^0.25-1)^A9</f>
        <v>0.947204280091693</v>
      </c>
      <c r="G9" s="15" t="n">
        <f aca="false">B9*(1-$D$4)*C9*E9+B9*$D$4*D9*F9</f>
        <v>4002900.37578337</v>
      </c>
    </row>
    <row r="10" customFormat="false" ht="15" hidden="false" customHeight="false" outlineLevel="0" collapsed="false">
      <c r="A10" s="0" t="n">
        <v>4</v>
      </c>
      <c r="B10" s="37" t="n">
        <f aca="false">IF(A10=1,1,B9*(1-$D$4))</f>
        <v>0.951478288414228</v>
      </c>
      <c r="C10" s="15" t="n">
        <f aca="false">'2. The tape'!$C$17*(1+MIN(MAX('3. Assumptions'!$B$12,'3. Assumptions'!$B$11),'3. Assumptions'!$B$10))^INT((A10-1)/4)/4*(1-'3. Assumptions'!$B$13)</f>
        <v>2998091.25</v>
      </c>
      <c r="D10" s="15" t="n">
        <f aca="false">(1-'3. Assumptions'!$B$15)*SUMPRODUCT((('2. The tape'!$C$5:$C$13*'2. The tape'!$D$5:$D$13*(1-'2. The tape'!$J$5:$J$13)^(A10/4)*(1+'3. Assumptions'!$B$12)^(A10/4)*((1-'3. Assumptions'!$B$13)/('3. Assumptions'!$B$5)-'2. The tape'!$H$5:$H$13/12-'3. Assumptions'!$B$16)-'2. The tape'!$C$5:$C$13*'2. The tape'!$I$5:$I$13*(1+'3. Assumptions'!$B$12)^(A10/4))&gt;0)*('2. The tape'!$C$5:$C$13*'2. The tape'!$D$5:$D$13*(1-'2. The tape'!$J$5:$J$13)^(A10/4)*(1+'3. Assumptions'!$B$12)^(A10/4)*((1-'3. Assumptions'!$B$13)/('3. Assumptions'!$B$5)-'2. The tape'!$H$5:$H$13/12-'3. Assumptions'!$B$16)-'2. The tape'!$C$5:$C$13*'2. The tape'!$I$5:$I$13*(1+'3. Assumptions'!$B$12)^(A10/4)))</f>
        <v>81544816.1345501</v>
      </c>
      <c r="E10" s="37" t="n">
        <f aca="false">1/(1+(1+'3. Assumptions'!$B$28)^0.25-1)^A10</f>
        <v>0.962927298988926</v>
      </c>
      <c r="F10" s="37" t="n">
        <f aca="false">1/(1+(1+'3. Assumptions'!$B$29)^0.25-1)^A10</f>
        <v>0.930232558139534</v>
      </c>
      <c r="G10" s="15" t="n">
        <f aca="false">B10*(1-$D$4)*C10*E10+B10*$D$4*D10*F10</f>
        <v>3888456.46801053</v>
      </c>
    </row>
    <row r="11" customFormat="false" ht="15" hidden="false" customHeight="false" outlineLevel="0" collapsed="false">
      <c r="A11" s="0" t="n">
        <v>5</v>
      </c>
      <c r="B11" s="37" t="n">
        <f aca="false">IF(A11=1,1,B10*(1-$D$4))</f>
        <v>0.935833333333334</v>
      </c>
      <c r="C11" s="15" t="n">
        <f aca="false">'2. The tape'!$C$17*(1+MIN(MAX('3. Assumptions'!$B$12,'3. Assumptions'!$B$11),'3. Assumptions'!$B$10))^INT((A11-1)/4)/4*(1-'3. Assumptions'!$B$13)</f>
        <v>3064049.2575</v>
      </c>
      <c r="D11" s="15" t="n">
        <f aca="false">(1-'3. Assumptions'!$B$15)*SUMPRODUCT((('2. The tape'!$C$5:$C$13*'2. The tape'!$D$5:$D$13*(1-'2. The tape'!$J$5:$J$13)^(A11/4)*(1+'3. Assumptions'!$B$12)^(A11/4)*((1-'3. Assumptions'!$B$13)/('3. Assumptions'!$B$5)-'2. The tape'!$H$5:$H$13/12-'3. Assumptions'!$B$16)-'2. The tape'!$C$5:$C$13*'2. The tape'!$I$5:$I$13*(1+'3. Assumptions'!$B$12)^(A11/4))&gt;0)*('2. The tape'!$C$5:$C$13*'2. The tape'!$D$5:$D$13*(1-'2. The tape'!$J$5:$J$13)^(A11/4)*(1+'3. Assumptions'!$B$12)^(A11/4)*((1-'3. Assumptions'!$B$13)/('3. Assumptions'!$B$5)-'2. The tape'!$H$5:$H$13/12-'3. Assumptions'!$B$16)-'2. The tape'!$C$5:$C$13*'2. The tape'!$I$5:$I$13*(1+'3. Assumptions'!$B$12)^(A11/4)))</f>
        <v>81454452.8336819</v>
      </c>
      <c r="E11" s="37" t="n">
        <f aca="false">1/(1+(1+'3. Assumptions'!$B$28)^0.25-1)^A11</f>
        <v>0.953875894692056</v>
      </c>
      <c r="F11" s="37" t="n">
        <f aca="false">1/(1+(1+'3. Assumptions'!$B$29)^0.25-1)^A11</f>
        <v>0.913564930406623</v>
      </c>
      <c r="G11" s="15" t="n">
        <f aca="false">B11*(1-$D$4)*C11*E11+B11*$D$4*D11*F11</f>
        <v>3835267.22710918</v>
      </c>
    </row>
    <row r="12" customFormat="false" ht="15" hidden="false" customHeight="false" outlineLevel="0" collapsed="false">
      <c r="A12" s="0" t="n">
        <v>6</v>
      </c>
      <c r="B12" s="37" t="n">
        <f aca="false">IF(A12=1,1,B11*(1-$D$4))</f>
        <v>0.92044562492056</v>
      </c>
      <c r="C12" s="15" t="n">
        <f aca="false">'2. The tape'!$C$17*(1+MIN(MAX('3. Assumptions'!$B$12,'3. Assumptions'!$B$11),'3. Assumptions'!$B$10))^INT((A12-1)/4)/4*(1-'3. Assumptions'!$B$13)</f>
        <v>3064049.2575</v>
      </c>
      <c r="D12" s="15" t="n">
        <f aca="false">(1-'3. Assumptions'!$B$15)*SUMPRODUCT((('2. The tape'!$C$5:$C$13*'2. The tape'!$D$5:$D$13*(1-'2. The tape'!$J$5:$J$13)^(A12/4)*(1+'3. Assumptions'!$B$12)^(A12/4)*((1-'3. Assumptions'!$B$13)/('3. Assumptions'!$B$5)-'2. The tape'!$H$5:$H$13/12-'3. Assumptions'!$B$16)-'2. The tape'!$C$5:$C$13*'2. The tape'!$I$5:$I$13*(1+'3. Assumptions'!$B$12)^(A12/4))&gt;0)*('2. The tape'!$C$5:$C$13*'2. The tape'!$D$5:$D$13*(1-'2. The tape'!$J$5:$J$13)^(A12/4)*(1+'3. Assumptions'!$B$12)^(A12/4)*((1-'3. Assumptions'!$B$13)/('3. Assumptions'!$B$5)-'2. The tape'!$H$5:$H$13/12-'3. Assumptions'!$B$16)-'2. The tape'!$C$5:$C$13*'2. The tape'!$I$5:$I$13*(1+'3. Assumptions'!$B$12)^(A12/4)))</f>
        <v>81363912.7252656</v>
      </c>
      <c r="E12" s="37" t="n">
        <f aca="false">1/(1+(1+'3. Assumptions'!$B$28)^0.25-1)^A12</f>
        <v>0.944909572539841</v>
      </c>
      <c r="F12" s="37" t="n">
        <f aca="false">1/(1+(1+'3. Assumptions'!$B$29)^0.25-1)^A12</f>
        <v>0.897195948224022</v>
      </c>
      <c r="G12" s="15" t="n">
        <f aca="false">B12*(1-$D$4)*C12*E12+B12*$D$4*D12*F12</f>
        <v>3725923.99817319</v>
      </c>
    </row>
    <row r="13" customFormat="false" ht="15" hidden="false" customHeight="false" outlineLevel="0" collapsed="false">
      <c r="A13" s="0" t="n">
        <v>7</v>
      </c>
      <c r="B13" s="37" t="n">
        <f aca="false">IF(A13=1,1,B12*(1-$D$4))</f>
        <v>0.905310933323668</v>
      </c>
      <c r="C13" s="15" t="n">
        <f aca="false">'2. The tape'!$C$17*(1+MIN(MAX('3. Assumptions'!$B$12,'3. Assumptions'!$B$11),'3. Assumptions'!$B$10))^INT((A13-1)/4)/4*(1-'3. Assumptions'!$B$13)</f>
        <v>3064049.2575</v>
      </c>
      <c r="D13" s="15" t="n">
        <f aca="false">(1-'3. Assumptions'!$B$15)*SUMPRODUCT((('2. The tape'!$C$5:$C$13*'2. The tape'!$D$5:$D$13*(1-'2. The tape'!$J$5:$J$13)^(A13/4)*(1+'3. Assumptions'!$B$12)^(A13/4)*((1-'3. Assumptions'!$B$13)/('3. Assumptions'!$B$5)-'2. The tape'!$H$5:$H$13/12-'3. Assumptions'!$B$16)-'2. The tape'!$C$5:$C$13*'2. The tape'!$I$5:$I$13*(1+'3. Assumptions'!$B$12)^(A13/4))&gt;0)*('2. The tape'!$C$5:$C$13*'2. The tape'!$D$5:$D$13*(1-'2. The tape'!$J$5:$J$13)^(A13/4)*(1+'3. Assumptions'!$B$12)^(A13/4)*((1-'3. Assumptions'!$B$13)/('3. Assumptions'!$B$5)-'2. The tape'!$H$5:$H$13/12-'3. Assumptions'!$B$16)-'2. The tape'!$C$5:$C$13*'2. The tape'!$I$5:$I$13*(1+'3. Assumptions'!$B$12)^(A13/4)))</f>
        <v>81273193.2040317</v>
      </c>
      <c r="E13" s="37" t="n">
        <f aca="false">1/(1+(1+'3. Assumptions'!$B$28)^0.25-1)^A13</f>
        <v>0.936027532770047</v>
      </c>
      <c r="F13" s="37" t="n">
        <f aca="false">1/(1+(1+'3. Assumptions'!$B$29)^0.25-1)^A13</f>
        <v>0.881120260550411</v>
      </c>
      <c r="G13" s="15" t="n">
        <f aca="false">B13*(1-$D$4)*C13*E13+B13*$D$4*D13*F13</f>
        <v>3619766.21333313</v>
      </c>
    </row>
    <row r="14" customFormat="false" ht="15" hidden="false" customHeight="false" outlineLevel="0" collapsed="false">
      <c r="A14" s="0" t="n">
        <v>8</v>
      </c>
      <c r="B14" s="37" t="n">
        <f aca="false">IF(A14=1,1,B13*(1-$D$4))</f>
        <v>0.890425098240981</v>
      </c>
      <c r="C14" s="15" t="n">
        <f aca="false">'2. The tape'!$C$17*(1+MIN(MAX('3. Assumptions'!$B$12,'3. Assumptions'!$B$11),'3. Assumptions'!$B$10))^INT((A14-1)/4)/4*(1-'3. Assumptions'!$B$13)</f>
        <v>3064049.2575</v>
      </c>
      <c r="D14" s="15" t="n">
        <f aca="false">(1-'3. Assumptions'!$B$15)*SUMPRODUCT((('2. The tape'!$C$5:$C$13*'2. The tape'!$D$5:$D$13*(1-'2. The tape'!$J$5:$J$13)^(A14/4)*(1+'3. Assumptions'!$B$12)^(A14/4)*((1-'3. Assumptions'!$B$13)/('3. Assumptions'!$B$5)-'2. The tape'!$H$5:$H$13/12-'3. Assumptions'!$B$16)-'2. The tape'!$C$5:$C$13*'2. The tape'!$I$5:$I$13*(1+'3. Assumptions'!$B$12)^(A14/4))&gt;0)*('2. The tape'!$C$5:$C$13*'2. The tape'!$D$5:$D$13*(1-'2. The tape'!$J$5:$J$13)^(A14/4)*(1+'3. Assumptions'!$B$12)^(A14/4)*((1-'3. Assumptions'!$B$13)/('3. Assumptions'!$B$5)-'2. The tape'!$H$5:$H$13/12-'3. Assumptions'!$B$16)-'2. The tape'!$C$5:$C$13*'2. The tape'!$I$5:$I$13*(1+'3. Assumptions'!$B$12)^(A14/4)))</f>
        <v>81182291.6522595</v>
      </c>
      <c r="E14" s="37" t="n">
        <f aca="false">1/(1+(1+'3. Assumptions'!$B$28)^0.25-1)^A14</f>
        <v>0.927228983138108</v>
      </c>
      <c r="F14" s="37" t="n">
        <f aca="false">1/(1+(1+'3. Assumptions'!$B$29)^0.25-1)^A14</f>
        <v>0.865332612222822</v>
      </c>
      <c r="G14" s="15" t="n">
        <f aca="false">B14*(1-$D$4)*C14*E14+B14*$D$4*D14*F14</f>
        <v>3516698.93039534</v>
      </c>
    </row>
    <row r="15" customFormat="false" ht="15" hidden="false" customHeight="false" outlineLevel="0" collapsed="false">
      <c r="A15" s="0" t="n">
        <v>9</v>
      </c>
      <c r="B15" s="37" t="n">
        <f aca="false">IF(A15=1,1,B14*(1-$D$4))</f>
        <v>0.875784027777778</v>
      </c>
      <c r="C15" s="15" t="n">
        <f aca="false">'2. The tape'!$C$17*(1+MIN(MAX('3. Assumptions'!$B$12,'3. Assumptions'!$B$11),'3. Assumptions'!$B$10))^INT((A15-1)/4)/4*(1-'3. Assumptions'!$B$13)</f>
        <v>3131458.341165</v>
      </c>
      <c r="D15" s="15" t="n">
        <f aca="false">(1-'3. Assumptions'!$B$15)*SUMPRODUCT((('2. The tape'!$C$5:$C$13*'2. The tape'!$D$5:$D$13*(1-'2. The tape'!$J$5:$J$13)^(A15/4)*(1+'3. Assumptions'!$B$12)^(A15/4)*((1-'3. Assumptions'!$B$13)/('3. Assumptions'!$B$5)-'2. The tape'!$H$5:$H$13/12-'3. Assumptions'!$B$16)-'2. The tape'!$C$5:$C$13*'2. The tape'!$I$5:$I$13*(1+'3. Assumptions'!$B$12)^(A15/4))&gt;0)*('2. The tape'!$C$5:$C$13*'2. The tape'!$D$5:$D$13*(1-'2. The tape'!$J$5:$J$13)^(A15/4)*(1+'3. Assumptions'!$B$12)^(A15/4)*((1-'3. Assumptions'!$B$13)/('3. Assumptions'!$B$5)-'2. The tape'!$H$5:$H$13/12-'3. Assumptions'!$B$16)-'2. The tape'!$C$5:$C$13*'2. The tape'!$I$5:$I$13*(1+'3. Assumptions'!$B$12)^(A15/4)))</f>
        <v>81091205.439703</v>
      </c>
      <c r="E15" s="37" t="n">
        <f aca="false">1/(1+(1+'3. Assumptions'!$B$28)^0.25-1)^A15</f>
        <v>0.918513138846466</v>
      </c>
      <c r="F15" s="37" t="n">
        <f aca="false">1/(1+(1+'3. Assumptions'!$B$29)^0.25-1)^A15</f>
        <v>0.849827842238718</v>
      </c>
      <c r="G15" s="15" t="n">
        <f aca="false">B15*(1-$D$4)*C15*E15+B15*$D$4*D15*F15</f>
        <v>3469963.64720213</v>
      </c>
    </row>
    <row r="16" customFormat="false" ht="15" hidden="false" customHeight="false" outlineLevel="0" collapsed="false">
      <c r="A16" s="0" t="n">
        <v>10</v>
      </c>
      <c r="B16" s="37" t="n">
        <f aca="false">IF(A16=1,1,B15*(1-$D$4))</f>
        <v>0.86138369732149</v>
      </c>
      <c r="C16" s="15" t="n">
        <f aca="false">'2. The tape'!$C$17*(1+MIN(MAX('3. Assumptions'!$B$12,'3. Assumptions'!$B$11),'3. Assumptions'!$B$10))^INT((A16-1)/4)/4*(1-'3. Assumptions'!$B$13)</f>
        <v>3131458.341165</v>
      </c>
      <c r="D16" s="15" t="n">
        <f aca="false">(1-'3. Assumptions'!$B$15)*SUMPRODUCT((('2. The tape'!$C$5:$C$13*'2. The tape'!$D$5:$D$13*(1-'2. The tape'!$J$5:$J$13)^(A16/4)*(1+'3. Assumptions'!$B$12)^(A16/4)*((1-'3. Assumptions'!$B$13)/('3. Assumptions'!$B$5)-'2. The tape'!$H$5:$H$13/12-'3. Assumptions'!$B$16)-'2. The tape'!$C$5:$C$13*'2. The tape'!$I$5:$I$13*(1+'3. Assumptions'!$B$12)^(A16/4))&gt;0)*('2. The tape'!$C$5:$C$13*'2. The tape'!$D$5:$D$13*(1-'2. The tape'!$J$5:$J$13)^(A16/4)*(1+'3. Assumptions'!$B$12)^(A16/4)*((1-'3. Assumptions'!$B$13)/('3. Assumptions'!$B$5)-'2. The tape'!$H$5:$H$13/12-'3. Assumptions'!$B$16)-'2. The tape'!$C$5:$C$13*'2. The tape'!$I$5:$I$13*(1+'3. Assumptions'!$B$12)^(A16/4)))</f>
        <v>80999931.923516</v>
      </c>
      <c r="E16" s="37" t="n">
        <f aca="false">1/(1+(1+'3. Assumptions'!$B$28)^0.25-1)^A16</f>
        <v>0.90987922247457</v>
      </c>
      <c r="F16" s="37" t="n">
        <f aca="false">1/(1+(1+'3. Assumptions'!$B$29)^0.25-1)^A16</f>
        <v>0.834600882068857</v>
      </c>
      <c r="G16" s="15" t="n">
        <f aca="false">B16*(1-$D$4)*C16*E16+B16*$D$4*D16*F16</f>
        <v>3371433.99676334</v>
      </c>
    </row>
    <row r="17" customFormat="false" ht="15" hidden="false" customHeight="false" outlineLevel="0" collapsed="false">
      <c r="A17" s="0" t="n">
        <v>11</v>
      </c>
      <c r="B17" s="37" t="n">
        <f aca="false">IF(A17=1,1,B16*(1-$D$4))</f>
        <v>0.847220148435399</v>
      </c>
      <c r="C17" s="15" t="n">
        <f aca="false">'2. The tape'!$C$17*(1+MIN(MAX('3. Assumptions'!$B$12,'3. Assumptions'!$B$11),'3. Assumptions'!$B$10))^INT((A17-1)/4)/4*(1-'3. Assumptions'!$B$13)</f>
        <v>3131458.341165</v>
      </c>
      <c r="D17" s="15" t="n">
        <f aca="false">(1-'3. Assumptions'!$B$15)*SUMPRODUCT((('2. The tape'!$C$5:$C$13*'2. The tape'!$D$5:$D$13*(1-'2. The tape'!$J$5:$J$13)^(A17/4)*(1+'3. Assumptions'!$B$12)^(A17/4)*((1-'3. Assumptions'!$B$13)/('3. Assumptions'!$B$5)-'2. The tape'!$H$5:$H$13/12-'3. Assumptions'!$B$16)-'2. The tape'!$C$5:$C$13*'2. The tape'!$I$5:$I$13*(1+'3. Assumptions'!$B$12)^(A17/4))&gt;0)*('2. The tape'!$C$5:$C$13*'2. The tape'!$D$5:$D$13*(1-'2. The tape'!$J$5:$J$13)^(A17/4)*(1+'3. Assumptions'!$B$12)^(A17/4)*((1-'3. Assumptions'!$B$13)/('3. Assumptions'!$B$5)-'2. The tape'!$H$5:$H$13/12-'3. Assumptions'!$B$16)-'2. The tape'!$C$5:$C$13*'2. The tape'!$I$5:$I$13*(1+'3. Assumptions'!$B$12)^(A17/4)))</f>
        <v>80908468.4481768</v>
      </c>
      <c r="E17" s="37" t="n">
        <f aca="false">1/(1+(1+'3. Assumptions'!$B$28)^0.25-1)^A17</f>
        <v>0.901326463909529</v>
      </c>
      <c r="F17" s="37" t="n">
        <f aca="false">1/(1+(1+'3. Assumptions'!$B$29)^0.25-1)^A17</f>
        <v>0.819646754000382</v>
      </c>
      <c r="G17" s="15" t="n">
        <f aca="false">B17*(1-$D$4)*C17*E17+B17*$D$4*D17*F17</f>
        <v>3275762.23224357</v>
      </c>
    </row>
    <row r="18" customFormat="false" ht="15" hidden="false" customHeight="false" outlineLevel="0" collapsed="false">
      <c r="A18" s="0" t="n">
        <v>12</v>
      </c>
      <c r="B18" s="37" t="n">
        <f aca="false">IF(A18=1,1,B17*(1-$D$4))</f>
        <v>0.833289487770519</v>
      </c>
      <c r="C18" s="15" t="n">
        <f aca="false">'2. The tape'!$C$17*(1+MIN(MAX('3. Assumptions'!$B$12,'3. Assumptions'!$B$11),'3. Assumptions'!$B$10))^INT((A18-1)/4)/4*(1-'3. Assumptions'!$B$13)</f>
        <v>3131458.341165</v>
      </c>
      <c r="D18" s="15" t="n">
        <f aca="false">(1-'3. Assumptions'!$B$15)*SUMPRODUCT((('2. The tape'!$C$5:$C$13*'2. The tape'!$D$5:$D$13*(1-'2. The tape'!$J$5:$J$13)^(A18/4)*(1+'3. Assumptions'!$B$12)^(A18/4)*((1-'3. Assumptions'!$B$13)/('3. Assumptions'!$B$5)-'2. The tape'!$H$5:$H$13/12-'3. Assumptions'!$B$16)-'2. The tape'!$C$5:$C$13*'2. The tape'!$I$5:$I$13*(1+'3. Assumptions'!$B$12)^(A18/4))&gt;0)*('2. The tape'!$C$5:$C$13*'2. The tape'!$D$5:$D$13*(1-'2. The tape'!$J$5:$J$13)^(A18/4)*(1+'3. Assumptions'!$B$12)^(A18/4)*((1-'3. Assumptions'!$B$13)/('3. Assumptions'!$B$5)-'2. The tape'!$H$5:$H$13/12-'3. Assumptions'!$B$16)-'2. The tape'!$C$5:$C$13*'2. The tape'!$I$5:$I$13*(1+'3. Assumptions'!$B$12)^(A18/4)))</f>
        <v>80816812.3454128</v>
      </c>
      <c r="E18" s="37" t="n">
        <f aca="false">1/(1+(1+'3. Assumptions'!$B$28)^0.25-1)^A18</f>
        <v>0.892854100277426</v>
      </c>
      <c r="F18" s="37" t="n">
        <f aca="false">1/(1+(1+'3. Assumptions'!$B$29)^0.25-1)^A18</f>
        <v>0.804960569509602</v>
      </c>
      <c r="G18" s="15" t="n">
        <f aca="false">B18*(1-$D$4)*C18*E18+B18*$D$4*D18*F18</f>
        <v>3182863.56038881</v>
      </c>
    </row>
    <row r="19" customFormat="false" ht="15" hidden="false" customHeight="false" outlineLevel="0" collapsed="false">
      <c r="A19" s="0" t="n">
        <v>13</v>
      </c>
      <c r="B19" s="37" t="n">
        <f aca="false">IF(A19=1,1,B18*(1-$D$4))</f>
        <v>0.819587885995371</v>
      </c>
      <c r="C19" s="15" t="n">
        <f aca="false">'2. The tape'!$C$17*(1+MIN(MAX('3. Assumptions'!$B$12,'3. Assumptions'!$B$11),'3. Assumptions'!$B$10))^INT((A19-1)/4)/4*(1-'3. Assumptions'!$B$13)</f>
        <v>3200350.42467063</v>
      </c>
      <c r="D19" s="15" t="n">
        <f aca="false">(1-'3. Assumptions'!$B$15)*SUMPRODUCT((('2. The tape'!$C$5:$C$13*'2. The tape'!$D$5:$D$13*(1-'2. The tape'!$J$5:$J$13)^(A19/4)*(1+'3. Assumptions'!$B$12)^(A19/4)*((1-'3. Assumptions'!$B$13)/('3. Assumptions'!$B$5)-'2. The tape'!$H$5:$H$13/12-'3. Assumptions'!$B$16)-'2. The tape'!$C$5:$C$13*'2. The tape'!$I$5:$I$13*(1+'3. Assumptions'!$B$12)^(A19/4))&gt;0)*('2. The tape'!$C$5:$C$13*'2. The tape'!$D$5:$D$13*(1-'2. The tape'!$J$5:$J$13)^(A19/4)*(1+'3. Assumptions'!$B$12)^(A19/4)*((1-'3. Assumptions'!$B$13)/('3. Assumptions'!$B$5)-'2. The tape'!$H$5:$H$13/12-'3. Assumptions'!$B$16)-'2. The tape'!$C$5:$C$13*'2. The tape'!$I$5:$I$13*(1+'3. Assumptions'!$B$12)^(A19/4)))</f>
        <v>80724960.9341247</v>
      </c>
      <c r="E19" s="37" t="n">
        <f aca="false">1/(1+(1+'3. Assumptions'!$B$28)^0.25-1)^A19</f>
        <v>0.884461375875268</v>
      </c>
      <c r="F19" s="37" t="n">
        <f aca="false">1/(1+(1+'3. Assumptions'!$B$29)^0.25-1)^A19</f>
        <v>0.790537527663924</v>
      </c>
      <c r="G19" s="15" t="n">
        <f aca="false">B19*(1-$D$4)*C19*E19+B19*$D$4*D19*F19</f>
        <v>3141774.06515833</v>
      </c>
    </row>
    <row r="20" customFormat="false" ht="15" hidden="false" customHeight="false" outlineLevel="0" collapsed="false">
      <c r="A20" s="0" t="n">
        <v>14</v>
      </c>
      <c r="B20" s="37" t="n">
        <f aca="false">IF(A20=1,1,B19*(1-$D$4))</f>
        <v>0.806111576743362</v>
      </c>
      <c r="C20" s="15" t="n">
        <f aca="false">'2. The tape'!$C$17*(1+MIN(MAX('3. Assumptions'!$B$12,'3. Assumptions'!$B$11),'3. Assumptions'!$B$10))^INT((A20-1)/4)/4*(1-'3. Assumptions'!$B$13)</f>
        <v>3200350.42467063</v>
      </c>
      <c r="D20" s="15" t="n">
        <f aca="false">(1-'3. Assumptions'!$B$15)*SUMPRODUCT((('2. The tape'!$C$5:$C$13*'2. The tape'!$D$5:$D$13*(1-'2. The tape'!$J$5:$J$13)^(A20/4)*(1+'3. Assumptions'!$B$12)^(A20/4)*((1-'3. Assumptions'!$B$13)/('3. Assumptions'!$B$5)-'2. The tape'!$H$5:$H$13/12-'3. Assumptions'!$B$16)-'2. The tape'!$C$5:$C$13*'2. The tape'!$I$5:$I$13*(1+'3. Assumptions'!$B$12)^(A20/4))&gt;0)*('2. The tape'!$C$5:$C$13*'2. The tape'!$D$5:$D$13*(1-'2. The tape'!$J$5:$J$13)^(A20/4)*(1+'3. Assumptions'!$B$12)^(A20/4)*((1-'3. Assumptions'!$B$13)/('3. Assumptions'!$B$5)-'2. The tape'!$H$5:$H$13/12-'3. Assumptions'!$B$16)-'2. The tape'!$C$5:$C$13*'2. The tape'!$I$5:$I$13*(1+'3. Assumptions'!$B$12)^(A20/4)))</f>
        <v>80632911.5203095</v>
      </c>
      <c r="E20" s="37" t="n">
        <f aca="false">1/(1+(1+'3. Assumptions'!$B$28)^0.25-1)^A20</f>
        <v>0.876147542103581</v>
      </c>
      <c r="F20" s="37" t="n">
        <f aca="false">1/(1+(1+'3. Assumptions'!$B$29)^0.25-1)^A20</f>
        <v>0.776372913552425</v>
      </c>
      <c r="G20" s="15" t="n">
        <f aca="false">B20*(1-$D$4)*C20*E20+B20*$D$4*D20*F20</f>
        <v>3052915.66125972</v>
      </c>
    </row>
    <row r="21" customFormat="false" ht="15" hidden="false" customHeight="false" outlineLevel="0" collapsed="false">
      <c r="A21" s="0" t="n">
        <v>15</v>
      </c>
      <c r="B21" s="37" t="n">
        <f aca="false">IF(A21=1,1,B20*(1-$D$4))</f>
        <v>0.792856855577461</v>
      </c>
      <c r="C21" s="15" t="n">
        <f aca="false">'2. The tape'!$C$17*(1+MIN(MAX('3. Assumptions'!$B$12,'3. Assumptions'!$B$11),'3. Assumptions'!$B$10))^INT((A21-1)/4)/4*(1-'3. Assumptions'!$B$13)</f>
        <v>3200350.42467063</v>
      </c>
      <c r="D21" s="15" t="n">
        <f aca="false">(1-'3. Assumptions'!$B$15)*SUMPRODUCT((('2. The tape'!$C$5:$C$13*'2. The tape'!$D$5:$D$13*(1-'2. The tape'!$J$5:$J$13)^(A21/4)*(1+'3. Assumptions'!$B$12)^(A21/4)*((1-'3. Assumptions'!$B$13)/('3. Assumptions'!$B$5)-'2. The tape'!$H$5:$H$13/12-'3. Assumptions'!$B$16)-'2. The tape'!$C$5:$C$13*'2. The tape'!$I$5:$I$13*(1+'3. Assumptions'!$B$12)^(A21/4))&gt;0)*('2. The tape'!$C$5:$C$13*'2. The tape'!$D$5:$D$13*(1-'2. The tape'!$J$5:$J$13)^(A21/4)*(1+'3. Assumptions'!$B$12)^(A21/4)*((1-'3. Assumptions'!$B$13)/('3. Assumptions'!$B$5)-'2. The tape'!$H$5:$H$13/12-'3. Assumptions'!$B$16)-'2. The tape'!$C$5:$C$13*'2. The tape'!$I$5:$I$13*(1+'3. Assumptions'!$B$12)^(A21/4)))</f>
        <v>80540661.3969845</v>
      </c>
      <c r="E21" s="37" t="n">
        <f aca="false">1/(1+(1+'3. Assumptions'!$B$28)^0.25-1)^A21</f>
        <v>0.867911857399642</v>
      </c>
      <c r="F21" s="37" t="n">
        <f aca="false">1/(1+(1+'3. Assumptions'!$B$29)^0.25-1)^A21</f>
        <v>0.762462096744541</v>
      </c>
      <c r="G21" s="15" t="n">
        <f aca="false">B21*(1-$D$4)*C21*E21+B21*$D$4*D21*F21</f>
        <v>2966623.51316408</v>
      </c>
    </row>
    <row r="22" customFormat="false" ht="15" hidden="false" customHeight="false" outlineLevel="0" collapsed="false">
      <c r="A22" s="0" t="n">
        <v>16</v>
      </c>
      <c r="B22" s="37" t="n">
        <f aca="false">IF(A22=1,1,B21*(1-$D$4))</f>
        <v>0.77982007897191</v>
      </c>
      <c r="C22" s="15" t="n">
        <f aca="false">'2. The tape'!$C$17*(1+MIN(MAX('3. Assumptions'!$B$12,'3. Assumptions'!$B$11),'3. Assumptions'!$B$10))^INT((A22-1)/4)/4*(1-'3. Assumptions'!$B$13)</f>
        <v>3200350.42467063</v>
      </c>
      <c r="D22" s="15" t="n">
        <f aca="false">(1-'3. Assumptions'!$B$15)*SUMPRODUCT((('2. The tape'!$C$5:$C$13*'2. The tape'!$D$5:$D$13*(1-'2. The tape'!$J$5:$J$13)^(A22/4)*(1+'3. Assumptions'!$B$12)^(A22/4)*((1-'3. Assumptions'!$B$13)/('3. Assumptions'!$B$5)-'2. The tape'!$H$5:$H$13/12-'3. Assumptions'!$B$16)-'2. The tape'!$C$5:$C$13*'2. The tape'!$I$5:$I$13*(1+'3. Assumptions'!$B$12)^(A22/4))&gt;0)*('2. The tape'!$C$5:$C$13*'2. The tape'!$D$5:$D$13*(1-'2. The tape'!$J$5:$J$13)^(A22/4)*(1+'3. Assumptions'!$B$12)^(A22/4)*((1-'3. Assumptions'!$B$13)/('3. Assumptions'!$B$5)-'2. The tape'!$H$5:$H$13/12-'3. Assumptions'!$B$16)-'2. The tape'!$C$5:$C$13*'2. The tape'!$I$5:$I$13*(1+'3. Assumptions'!$B$12)^(A22/4)))</f>
        <v>80448207.8441097</v>
      </c>
      <c r="E22" s="37" t="n">
        <f aca="false">1/(1+(1+'3. Assumptions'!$B$28)^0.25-1)^A22</f>
        <v>0.859753587171329</v>
      </c>
      <c r="F22" s="37" t="n">
        <f aca="false">1/(1+(1+'3. Assumptions'!$B$29)^0.25-1)^A22</f>
        <v>0.748800529776373</v>
      </c>
      <c r="G22" s="15" t="n">
        <f aca="false">B22*(1-$D$4)*C22*E22+B22*$D$4*D22*F22</f>
        <v>2882821.82400216</v>
      </c>
    </row>
    <row r="23" customFormat="false" ht="15" hidden="false" customHeight="false" outlineLevel="0" collapsed="false">
      <c r="A23" s="0" t="n">
        <v>17</v>
      </c>
      <c r="B23" s="37" t="n">
        <f aca="false">IF(A23=1,1,B22*(1-$D$4))</f>
        <v>0.766997663310668</v>
      </c>
      <c r="C23" s="15" t="n">
        <f aca="false">'2. The tape'!$C$17*(1+MIN(MAX('3. Assumptions'!$B$12,'3. Assumptions'!$B$11),'3. Assumptions'!$B$10))^INT((A23-1)/4)/4*(1-'3. Assumptions'!$B$13)</f>
        <v>3270758.13401338</v>
      </c>
      <c r="D23" s="15" t="n">
        <f aca="false">(1-'3. Assumptions'!$B$15)*SUMPRODUCT((('2. The tape'!$C$5:$C$13*'2. The tape'!$D$5:$D$13*(1-'2. The tape'!$J$5:$J$13)^(A23/4)*(1+'3. Assumptions'!$B$12)^(A23/4)*((1-'3. Assumptions'!$B$13)/('3. Assumptions'!$B$5)-'2. The tape'!$H$5:$H$13/12-'3. Assumptions'!$B$16)-'2. The tape'!$C$5:$C$13*'2. The tape'!$I$5:$I$13*(1+'3. Assumptions'!$B$12)^(A23/4))&gt;0)*('2. The tape'!$C$5:$C$13*'2. The tape'!$D$5:$D$13*(1-'2. The tape'!$J$5:$J$13)^(A23/4)*(1+'3. Assumptions'!$B$12)^(A23/4)*((1-'3. Assumptions'!$B$13)/('3. Assumptions'!$B$5)-'2. The tape'!$H$5:$H$13/12-'3. Assumptions'!$B$16)-'2. The tape'!$C$5:$C$13*'2. The tape'!$I$5:$I$13*(1+'3. Assumptions'!$B$12)^(A23/4)))</f>
        <v>80355548.1285103</v>
      </c>
      <c r="E23" s="37" t="n">
        <f aca="false">1/(1+(1+'3. Assumptions'!$B$28)^0.25-1)^A23</f>
        <v>0.8516720037316</v>
      </c>
      <c r="F23" s="37" t="n">
        <f aca="false">1/(1+(1+'3. Assumptions'!$B$29)^0.25-1)^A23</f>
        <v>0.735383746664115</v>
      </c>
      <c r="G23" s="15" t="n">
        <f aca="false">B23*(1-$D$4)*C23*E23+B23*$D$4*D23*F23</f>
        <v>2846673.30251319</v>
      </c>
    </row>
    <row r="24" customFormat="false" ht="15" hidden="false" customHeight="false" outlineLevel="0" collapsed="false">
      <c r="A24" s="0" t="n">
        <v>18</v>
      </c>
      <c r="B24" s="37" t="n">
        <f aca="false">IF(A24=1,1,B23*(1-$D$4))</f>
        <v>0.754386083902329</v>
      </c>
      <c r="C24" s="15" t="n">
        <f aca="false">'2. The tape'!$C$17*(1+MIN(MAX('3. Assumptions'!$B$12,'3. Assumptions'!$B$11),'3. Assumptions'!$B$10))^INT((A24-1)/4)/4*(1-'3. Assumptions'!$B$13)</f>
        <v>3270758.13401338</v>
      </c>
      <c r="D24" s="15" t="n">
        <f aca="false">(1-'3. Assumptions'!$B$15)*SUMPRODUCT((('2. The tape'!$C$5:$C$13*'2. The tape'!$D$5:$D$13*(1-'2. The tape'!$J$5:$J$13)^(A24/4)*(1+'3. Assumptions'!$B$12)^(A24/4)*((1-'3. Assumptions'!$B$13)/('3. Assumptions'!$B$5)-'2. The tape'!$H$5:$H$13/12-'3. Assumptions'!$B$16)-'2. The tape'!$C$5:$C$13*'2. The tape'!$I$5:$I$13*(1+'3. Assumptions'!$B$12)^(A24/4))&gt;0)*('2. The tape'!$C$5:$C$13*'2. The tape'!$D$5:$D$13*(1-'2. The tape'!$J$5:$J$13)^(A24/4)*(1+'3. Assumptions'!$B$12)^(A24/4)*((1-'3. Assumptions'!$B$13)/('3. Assumptions'!$B$5)-'2. The tape'!$H$5:$H$13/12-'3. Assumptions'!$B$16)-'2. The tape'!$C$5:$C$13*'2. The tape'!$I$5:$I$13*(1+'3. Assumptions'!$B$12)^(A24/4)))</f>
        <v>80262679.5037985</v>
      </c>
      <c r="E24" s="37" t="n">
        <f aca="false">1/(1+(1+'3. Assumptions'!$B$28)^0.25-1)^A24</f>
        <v>0.843666386233587</v>
      </c>
      <c r="F24" s="37" t="n">
        <f aca="false">1/(1+(1+'3. Assumptions'!$B$29)^0.25-1)^A24</f>
        <v>0.722207361444116</v>
      </c>
      <c r="G24" s="15" t="n">
        <f aca="false">B24*(1-$D$4)*C24*E24+B24*$D$4*D24*F24</f>
        <v>2766472.20127908</v>
      </c>
    </row>
    <row r="25" customFormat="false" ht="15" hidden="false" customHeight="false" outlineLevel="0" collapsed="false">
      <c r="A25" s="0" t="n">
        <v>19</v>
      </c>
      <c r="B25" s="37" t="n">
        <f aca="false">IF(A25=1,1,B24*(1-$D$4))</f>
        <v>0.741981874011241</v>
      </c>
      <c r="C25" s="15" t="n">
        <f aca="false">'2. The tape'!$C$17*(1+MIN(MAX('3. Assumptions'!$B$12,'3. Assumptions'!$B$11),'3. Assumptions'!$B$10))^INT((A25-1)/4)/4*(1-'3. Assumptions'!$B$13)</f>
        <v>3270758.13401338</v>
      </c>
      <c r="D25" s="15" t="n">
        <f aca="false">(1-'3. Assumptions'!$B$15)*SUMPRODUCT((('2. The tape'!$C$5:$C$13*'2. The tape'!$D$5:$D$13*(1-'2. The tape'!$J$5:$J$13)^(A25/4)*(1+'3. Assumptions'!$B$12)^(A25/4)*((1-'3. Assumptions'!$B$13)/('3. Assumptions'!$B$5)-'2. The tape'!$H$5:$H$13/12-'3. Assumptions'!$B$16)-'2. The tape'!$C$5:$C$13*'2. The tape'!$I$5:$I$13*(1+'3. Assumptions'!$B$12)^(A25/4))&gt;0)*('2. The tape'!$C$5:$C$13*'2. The tape'!$D$5:$D$13*(1-'2. The tape'!$J$5:$J$13)^(A25/4)*(1+'3. Assumptions'!$B$12)^(A25/4)*((1-'3. Assumptions'!$B$13)/('3. Assumptions'!$B$5)-'2. The tape'!$H$5:$H$13/12-'3. Assumptions'!$B$16)-'2. The tape'!$C$5:$C$13*'2. The tape'!$I$5:$I$13*(1+'3. Assumptions'!$B$12)^(A25/4)))</f>
        <v>80169599.2102954</v>
      </c>
      <c r="E25" s="37" t="n">
        <f aca="false">1/(1+(1+'3. Assumptions'!$B$28)^0.25-1)^A25</f>
        <v>0.835736020606299</v>
      </c>
      <c r="F25" s="37" t="n">
        <f aca="false">1/(1+(1+'3. Assumptions'!$B$29)^0.25-1)^A25</f>
        <v>0.709267066739108</v>
      </c>
      <c r="G25" s="15" t="n">
        <f aca="false">B25*(1-$D$4)*C25*E25+B25*$D$4*D25*F25</f>
        <v>2688577.48421917</v>
      </c>
    </row>
    <row r="26" customFormat="false" ht="15" hidden="false" customHeight="false" outlineLevel="0" collapsed="false">
      <c r="A26" s="0" t="n">
        <v>20</v>
      </c>
      <c r="B26" s="37" t="n">
        <f aca="false">IF(A26=1,1,B25*(1-$D$4))</f>
        <v>0.729781623904546</v>
      </c>
      <c r="C26" s="15" t="n">
        <f aca="false">'2. The tape'!$C$17*(1+MIN(MAX('3. Assumptions'!$B$12,'3. Assumptions'!$B$11),'3. Assumptions'!$B$10))^INT((A26-1)/4)/4*(1-'3. Assumptions'!$B$13)</f>
        <v>3270758.13401338</v>
      </c>
      <c r="D26" s="15" t="n">
        <f aca="false">(1-'3. Assumptions'!$B$15)*SUMPRODUCT((('2. The tape'!$C$5:$C$13*'2. The tape'!$D$5:$D$13*(1-'2. The tape'!$J$5:$J$13)^(A26/4)*(1+'3. Assumptions'!$B$12)^(A26/4)*((1-'3. Assumptions'!$B$13)/('3. Assumptions'!$B$5)-'2. The tape'!$H$5:$H$13/12-'3. Assumptions'!$B$16)-'2. The tape'!$C$5:$C$13*'2. The tape'!$I$5:$I$13*(1+'3. Assumptions'!$B$12)^(A26/4))&gt;0)*('2. The tape'!$C$5:$C$13*'2. The tape'!$D$5:$D$13*(1-'2. The tape'!$J$5:$J$13)^(A26/4)*(1+'3. Assumptions'!$B$12)^(A26/4)*((1-'3. Assumptions'!$B$13)/('3. Assumptions'!$B$5)-'2. The tape'!$H$5:$H$13/12-'3. Assumptions'!$B$16)-'2. The tape'!$C$5:$C$13*'2. The tape'!$I$5:$I$13*(1+'3. Assumptions'!$B$12)^(A26/4)))</f>
        <v>80076304.4749517</v>
      </c>
      <c r="E26" s="37" t="n">
        <f aca="false">1/(1+(1+'3. Assumptions'!$B$28)^0.25-1)^A26</f>
        <v>0.827880199490928</v>
      </c>
      <c r="F26" s="37" t="n">
        <f aca="false">1/(1+(1+'3. Assumptions'!$B$29)^0.25-1)^A26</f>
        <v>0.696558632350114</v>
      </c>
      <c r="G26" s="15" t="n">
        <f aca="false">B26*(1-$D$4)*C26*E26+B26*$D$4*D26*F26</f>
        <v>2612921.33583197</v>
      </c>
    </row>
    <row r="27" customFormat="false" ht="15" hidden="false" customHeight="false" outlineLevel="0" collapsed="false">
      <c r="A27" s="0" t="n">
        <v>21</v>
      </c>
      <c r="B27" s="37" t="n">
        <f aca="false">IF(A27=1,1,B26*(1-$D$4))</f>
        <v>0.7177819799149</v>
      </c>
      <c r="C27" s="15" t="n">
        <f aca="false">'2. The tape'!$C$17*(1+MIN(MAX('3. Assumptions'!$B$12,'3. Assumptions'!$B$11),'3. Assumptions'!$B$10))^INT((A27-1)/4)/4*(1-'3. Assumptions'!$B$13)</f>
        <v>3342714.81296168</v>
      </c>
      <c r="D27" s="15" t="n">
        <f aca="false">(1-'3. Assumptions'!$B$15)*SUMPRODUCT((('2. The tape'!$C$5:$C$13*'2. The tape'!$D$5:$D$13*(1-'2. The tape'!$J$5:$J$13)^(A27/4)*(1+'3. Assumptions'!$B$12)^(A27/4)*((1-'3. Assumptions'!$B$13)/('3. Assumptions'!$B$5)-'2. The tape'!$H$5:$H$13/12-'3. Assumptions'!$B$16)-'2. The tape'!$C$5:$C$13*'2. The tape'!$I$5:$I$13*(1+'3. Assumptions'!$B$12)^(A27/4))&gt;0)*('2. The tape'!$C$5:$C$13*'2. The tape'!$D$5:$D$13*(1-'2. The tape'!$J$5:$J$13)^(A27/4)*(1+'3. Assumptions'!$B$12)^(A27/4)*((1-'3. Assumptions'!$B$13)/('3. Assumptions'!$B$5)-'2. The tape'!$H$5:$H$13/12-'3. Assumptions'!$B$16)-'2. The tape'!$C$5:$C$13*'2. The tape'!$I$5:$I$13*(1+'3. Assumptions'!$B$12)^(A27/4)))</f>
        <v>79982792.5112692</v>
      </c>
      <c r="E27" s="37" t="n">
        <f aca="false">1/(1+(1+'3. Assumptions'!$B$28)^0.25-1)^A27</f>
        <v>0.820098222177756</v>
      </c>
      <c r="F27" s="37" t="n">
        <f aca="false">1/(1+(1+'3. Assumptions'!$B$29)^0.25-1)^A27</f>
        <v>0.684077903873595</v>
      </c>
      <c r="G27" s="15" t="n">
        <f aca="false">B27*(1-$D$4)*C27*E27+B27*$D$4*D27*F27</f>
        <v>2581098.93029064</v>
      </c>
    </row>
    <row r="28" customFormat="false" ht="15" hidden="false" customHeight="false" outlineLevel="0" collapsed="false">
      <c r="A28" s="0" t="n">
        <v>22</v>
      </c>
      <c r="B28" s="37" t="n">
        <f aca="false">IF(A28=1,1,B27*(1-$D$4))</f>
        <v>0.705979643518596</v>
      </c>
      <c r="C28" s="15" t="n">
        <f aca="false">'2. The tape'!$C$17*(1+MIN(MAX('3. Assumptions'!$B$12,'3. Assumptions'!$B$11),'3. Assumptions'!$B$10))^INT((A28-1)/4)/4*(1-'3. Assumptions'!$B$13)</f>
        <v>3342714.81296168</v>
      </c>
      <c r="D28" s="15" t="n">
        <f aca="false">(1-'3. Assumptions'!$B$15)*SUMPRODUCT((('2. The tape'!$C$5:$C$13*'2. The tape'!$D$5:$D$13*(1-'2. The tape'!$J$5:$J$13)^(A28/4)*(1+'3. Assumptions'!$B$12)^(A28/4)*((1-'3. Assumptions'!$B$13)/('3. Assumptions'!$B$5)-'2. The tape'!$H$5:$H$13/12-'3. Assumptions'!$B$16)-'2. The tape'!$C$5:$C$13*'2. The tape'!$I$5:$I$13*(1+'3. Assumptions'!$B$12)^(A28/4))&gt;0)*('2. The tape'!$C$5:$C$13*'2. The tape'!$D$5:$D$13*(1-'2. The tape'!$J$5:$J$13)^(A28/4)*(1+'3. Assumptions'!$B$12)^(A28/4)*((1-'3. Assumptions'!$B$13)/('3. Assumptions'!$B$5)-'2. The tape'!$H$5:$H$13/12-'3. Assumptions'!$B$16)-'2. The tape'!$C$5:$C$13*'2. The tape'!$I$5:$I$13*(1+'3. Assumptions'!$B$12)^(A28/4)))</f>
        <v>79889060.5192201</v>
      </c>
      <c r="E28" s="37" t="n">
        <f aca="false">1/(1+(1+'3. Assumptions'!$B$28)^0.25-1)^A28</f>
        <v>0.812389394543656</v>
      </c>
      <c r="F28" s="37" t="n">
        <f aca="false">1/(1+(1+'3. Assumptions'!$B$29)^0.25-1)^A28</f>
        <v>0.671820801343363</v>
      </c>
      <c r="G28" s="15" t="n">
        <f aca="false">B28*(1-$D$4)*C28*E28+B28*$D$4*D28*F28</f>
        <v>2508654.38102</v>
      </c>
    </row>
    <row r="29" customFormat="false" ht="15" hidden="false" customHeight="false" outlineLevel="0" collapsed="false">
      <c r="A29" s="0" t="n">
        <v>23</v>
      </c>
      <c r="B29" s="37" t="n">
        <f aca="false">IF(A29=1,1,B28*(1-$D$4))</f>
        <v>0.694371370428853</v>
      </c>
      <c r="C29" s="15" t="n">
        <f aca="false">'2. The tape'!$C$17*(1+MIN(MAX('3. Assumptions'!$B$12,'3. Assumptions'!$B$11),'3. Assumptions'!$B$10))^INT((A29-1)/4)/4*(1-'3. Assumptions'!$B$13)</f>
        <v>3342714.81296168</v>
      </c>
      <c r="D29" s="15" t="n">
        <f aca="false">(1-'3. Assumptions'!$B$15)*SUMPRODUCT((('2. The tape'!$C$5:$C$13*'2. The tape'!$D$5:$D$13*(1-'2. The tape'!$J$5:$J$13)^(A29/4)*(1+'3. Assumptions'!$B$12)^(A29/4)*((1-'3. Assumptions'!$B$13)/('3. Assumptions'!$B$5)-'2. The tape'!$H$5:$H$13/12-'3. Assumptions'!$B$16)-'2. The tape'!$C$5:$C$13*'2. The tape'!$I$5:$I$13*(1+'3. Assumptions'!$B$12)^(A29/4))&gt;0)*('2. The tape'!$C$5:$C$13*'2. The tape'!$D$5:$D$13*(1-'2. The tape'!$J$5:$J$13)^(A29/4)*(1+'3. Assumptions'!$B$12)^(A29/4)*((1-'3. Assumptions'!$B$13)/('3. Assumptions'!$B$5)-'2. The tape'!$H$5:$H$13/12-'3. Assumptions'!$B$16)-'2. The tape'!$C$5:$C$13*'2. The tape'!$I$5:$I$13*(1+'3. Assumptions'!$B$12)^(A29/4)))</f>
        <v>79795105.6851676</v>
      </c>
      <c r="E29" s="37" t="n">
        <f aca="false">1/(1+(1+'3. Assumptions'!$B$28)^0.25-1)^A29</f>
        <v>0.804753028990177</v>
      </c>
      <c r="F29" s="37" t="n">
        <f aca="false">1/(1+(1+'3. Assumptions'!$B$29)^0.25-1)^A29</f>
        <v>0.659783317896844</v>
      </c>
      <c r="G29" s="15" t="n">
        <f aca="false">B29*(1-$D$4)*C29*E29+B29*$D$4*D29*F29</f>
        <v>2438284.43901978</v>
      </c>
    </row>
    <row r="30" customFormat="false" ht="15" hidden="false" customHeight="false" outlineLevel="0" collapsed="false">
      <c r="A30" s="0" t="n">
        <v>24</v>
      </c>
      <c r="B30" s="37" t="n">
        <f aca="false">IF(A30=1,1,B29*(1-$D$4))</f>
        <v>0.682953969704005</v>
      </c>
      <c r="C30" s="15" t="n">
        <f aca="false">'2. The tape'!$C$17*(1+MIN(MAX('3. Assumptions'!$B$12,'3. Assumptions'!$B$11),'3. Assumptions'!$B$10))^INT((A30-1)/4)/4*(1-'3. Assumptions'!$B$13)</f>
        <v>3342714.81296168</v>
      </c>
      <c r="D30" s="15" t="n">
        <f aca="false">(1-'3. Assumptions'!$B$15)*SUMPRODUCT((('2. The tape'!$C$5:$C$13*'2. The tape'!$D$5:$D$13*(1-'2. The tape'!$J$5:$J$13)^(A30/4)*(1+'3. Assumptions'!$B$12)^(A30/4)*((1-'3. Assumptions'!$B$13)/('3. Assumptions'!$B$5)-'2. The tape'!$H$5:$H$13/12-'3. Assumptions'!$B$16)-'2. The tape'!$C$5:$C$13*'2. The tape'!$I$5:$I$13*(1+'3. Assumptions'!$B$12)^(A30/4))&gt;0)*('2. The tape'!$C$5:$C$13*'2. The tape'!$D$5:$D$13*(1-'2. The tape'!$J$5:$J$13)^(A30/4)*(1+'3. Assumptions'!$B$12)^(A30/4)*((1-'3. Assumptions'!$B$13)/('3. Assumptions'!$B$5)-'2. The tape'!$H$5:$H$13/12-'3. Assumptions'!$B$16)-'2. The tape'!$C$5:$C$13*'2. The tape'!$I$5:$I$13*(1+'3. Assumptions'!$B$12)^(A30/4)))</f>
        <v>79700925.1817852</v>
      </c>
      <c r="E30" s="37" t="n">
        <f aca="false">1/(1+(1+'3. Assumptions'!$B$28)^0.25-1)^A30</f>
        <v>0.797188444382212</v>
      </c>
      <c r="F30" s="37" t="n">
        <f aca="false">1/(1+(1+'3. Assumptions'!$B$29)^0.25-1)^A30</f>
        <v>0.647961518465222</v>
      </c>
      <c r="G30" s="15" t="n">
        <f aca="false">B30*(1-$D$4)*C30*E30+B30*$D$4*D30*F30</f>
        <v>2369928.37564713</v>
      </c>
    </row>
    <row r="31" customFormat="false" ht="15" hidden="false" customHeight="false" outlineLevel="0" collapsed="false">
      <c r="A31" s="0" t="n">
        <v>25</v>
      </c>
      <c r="B31" s="37" t="n">
        <f aca="false">IF(A31=1,1,B30*(1-$D$4))</f>
        <v>0.671724302870361</v>
      </c>
      <c r="C31" s="15" t="n">
        <f aca="false">'2. The tape'!$C$17*(1+MIN(MAX('3. Assumptions'!$B$12,'3. Assumptions'!$B$11),'3. Assumptions'!$B$10))^INT((A31-1)/4)/4*(1-'3. Assumptions'!$B$13)</f>
        <v>3416254.53884684</v>
      </c>
      <c r="D31" s="15" t="n">
        <f aca="false">(1-'3. Assumptions'!$B$15)*SUMPRODUCT((('2. The tape'!$C$5:$C$13*'2. The tape'!$D$5:$D$13*(1-'2. The tape'!$J$5:$J$13)^(A31/4)*(1+'3. Assumptions'!$B$12)^(A31/4)*((1-'3. Assumptions'!$B$13)/('3. Assumptions'!$B$5)-'2. The tape'!$H$5:$H$13/12-'3. Assumptions'!$B$16)-'2. The tape'!$C$5:$C$13*'2. The tape'!$I$5:$I$13*(1+'3. Assumptions'!$B$12)^(A31/4))&gt;0)*('2. The tape'!$C$5:$C$13*'2. The tape'!$D$5:$D$13*(1-'2. The tape'!$J$5:$J$13)^(A31/4)*(1+'3. Assumptions'!$B$12)^(A31/4)*((1-'3. Assumptions'!$B$13)/('3. Assumptions'!$B$5)-'2. The tape'!$H$5:$H$13/12-'3. Assumptions'!$B$16)-'2. The tape'!$C$5:$C$13*'2. The tape'!$I$5:$I$13*(1+'3. Assumptions'!$B$12)^(A31/4)))</f>
        <v>79606516.1679756</v>
      </c>
      <c r="E31" s="37" t="n">
        <f aca="false">1/(1+(1+'3. Assumptions'!$B$28)^0.25-1)^A31</f>
        <v>0.789694965987246</v>
      </c>
      <c r="F31" s="37" t="n">
        <f aca="false">1/(1+(1+'3. Assumptions'!$B$29)^0.25-1)^A31</f>
        <v>0.636351538487065</v>
      </c>
      <c r="G31" s="15" t="n">
        <f aca="false">B31*(1-$D$4)*C31*E31+B31*$D$4*D31*F31</f>
        <v>2341895.53778173</v>
      </c>
    </row>
    <row r="32" customFormat="false" ht="15" hidden="false" customHeight="false" outlineLevel="0" collapsed="false">
      <c r="A32" s="0" t="n">
        <v>26</v>
      </c>
      <c r="B32" s="37" t="n">
        <f aca="false">IF(A32=1,1,B31*(1-$D$4))</f>
        <v>0.660679283059487</v>
      </c>
      <c r="C32" s="15" t="n">
        <f aca="false">'2. The tape'!$C$17*(1+MIN(MAX('3. Assumptions'!$B$12,'3. Assumptions'!$B$11),'3. Assumptions'!$B$10))^INT((A32-1)/4)/4*(1-'3. Assumptions'!$B$13)</f>
        <v>3416254.53884684</v>
      </c>
      <c r="D32" s="15" t="n">
        <f aca="false">(1-'3. Assumptions'!$B$15)*SUMPRODUCT((('2. The tape'!$C$5:$C$13*'2. The tape'!$D$5:$D$13*(1-'2. The tape'!$J$5:$J$13)^(A32/4)*(1+'3. Assumptions'!$B$12)^(A32/4)*((1-'3. Assumptions'!$B$13)/('3. Assumptions'!$B$5)-'2. The tape'!$H$5:$H$13/12-'3. Assumptions'!$B$16)-'2. The tape'!$C$5:$C$13*'2. The tape'!$I$5:$I$13*(1+'3. Assumptions'!$B$12)^(A32/4))&gt;0)*('2. The tape'!$C$5:$C$13*'2. The tape'!$D$5:$D$13*(1-'2. The tape'!$J$5:$J$13)^(A32/4)*(1+'3. Assumptions'!$B$12)^(A32/4)*((1-'3. Assumptions'!$B$13)/('3. Assumptions'!$B$5)-'2. The tape'!$H$5:$H$13/12-'3. Assumptions'!$B$16)-'2. The tape'!$C$5:$C$13*'2. The tape'!$I$5:$I$13*(1+'3. Assumptions'!$B$12)^(A32/4)))</f>
        <v>79511875.7887893</v>
      </c>
      <c r="E32" s="37" t="n">
        <f aca="false">1/(1+(1+'3. Assumptions'!$B$28)^0.25-1)^A32</f>
        <v>0.782271925415171</v>
      </c>
      <c r="F32" s="37" t="n">
        <f aca="false">1/(1+(1+'3. Assumptions'!$B$29)^0.25-1)^A32</f>
        <v>0.624949582644989</v>
      </c>
      <c r="G32" s="15" t="n">
        <f aca="false">B32*(1-$D$4)*C32*E32+B32*$D$4*D32*F32</f>
        <v>2276406.65794271</v>
      </c>
    </row>
    <row r="33" customFormat="false" ht="15" hidden="false" customHeight="false" outlineLevel="0" collapsed="false">
      <c r="A33" s="0" t="n">
        <v>27</v>
      </c>
      <c r="B33" s="37" t="n">
        <f aca="false">IF(A33=1,1,B32*(1-$D$4))</f>
        <v>0.649815874159668</v>
      </c>
      <c r="C33" s="15" t="n">
        <f aca="false">'2. The tape'!$C$17*(1+MIN(MAX('3. Assumptions'!$B$12,'3. Assumptions'!$B$11),'3. Assumptions'!$B$10))^INT((A33-1)/4)/4*(1-'3. Assumptions'!$B$13)</f>
        <v>3416254.53884684</v>
      </c>
      <c r="D33" s="15" t="n">
        <f aca="false">(1-'3. Assumptions'!$B$15)*SUMPRODUCT((('2. The tape'!$C$5:$C$13*'2. The tape'!$D$5:$D$13*(1-'2. The tape'!$J$5:$J$13)^(A33/4)*(1+'3. Assumptions'!$B$12)^(A33/4)*((1-'3. Assumptions'!$B$13)/('3. Assumptions'!$B$5)-'2. The tape'!$H$5:$H$13/12-'3. Assumptions'!$B$16)-'2. The tape'!$C$5:$C$13*'2. The tape'!$I$5:$I$13*(1+'3. Assumptions'!$B$12)^(A33/4))&gt;0)*('2. The tape'!$C$5:$C$13*'2. The tape'!$D$5:$D$13*(1-'2. The tape'!$J$5:$J$13)^(A33/4)*(1+'3. Assumptions'!$B$12)^(A33/4)*((1-'3. Assumptions'!$B$13)/('3. Assumptions'!$B$5)-'2. The tape'!$H$5:$H$13/12-'3. Assumptions'!$B$16)-'2. The tape'!$C$5:$C$13*'2. The tape'!$I$5:$I$13*(1+'3. Assumptions'!$B$12)^(A33/4)))</f>
        <v>79417001.1753428</v>
      </c>
      <c r="E33" s="37" t="n">
        <f aca="false">1/(1+(1+'3. Assumptions'!$B$28)^0.25-1)^A33</f>
        <v>0.774918660558667</v>
      </c>
      <c r="F33" s="37" t="n">
        <f aca="false">1/(1+(1+'3. Assumptions'!$B$29)^0.25-1)^A33</f>
        <v>0.613751923624971</v>
      </c>
      <c r="G33" s="15" t="n">
        <f aca="false">B33*(1-$D$4)*C33*E33+B33*$D$4*D33*F33</f>
        <v>2212785.48189144</v>
      </c>
    </row>
    <row r="34" customFormat="false" ht="15" hidden="false" customHeight="false" outlineLevel="0" collapsed="false">
      <c r="A34" s="0" t="n">
        <v>28</v>
      </c>
      <c r="B34" s="37" t="n">
        <f aca="false">IF(A34=1,1,B33*(1-$D$4))</f>
        <v>0.639131089981331</v>
      </c>
      <c r="C34" s="15" t="n">
        <f aca="false">'2. The tape'!$C$17*(1+MIN(MAX('3. Assumptions'!$B$12,'3. Assumptions'!$B$11),'3. Assumptions'!$B$10))^INT((A34-1)/4)/4*(1-'3. Assumptions'!$B$13)</f>
        <v>3416254.53884684</v>
      </c>
      <c r="D34" s="15" t="n">
        <f aca="false">(1-'3. Assumptions'!$B$15)*SUMPRODUCT((('2. The tape'!$C$5:$C$13*'2. The tape'!$D$5:$D$13*(1-'2. The tape'!$J$5:$J$13)^(A34/4)*(1+'3. Assumptions'!$B$12)^(A34/4)*((1-'3. Assumptions'!$B$13)/('3. Assumptions'!$B$5)-'2. The tape'!$H$5:$H$13/12-'3. Assumptions'!$B$16)-'2. The tape'!$C$5:$C$13*'2. The tape'!$I$5:$I$13*(1+'3. Assumptions'!$B$12)^(A34/4))&gt;0)*('2. The tape'!$C$5:$C$13*'2. The tape'!$D$5:$D$13*(1-'2. The tape'!$J$5:$J$13)^(A34/4)*(1+'3. Assumptions'!$B$12)^(A34/4)*((1-'3. Assumptions'!$B$13)/('3. Assumptions'!$B$5)-'2. The tape'!$H$5:$H$13/12-'3. Assumptions'!$B$16)-'2. The tape'!$C$5:$C$13*'2. The tape'!$I$5:$I$13*(1+'3. Assumptions'!$B$12)^(A34/4)))</f>
        <v>79321889.4447364</v>
      </c>
      <c r="E34" s="37" t="n">
        <f aca="false">1/(1+(1+'3. Assumptions'!$B$28)^0.25-1)^A34</f>
        <v>0.767634515534147</v>
      </c>
      <c r="F34" s="37" t="n">
        <f aca="false">1/(1+(1+'3. Assumptions'!$B$29)^0.25-1)^A34</f>
        <v>0.602754900897881</v>
      </c>
      <c r="G34" s="15" t="n">
        <f aca="false">B34*(1-$D$4)*C34*E34+B34*$D$4*D34*F34</f>
        <v>2150977.57897586</v>
      </c>
    </row>
    <row r="35" customFormat="false" ht="15" hidden="false" customHeight="false" outlineLevel="0" collapsed="false">
      <c r="A35" s="0" t="n">
        <v>29</v>
      </c>
      <c r="B35" s="37" t="n">
        <f aca="false">IF(A35=1,1,B34*(1-$D$4))</f>
        <v>0.628621993436179</v>
      </c>
      <c r="C35" s="15" t="n">
        <f aca="false">'2. The tape'!$C$17*(1+MIN(MAX('3. Assumptions'!$B$12,'3. Assumptions'!$B$11),'3. Assumptions'!$B$10))^INT((A35-1)/4)/4*(1-'3. Assumptions'!$B$13)</f>
        <v>3491412.13870147</v>
      </c>
      <c r="D35" s="15" t="n">
        <f aca="false">(1-'3. Assumptions'!$B$15)*SUMPRODUCT((('2. The tape'!$C$5:$C$13*'2. The tape'!$D$5:$D$13*(1-'2. The tape'!$J$5:$J$13)^(A35/4)*(1+'3. Assumptions'!$B$12)^(A35/4)*((1-'3. Assumptions'!$B$13)/('3. Assumptions'!$B$5)-'2. The tape'!$H$5:$H$13/12-'3. Assumptions'!$B$16)-'2. The tape'!$C$5:$C$13*'2. The tape'!$I$5:$I$13*(1+'3. Assumptions'!$B$12)^(A35/4))&gt;0)*('2. The tape'!$C$5:$C$13*'2. The tape'!$D$5:$D$13*(1-'2. The tape'!$J$5:$J$13)^(A35/4)*(1+'3. Assumptions'!$B$12)^(A35/4)*((1-'3. Assumptions'!$B$13)/('3. Assumptions'!$B$5)-'2. The tape'!$H$5:$H$13/12-'3. Assumptions'!$B$16)-'2. The tape'!$C$5:$C$13*'2. The tape'!$I$5:$I$13*(1+'3. Assumptions'!$B$12)^(A35/4)))</f>
        <v>79226537.6999714</v>
      </c>
      <c r="E35" s="37" t="n">
        <f aca="false">1/(1+(1+'3. Assumptions'!$B$28)^0.25-1)^A35</f>
        <v>0.76041884062325</v>
      </c>
      <c r="F35" s="37" t="n">
        <f aca="false">1/(1+(1+'3. Assumptions'!$B$29)^0.25-1)^A35</f>
        <v>0.59195491952285</v>
      </c>
      <c r="G35" s="15" t="n">
        <f aca="false">B35*(1-$D$4)*C35*E35+B35*$D$4*D35*F35</f>
        <v>2126265.94491128</v>
      </c>
    </row>
    <row r="36" customFormat="false" ht="15" hidden="false" customHeight="false" outlineLevel="0" collapsed="false">
      <c r="A36" s="0" t="n">
        <v>30</v>
      </c>
      <c r="B36" s="37" t="n">
        <f aca="false">IF(A36=1,1,B35*(1-$D$4))</f>
        <v>0.618285695729836</v>
      </c>
      <c r="C36" s="15" t="n">
        <f aca="false">'2. The tape'!$C$17*(1+MIN(MAX('3. Assumptions'!$B$12,'3. Assumptions'!$B$11),'3. Assumptions'!$B$10))^INT((A36-1)/4)/4*(1-'3. Assumptions'!$B$13)</f>
        <v>3491412.13870147</v>
      </c>
      <c r="D36" s="15" t="n">
        <f aca="false">(1-'3. Assumptions'!$B$15)*SUMPRODUCT((('2. The tape'!$C$5:$C$13*'2. The tape'!$D$5:$D$13*(1-'2. The tape'!$J$5:$J$13)^(A36/4)*(1+'3. Assumptions'!$B$12)^(A36/4)*((1-'3. Assumptions'!$B$13)/('3. Assumptions'!$B$5)-'2. The tape'!$H$5:$H$13/12-'3. Assumptions'!$B$16)-'2. The tape'!$C$5:$C$13*'2. The tape'!$I$5:$I$13*(1+'3. Assumptions'!$B$12)^(A36/4))&gt;0)*('2. The tape'!$C$5:$C$13*'2. The tape'!$D$5:$D$13*(1-'2. The tape'!$J$5:$J$13)^(A36/4)*(1+'3. Assumptions'!$B$12)^(A36/4)*((1-'3. Assumptions'!$B$13)/('3. Assumptions'!$B$5)-'2. The tape'!$H$5:$H$13/12-'3. Assumptions'!$B$16)-'2. The tape'!$C$5:$C$13*'2. The tape'!$I$5:$I$13*(1+'3. Assumptions'!$B$12)^(A36/4)))</f>
        <v>79130943.0298666</v>
      </c>
      <c r="E36" s="37" t="n">
        <f aca="false">1/(1+(1+'3. Assumptions'!$B$28)^0.25-1)^A36</f>
        <v>0.753270992214897</v>
      </c>
      <c r="F36" s="37" t="n">
        <f aca="false">1/(1+(1+'3. Assumptions'!$B$29)^0.25-1)^A36</f>
        <v>0.581348448972082</v>
      </c>
      <c r="G36" s="15" t="n">
        <f aca="false">B36*(1-$D$4)*C36*E36+B36*$D$4*D36*F36</f>
        <v>2067020.02853672</v>
      </c>
    </row>
    <row r="37" customFormat="false" ht="15" hidden="false" customHeight="false" outlineLevel="0" collapsed="false">
      <c r="A37" s="0" t="n">
        <v>31</v>
      </c>
      <c r="B37" s="37" t="n">
        <f aca="false">IF(A37=1,1,B36*(1-$D$4))</f>
        <v>0.608119355567756</v>
      </c>
      <c r="C37" s="15" t="n">
        <f aca="false">'2. The tape'!$C$17*(1+MIN(MAX('3. Assumptions'!$B$12,'3. Assumptions'!$B$11),'3. Assumptions'!$B$10))^INT((A37-1)/4)/4*(1-'3. Assumptions'!$B$13)</f>
        <v>3491412.13870147</v>
      </c>
      <c r="D37" s="15" t="n">
        <f aca="false">(1-'3. Assumptions'!$B$15)*SUMPRODUCT((('2. The tape'!$C$5:$C$13*'2. The tape'!$D$5:$D$13*(1-'2. The tape'!$J$5:$J$13)^(A37/4)*(1+'3. Assumptions'!$B$12)^(A37/4)*((1-'3. Assumptions'!$B$13)/('3. Assumptions'!$B$5)-'2. The tape'!$H$5:$H$13/12-'3. Assumptions'!$B$16)-'2. The tape'!$C$5:$C$13*'2. The tape'!$I$5:$I$13*(1+'3. Assumptions'!$B$12)^(A37/4))&gt;0)*('2. The tape'!$C$5:$C$13*'2. The tape'!$D$5:$D$13*(1-'2. The tape'!$J$5:$J$13)^(A37/4)*(1+'3. Assumptions'!$B$12)^(A37/4)*((1-'3. Assumptions'!$B$13)/('3. Assumptions'!$B$5)-'2. The tape'!$H$5:$H$13/12-'3. Assumptions'!$B$16)-'2. The tape'!$C$5:$C$13*'2. The tape'!$I$5:$I$13*(1+'3. Assumptions'!$B$12)^(A37/4)))</f>
        <v>79035102.5089755</v>
      </c>
      <c r="E37" s="37" t="n">
        <f aca="false">1/(1+(1+'3. Assumptions'!$B$28)^0.25-1)^A37</f>
        <v>0.746190332747873</v>
      </c>
      <c r="F37" s="37" t="n">
        <f aca="false">1/(1+(1+'3. Assumptions'!$B$29)^0.25-1)^A37</f>
        <v>0.570932021976717</v>
      </c>
      <c r="G37" s="15" t="n">
        <f aca="false">B37*(1-$D$4)*C37*E37+B37*$D$4*D37*F37</f>
        <v>2009456.95179946</v>
      </c>
    </row>
    <row r="38" customFormat="false" ht="15" hidden="false" customHeight="false" outlineLevel="0" collapsed="false">
      <c r="A38" s="0" t="n">
        <v>32</v>
      </c>
      <c r="B38" s="37" t="n">
        <f aca="false">IF(A38=1,1,B37*(1-$D$4))</f>
        <v>0.598120178374196</v>
      </c>
      <c r="C38" s="15" t="n">
        <f aca="false">'2. The tape'!$C$17*(1+MIN(MAX('3. Assumptions'!$B$12,'3. Assumptions'!$B$11),'3. Assumptions'!$B$10))^INT((A38-1)/4)/4*(1-'3. Assumptions'!$B$13)</f>
        <v>3491412.13870147</v>
      </c>
      <c r="D38" s="15" t="n">
        <f aca="false">(1-'3. Assumptions'!$B$15)*SUMPRODUCT((('2. The tape'!$C$5:$C$13*'2. The tape'!$D$5:$D$13*(1-'2. The tape'!$J$5:$J$13)^(A38/4)*(1+'3. Assumptions'!$B$12)^(A38/4)*((1-'3. Assumptions'!$B$13)/('3. Assumptions'!$B$5)-'2. The tape'!$H$5:$H$13/12-'3. Assumptions'!$B$16)-'2. The tape'!$C$5:$C$13*'2. The tape'!$I$5:$I$13*(1+'3. Assumptions'!$B$12)^(A38/4))&gt;0)*('2. The tape'!$C$5:$C$13*'2. The tape'!$D$5:$D$13*(1-'2. The tape'!$J$5:$J$13)^(A38/4)*(1+'3. Assumptions'!$B$12)^(A38/4)*((1-'3. Assumptions'!$B$13)/('3. Assumptions'!$B$5)-'2. The tape'!$H$5:$H$13/12-'3. Assumptions'!$B$16)-'2. The tape'!$C$5:$C$13*'2. The tape'!$I$5:$I$13*(1+'3. Assumptions'!$B$12)^(A38/4)))</f>
        <v>78939013.1975014</v>
      </c>
      <c r="E38" s="37" t="n">
        <f aca="false">1/(1+(1+'3. Assumptions'!$B$28)^0.25-1)^A38</f>
        <v>0.739176230653968</v>
      </c>
      <c r="F38" s="37" t="n">
        <f aca="false">1/(1+(1+'3. Assumptions'!$B$29)^0.25-1)^A38</f>
        <v>0.560702233393377</v>
      </c>
      <c r="G38" s="15" t="n">
        <f aca="false">B38*(1-$D$4)*C38*E38+B38*$D$4*D38*F38</f>
        <v>1953527.88582917</v>
      </c>
    </row>
    <row r="39" customFormat="false" ht="15" hidden="false" customHeight="false" outlineLevel="0" collapsed="false">
      <c r="A39" s="0" t="n">
        <v>33</v>
      </c>
      <c r="B39" s="37" t="n">
        <f aca="false">IF(A39=1,1,B38*(1-$D$4))</f>
        <v>0.588285415524025</v>
      </c>
      <c r="C39" s="15" t="n">
        <f aca="false">'2. The tape'!$C$17*(1+MIN(MAX('3. Assumptions'!$B$12,'3. Assumptions'!$B$11),'3. Assumptions'!$B$10))^INT((A39-1)/4)/4*(1-'3. Assumptions'!$B$13)</f>
        <v>3568223.2057529</v>
      </c>
      <c r="D39" s="15" t="n">
        <f aca="false">(1-'3. Assumptions'!$B$15)*SUMPRODUCT((('2. The tape'!$C$5:$C$13*'2. The tape'!$D$5:$D$13*(1-'2. The tape'!$J$5:$J$13)^(A39/4)*(1+'3. Assumptions'!$B$12)^(A39/4)*((1-'3. Assumptions'!$B$13)/('3. Assumptions'!$B$5)-'2. The tape'!$H$5:$H$13/12-'3. Assumptions'!$B$16)-'2. The tape'!$C$5:$C$13*'2. The tape'!$I$5:$I$13*(1+'3. Assumptions'!$B$12)^(A39/4))&gt;0)*('2. The tape'!$C$5:$C$13*'2. The tape'!$D$5:$D$13*(1-'2. The tape'!$J$5:$J$13)^(A39/4)*(1+'3. Assumptions'!$B$12)^(A39/4)*((1-'3. Assumptions'!$B$13)/('3. Assumptions'!$B$5)-'2. The tape'!$H$5:$H$13/12-'3. Assumptions'!$B$16)-'2. The tape'!$C$5:$C$13*'2. The tape'!$I$5:$I$13*(1+'3. Assumptions'!$B$12)^(A39/4)))</f>
        <v>78842672.1412133</v>
      </c>
      <c r="E39" s="37" t="n">
        <f aca="false">1/(1+(1+'3. Assumptions'!$B$28)^0.25-1)^A39</f>
        <v>0.732228060301637</v>
      </c>
      <c r="F39" s="37" t="n">
        <f aca="false">1/(1+(1+'3. Assumptions'!$B$29)^0.25-1)^A39</f>
        <v>0.550655739091023</v>
      </c>
      <c r="G39" s="15" t="n">
        <f aca="false">B39*(1-$D$4)*C39*E39+B39*$D$4*D39*F39</f>
        <v>1931728.47274002</v>
      </c>
    </row>
    <row r="40" customFormat="false" ht="15" hidden="false" customHeight="false" outlineLevel="0" collapsed="false">
      <c r="A40" s="0" t="n">
        <v>34</v>
      </c>
      <c r="B40" s="37" t="n">
        <f aca="false">IF(A40=1,1,B39*(1-$D$4))</f>
        <v>0.578612363587172</v>
      </c>
      <c r="C40" s="15" t="n">
        <f aca="false">'2. The tape'!$C$17*(1+MIN(MAX('3. Assumptions'!$B$12,'3. Assumptions'!$B$11),'3. Assumptions'!$B$10))^INT((A40-1)/4)/4*(1-'3. Assumptions'!$B$13)</f>
        <v>3568223.2057529</v>
      </c>
      <c r="D40" s="15" t="n">
        <f aca="false">(1-'3. Assumptions'!$B$15)*SUMPRODUCT((('2. The tape'!$C$5:$C$13*'2. The tape'!$D$5:$D$13*(1-'2. The tape'!$J$5:$J$13)^(A40/4)*(1+'3. Assumptions'!$B$12)^(A40/4)*((1-'3. Assumptions'!$B$13)/('3. Assumptions'!$B$5)-'2. The tape'!$H$5:$H$13/12-'3. Assumptions'!$B$16)-'2. The tape'!$C$5:$C$13*'2. The tape'!$I$5:$I$13*(1+'3. Assumptions'!$B$12)^(A40/4))&gt;0)*('2. The tape'!$C$5:$C$13*'2. The tape'!$D$5:$D$13*(1-'2. The tape'!$J$5:$J$13)^(A40/4)*(1+'3. Assumptions'!$B$12)^(A40/4)*((1-'3. Assumptions'!$B$13)/('3. Assumptions'!$B$5)-'2. The tape'!$H$5:$H$13/12-'3. Assumptions'!$B$16)-'2. The tape'!$C$5:$C$13*'2. The tape'!$I$5:$I$13*(1+'3. Assumptions'!$B$12)^(A40/4)))</f>
        <v>78746076.3713608</v>
      </c>
      <c r="E40" s="37" t="n">
        <f aca="false">1/(1+(1+'3. Assumptions'!$B$28)^0.25-1)^A40</f>
        <v>0.725345201940199</v>
      </c>
      <c r="F40" s="37" t="n">
        <f aca="false">1/(1+(1+'3. Assumptions'!$B$29)^0.25-1)^A40</f>
        <v>0.540789254857751</v>
      </c>
      <c r="G40" s="15" t="n">
        <f aca="false">B40*(1-$D$4)*C40*E40+B40*$D$4*D40*F40</f>
        <v>1878090.7261888</v>
      </c>
    </row>
    <row r="41" customFormat="false" ht="15" hidden="false" customHeight="false" outlineLevel="0" collapsed="false">
      <c r="A41" s="0" t="n">
        <v>35</v>
      </c>
      <c r="B41" s="37" t="n">
        <f aca="false">IF(A41=1,1,B40*(1-$D$4))</f>
        <v>0.569098363585492</v>
      </c>
      <c r="C41" s="15" t="n">
        <f aca="false">'2. The tape'!$C$17*(1+MIN(MAX('3. Assumptions'!$B$12,'3. Assumptions'!$B$11),'3. Assumptions'!$B$10))^INT((A41-1)/4)/4*(1-'3. Assumptions'!$B$13)</f>
        <v>3568223.2057529</v>
      </c>
      <c r="D41" s="15" t="n">
        <f aca="false">(1-'3. Assumptions'!$B$15)*SUMPRODUCT((('2. The tape'!$C$5:$C$13*'2. The tape'!$D$5:$D$13*(1-'2. The tape'!$J$5:$J$13)^(A41/4)*(1+'3. Assumptions'!$B$12)^(A41/4)*((1-'3. Assumptions'!$B$13)/('3. Assumptions'!$B$5)-'2. The tape'!$H$5:$H$13/12-'3. Assumptions'!$B$16)-'2. The tape'!$C$5:$C$13*'2. The tape'!$I$5:$I$13*(1+'3. Assumptions'!$B$12)^(A41/4))&gt;0)*('2. The tape'!$C$5:$C$13*'2. The tape'!$D$5:$D$13*(1-'2. The tape'!$J$5:$J$13)^(A41/4)*(1+'3. Assumptions'!$B$12)^(A41/4)*((1-'3. Assumptions'!$B$13)/('3. Assumptions'!$B$5)-'2. The tape'!$H$5:$H$13/12-'3. Assumptions'!$B$16)-'2. The tape'!$C$5:$C$13*'2. The tape'!$I$5:$I$13*(1+'3. Assumptions'!$B$12)^(A41/4)))</f>
        <v>78649222.904589</v>
      </c>
      <c r="E41" s="37" t="n">
        <f aca="false">1/(1+(1+'3. Assumptions'!$B$28)^0.25-1)^A41</f>
        <v>0.718527041644557</v>
      </c>
      <c r="F41" s="37" t="n">
        <f aca="false">1/(1+(1+'3. Assumptions'!$B$29)^0.25-1)^A41</f>
        <v>0.531099555327178</v>
      </c>
      <c r="G41" s="15" t="n">
        <f aca="false">B41*(1-$D$4)*C41*E41+B41*$D$4*D41*F41</f>
        <v>1825970.49939592</v>
      </c>
    </row>
    <row r="42" customFormat="false" ht="15" hidden="false" customHeight="false" outlineLevel="0" collapsed="false">
      <c r="A42" s="0" t="n">
        <v>36</v>
      </c>
      <c r="B42" s="37" t="n">
        <f aca="false">IF(A42=1,1,B41*(1-$D$4))</f>
        <v>0.559740800261851</v>
      </c>
      <c r="C42" s="15" t="n">
        <f aca="false">'2. The tape'!$C$17*(1+MIN(MAX('3. Assumptions'!$B$12,'3. Assumptions'!$B$11),'3. Assumptions'!$B$10))^INT((A42-1)/4)/4*(1-'3. Assumptions'!$B$13)</f>
        <v>3568223.2057529</v>
      </c>
      <c r="D42" s="15" t="n">
        <f aca="false">(1-'3. Assumptions'!$B$15)*SUMPRODUCT((('2. The tape'!$C$5:$C$13*'2. The tape'!$D$5:$D$13*(1-'2. The tape'!$J$5:$J$13)^(A42/4)*(1+'3. Assumptions'!$B$12)^(A42/4)*((1-'3. Assumptions'!$B$13)/('3. Assumptions'!$B$5)-'2. The tape'!$H$5:$H$13/12-'3. Assumptions'!$B$16)-'2. The tape'!$C$5:$C$13*'2. The tape'!$I$5:$I$13*(1+'3. Assumptions'!$B$12)^(A42/4))&gt;0)*('2. The tape'!$C$5:$C$13*'2. The tape'!$D$5:$D$13*(1-'2. The tape'!$J$5:$J$13)^(A42/4)*(1+'3. Assumptions'!$B$12)^(A42/4)*((1-'3. Assumptions'!$B$13)/('3. Assumptions'!$B$5)-'2. The tape'!$H$5:$H$13/12-'3. Assumptions'!$B$16)-'2. The tape'!$C$5:$C$13*'2. The tape'!$I$5:$I$13*(1+'3. Assumptions'!$B$12)^(A42/4)))</f>
        <v>78552108.7428519</v>
      </c>
      <c r="E42" s="37" t="n">
        <f aca="false">1/(1+(1+'3. Assumptions'!$B$28)^0.25-1)^A42</f>
        <v>0.711772971260441</v>
      </c>
      <c r="F42" s="37" t="n">
        <f aca="false">1/(1+(1+'3. Assumptions'!$B$29)^0.25-1)^A42</f>
        <v>0.521583472924072</v>
      </c>
      <c r="G42" s="15" t="n">
        <f aca="false">B42*(1-$D$4)*C42*E42+B42*$D$4*D42*F42</f>
        <v>1775323.95038084</v>
      </c>
    </row>
    <row r="43" customFormat="false" ht="15" hidden="false" customHeight="false" outlineLevel="0" collapsed="false">
      <c r="A43" s="0" t="n">
        <v>37</v>
      </c>
      <c r="B43" s="37" t="n">
        <f aca="false">IF(A43=1,1,B42*(1-$D$4))</f>
        <v>0.550537101361233</v>
      </c>
      <c r="C43" s="15" t="n">
        <f aca="false">'2. The tape'!$C$17*(1+MIN(MAX('3. Assumptions'!$B$12,'3. Assumptions'!$B$11),'3. Assumptions'!$B$10))^INT((A43-1)/4)/4*(1-'3. Assumptions'!$B$13)</f>
        <v>3646724.11627946</v>
      </c>
      <c r="D43" s="15" t="n">
        <f aca="false">(1-'3. Assumptions'!$B$15)*SUMPRODUCT((('2. The tape'!$C$5:$C$13*'2. The tape'!$D$5:$D$13*(1-'2. The tape'!$J$5:$J$13)^(A43/4)*(1+'3. Assumptions'!$B$12)^(A43/4)*((1-'3. Assumptions'!$B$13)/('3. Assumptions'!$B$5)-'2. The tape'!$H$5:$H$13/12-'3. Assumptions'!$B$16)-'2. The tape'!$C$5:$C$13*'2. The tape'!$I$5:$I$13*(1+'3. Assumptions'!$B$12)^(A43/4))&gt;0)*('2. The tape'!$C$5:$C$13*'2. The tape'!$D$5:$D$13*(1-'2. The tape'!$J$5:$J$13)^(A43/4)*(1+'3. Assumptions'!$B$12)^(A43/4)*((1-'3. Assumptions'!$B$13)/('3. Assumptions'!$B$5)-'2. The tape'!$H$5:$H$13/12-'3. Assumptions'!$B$16)-'2. The tape'!$C$5:$C$13*'2. The tape'!$I$5:$I$13*(1+'3. Assumptions'!$B$12)^(A43/4)))</f>
        <v>78454730.873327</v>
      </c>
      <c r="E43" s="37" t="n">
        <f aca="false">1/(1+(1+'3. Assumptions'!$B$28)^0.25-1)^A43</f>
        <v>0.705082388350155</v>
      </c>
      <c r="F43" s="37" t="n">
        <f aca="false">1/(1+(1+'3. Assumptions'!$B$29)^0.25-1)^A43</f>
        <v>0.512237896828859</v>
      </c>
      <c r="G43" s="15" t="n">
        <f aca="false">B43*(1-$D$4)*C43*E43+B43*$D$4*D43*F43</f>
        <v>1756079.50130906</v>
      </c>
    </row>
    <row r="44" customFormat="false" ht="15" hidden="false" customHeight="false" outlineLevel="0" collapsed="false">
      <c r="A44" s="0" t="n">
        <v>38</v>
      </c>
      <c r="B44" s="37" t="n">
        <f aca="false">IF(A44=1,1,B43*(1-$D$4))</f>
        <v>0.541484736923662</v>
      </c>
      <c r="C44" s="15" t="n">
        <f aca="false">'2. The tape'!$C$17*(1+MIN(MAX('3. Assumptions'!$B$12,'3. Assumptions'!$B$11),'3. Assumptions'!$B$10))^INT((A44-1)/4)/4*(1-'3. Assumptions'!$B$13)</f>
        <v>3646724.11627946</v>
      </c>
      <c r="D44" s="15" t="n">
        <f aca="false">(1-'3. Assumptions'!$B$15)*SUMPRODUCT((('2. The tape'!$C$5:$C$13*'2. The tape'!$D$5:$D$13*(1-'2. The tape'!$J$5:$J$13)^(A44/4)*(1+'3. Assumptions'!$B$12)^(A44/4)*((1-'3. Assumptions'!$B$13)/('3. Assumptions'!$B$5)-'2. The tape'!$H$5:$H$13/12-'3. Assumptions'!$B$16)-'2. The tape'!$C$5:$C$13*'2. The tape'!$I$5:$I$13*(1+'3. Assumptions'!$B$12)^(A44/4))&gt;0)*('2. The tape'!$C$5:$C$13*'2. The tape'!$D$5:$D$13*(1-'2. The tape'!$J$5:$J$13)^(A44/4)*(1+'3. Assumptions'!$B$12)^(A44/4)*((1-'3. Assumptions'!$B$13)/('3. Assumptions'!$B$5)-'2. The tape'!$H$5:$H$13/12-'3. Assumptions'!$B$16)-'2. The tape'!$C$5:$C$13*'2. The tape'!$I$5:$I$13*(1+'3. Assumptions'!$B$12)^(A44/4)))</f>
        <v>78357086.2683278</v>
      </c>
      <c r="E44" s="37" t="n">
        <f aca="false">1/(1+(1+'3. Assumptions'!$B$28)^0.25-1)^A44</f>
        <v>0.698454696138852</v>
      </c>
      <c r="F44" s="37" t="n">
        <f aca="false">1/(1+(1+'3. Assumptions'!$B$29)^0.25-1)^A44</f>
        <v>0.503059771960698</v>
      </c>
      <c r="G44" s="15" t="n">
        <f aca="false">B44*(1-$D$4)*C44*E44+B44*$D$4*D44*F44</f>
        <v>1707484.02685161</v>
      </c>
    </row>
    <row r="45" customFormat="false" ht="15" hidden="false" customHeight="false" outlineLevel="0" collapsed="false">
      <c r="A45" s="0" t="n">
        <v>39</v>
      </c>
      <c r="B45" s="37" t="n">
        <f aca="false">IF(A45=1,1,B44*(1-$D$4))</f>
        <v>0.532581218588756</v>
      </c>
      <c r="C45" s="15" t="n">
        <f aca="false">'2. The tape'!$C$17*(1+MIN(MAX('3. Assumptions'!$B$12,'3. Assumptions'!$B$11),'3. Assumptions'!$B$10))^INT((A45-1)/4)/4*(1-'3. Assumptions'!$B$13)</f>
        <v>3646724.11627946</v>
      </c>
      <c r="D45" s="15" t="n">
        <f aca="false">(1-'3. Assumptions'!$B$15)*SUMPRODUCT((('2. The tape'!$C$5:$C$13*'2. The tape'!$D$5:$D$13*(1-'2. The tape'!$J$5:$J$13)^(A45/4)*(1+'3. Assumptions'!$B$12)^(A45/4)*((1-'3. Assumptions'!$B$13)/('3. Assumptions'!$B$5)-'2. The tape'!$H$5:$H$13/12-'3. Assumptions'!$B$16)-'2. The tape'!$C$5:$C$13*'2. The tape'!$I$5:$I$13*(1+'3. Assumptions'!$B$12)^(A45/4))&gt;0)*('2. The tape'!$C$5:$C$13*'2. The tape'!$D$5:$D$13*(1-'2. The tape'!$J$5:$J$13)^(A45/4)*(1+'3. Assumptions'!$B$12)^(A45/4)*((1-'3. Assumptions'!$B$13)/('3. Assumptions'!$B$5)-'2. The tape'!$H$5:$H$13/12-'3. Assumptions'!$B$16)-'2. The tape'!$C$5:$C$13*'2. The tape'!$I$5:$I$13*(1+'3. Assumptions'!$B$12)^(A45/4)))</f>
        <v>78259171.8852166</v>
      </c>
      <c r="E45" s="37" t="n">
        <f aca="false">1/(1+(1+'3. Assumptions'!$B$28)^0.25-1)^A45</f>
        <v>0.691889303461297</v>
      </c>
      <c r="F45" s="37" t="n">
        <f aca="false">1/(1+(1+'3. Assumptions'!$B$29)^0.25-1)^A45</f>
        <v>0.49404609797877</v>
      </c>
      <c r="G45" s="15" t="n">
        <f aca="false">B45*(1-$D$4)*C45*E45+B45*$D$4*D45*F45</f>
        <v>1660258.09846722</v>
      </c>
    </row>
    <row r="46" customFormat="false" ht="15" hidden="false" customHeight="false" outlineLevel="0" collapsed="false">
      <c r="A46" s="0" t="n">
        <v>40</v>
      </c>
      <c r="B46" s="37" t="n">
        <f aca="false">IF(A46=1,1,B45*(1-$D$4))</f>
        <v>0.523824098911716</v>
      </c>
      <c r="C46" s="15" t="n">
        <f aca="false">'2. The tape'!$C$17*(1+MIN(MAX('3. Assumptions'!$B$12,'3. Assumptions'!$B$11),'3. Assumptions'!$B$10))^INT((A46-1)/4)/4*(1-'3. Assumptions'!$B$13)</f>
        <v>3646724.11627946</v>
      </c>
      <c r="D46" s="15" t="n">
        <f aca="false">(1-'3. Assumptions'!$B$15)*SUMPRODUCT((('2. The tape'!$C$5:$C$13*'2. The tape'!$D$5:$D$13*(1-'2. The tape'!$J$5:$J$13)^(A46/4)*(1+'3. Assumptions'!$B$12)^(A46/4)*((1-'3. Assumptions'!$B$13)/('3. Assumptions'!$B$5)-'2. The tape'!$H$5:$H$13/12-'3. Assumptions'!$B$16)-'2. The tape'!$C$5:$C$13*'2. The tape'!$I$5:$I$13*(1+'3. Assumptions'!$B$12)^(A46/4))&gt;0)*('2. The tape'!$C$5:$C$13*'2. The tape'!$D$5:$D$13*(1-'2. The tape'!$J$5:$J$13)^(A46/4)*(1+'3. Assumptions'!$B$12)^(A46/4)*((1-'3. Assumptions'!$B$13)/('3. Assumptions'!$B$5)-'2. The tape'!$H$5:$H$13/12-'3. Assumptions'!$B$16)-'2. The tape'!$C$5:$C$13*'2. The tape'!$I$5:$I$13*(1+'3. Assumptions'!$B$12)^(A46/4)))</f>
        <v>78160984.6663173</v>
      </c>
      <c r="E46" s="37" t="n">
        <f aca="false">1/(1+(1+'3. Assumptions'!$B$28)^0.25-1)^A46</f>
        <v>0.685385624709138</v>
      </c>
      <c r="F46" s="37" t="n">
        <f aca="false">1/(1+(1+'3. Assumptions'!$B$29)^0.25-1)^A46</f>
        <v>0.485193928301462</v>
      </c>
      <c r="G46" s="15" t="n">
        <f aca="false">B46*(1-$D$4)*C46*E46+B46*$D$4*D46*F46</f>
        <v>1614362.31757793</v>
      </c>
    </row>
    <row r="47" customFormat="false" ht="15" hidden="false" customHeight="false" outlineLevel="0" collapsed="false">
      <c r="A47" s="0" t="n">
        <v>41</v>
      </c>
      <c r="B47" s="37" t="n">
        <f aca="false">IF(A47=1,1,B46*(1-$D$4))</f>
        <v>0.515210970690554</v>
      </c>
      <c r="C47" s="15" t="n">
        <f aca="false">'2. The tape'!$C$17*(1+MIN(MAX('3. Assumptions'!$B$12,'3. Assumptions'!$B$11),'3. Assumptions'!$B$10))^INT((A47-1)/4)/4*(1-'3. Assumptions'!$B$13)</f>
        <v>3726952.04683761</v>
      </c>
      <c r="D47" s="15" t="n">
        <f aca="false">(1-'3. Assumptions'!$B$15)*SUMPRODUCT((('2. The tape'!$C$5:$C$13*'2. The tape'!$D$5:$D$13*(1-'2. The tape'!$J$5:$J$13)^(A47/4)*(1+'3. Assumptions'!$B$12)^(A47/4)*((1-'3. Assumptions'!$B$13)/('3. Assumptions'!$B$5)-'2. The tape'!$H$5:$H$13/12-'3. Assumptions'!$B$16)-'2. The tape'!$C$5:$C$13*'2. The tape'!$I$5:$I$13*(1+'3. Assumptions'!$B$12)^(A47/4))&gt;0)*('2. The tape'!$C$5:$C$13*'2. The tape'!$D$5:$D$13*(1-'2. The tape'!$J$5:$J$13)^(A47/4)*(1+'3. Assumptions'!$B$12)^(A47/4)*((1-'3. Assumptions'!$B$13)/('3. Assumptions'!$B$5)-'2. The tape'!$H$5:$H$13/12-'3. Assumptions'!$B$16)-'2. The tape'!$C$5:$C$13*'2. The tape'!$I$5:$I$13*(1+'3. Assumptions'!$B$12)^(A47/4)))</f>
        <v>78062521.5388264</v>
      </c>
      <c r="E47" s="37" t="n">
        <f aca="false">1/(1+(1+'3. Assumptions'!$B$28)^0.25-1)^A47</f>
        <v>0.678943079778676</v>
      </c>
      <c r="F47" s="37" t="n">
        <f aca="false">1/(1+(1+'3. Assumptions'!$B$29)^0.25-1)^A47</f>
        <v>0.476500369143124</v>
      </c>
      <c r="G47" s="15" t="n">
        <f aca="false">B47*(1-$D$4)*C47*E47+B47*$D$4*D47*F47</f>
        <v>1597360.64369694</v>
      </c>
    </row>
    <row r="48" customFormat="false" ht="15" hidden="false" customHeight="false" outlineLevel="0" collapsed="false">
      <c r="A48" s="0" t="n">
        <v>42</v>
      </c>
      <c r="B48" s="37" t="n">
        <f aca="false">IF(A48=1,1,B47*(1-$D$4))</f>
        <v>0.506739466304393</v>
      </c>
      <c r="C48" s="15" t="n">
        <f aca="false">'2. The tape'!$C$17*(1+MIN(MAX('3. Assumptions'!$B$12,'3. Assumptions'!$B$11),'3. Assumptions'!$B$10))^INT((A48-1)/4)/4*(1-'3. Assumptions'!$B$13)</f>
        <v>3726952.04683761</v>
      </c>
      <c r="D48" s="15" t="n">
        <f aca="false">(1-'3. Assumptions'!$B$15)*SUMPRODUCT((('2. The tape'!$C$5:$C$13*'2. The tape'!$D$5:$D$13*(1-'2. The tape'!$J$5:$J$13)^(A48/4)*(1+'3. Assumptions'!$B$12)^(A48/4)*((1-'3. Assumptions'!$B$13)/('3. Assumptions'!$B$5)-'2. The tape'!$H$5:$H$13/12-'3. Assumptions'!$B$16)-'2. The tape'!$C$5:$C$13*'2. The tape'!$I$5:$I$13*(1+'3. Assumptions'!$B$12)^(A48/4))&gt;0)*('2. The tape'!$C$5:$C$13*'2. The tape'!$D$5:$D$13*(1-'2. The tape'!$J$5:$J$13)^(A48/4)*(1+'3. Assumptions'!$B$12)^(A48/4)*((1-'3. Assumptions'!$B$13)/('3. Assumptions'!$B$5)-'2. The tape'!$H$5:$H$13/12-'3. Assumptions'!$B$16)-'2. The tape'!$C$5:$C$13*'2. The tape'!$I$5:$I$13*(1+'3. Assumptions'!$B$12)^(A48/4)))</f>
        <v>77963779.4147252</v>
      </c>
      <c r="E48" s="37" t="n">
        <f aca="false">1/(1+(1+'3. Assumptions'!$B$28)^0.25-1)^A48</f>
        <v>0.672561094019116</v>
      </c>
      <c r="F48" s="37" t="n">
        <f aca="false">1/(1+(1+'3. Assumptions'!$B$29)^0.25-1)^A48</f>
        <v>0.467962578568091</v>
      </c>
      <c r="G48" s="15" t="n">
        <f aca="false">B48*(1-$D$4)*C48*E48+B48*$D$4*D48*F48</f>
        <v>1553302.51442698</v>
      </c>
    </row>
    <row r="49" customFormat="false" ht="15" hidden="false" customHeight="false" outlineLevel="0" collapsed="false">
      <c r="A49" s="0" t="n">
        <v>43</v>
      </c>
      <c r="B49" s="37" t="n">
        <f aca="false">IF(A49=1,1,B48*(1-$D$4))</f>
        <v>0.498407257062644</v>
      </c>
      <c r="C49" s="15" t="n">
        <f aca="false">'2. The tape'!$C$17*(1+MIN(MAX('3. Assumptions'!$B$12,'3. Assumptions'!$B$11),'3. Assumptions'!$B$10))^INT((A49-1)/4)/4*(1-'3. Assumptions'!$B$13)</f>
        <v>3726952.04683761</v>
      </c>
      <c r="D49" s="15" t="n">
        <f aca="false">(1-'3. Assumptions'!$B$15)*SUMPRODUCT((('2. The tape'!$C$5:$C$13*'2. The tape'!$D$5:$D$13*(1-'2. The tape'!$J$5:$J$13)^(A49/4)*(1+'3. Assumptions'!$B$12)^(A49/4)*((1-'3. Assumptions'!$B$13)/('3. Assumptions'!$B$5)-'2. The tape'!$H$5:$H$13/12-'3. Assumptions'!$B$16)-'2. The tape'!$C$5:$C$13*'2. The tape'!$I$5:$I$13*(1+'3. Assumptions'!$B$12)^(A49/4))&gt;0)*('2. The tape'!$C$5:$C$13*'2. The tape'!$D$5:$D$13*(1-'2. The tape'!$J$5:$J$13)^(A49/4)*(1+'3. Assumptions'!$B$12)^(A49/4)*((1-'3. Assumptions'!$B$13)/('3. Assumptions'!$B$5)-'2. The tape'!$H$5:$H$13/12-'3. Assumptions'!$B$16)-'2. The tape'!$C$5:$C$13*'2. The tape'!$I$5:$I$13*(1+'3. Assumptions'!$B$12)^(A49/4)))</f>
        <v>77864755.1906897</v>
      </c>
      <c r="E49" s="37" t="n">
        <f aca="false">1/(1+(1+'3. Assumptions'!$B$28)^0.25-1)^A49</f>
        <v>0.666239098181316</v>
      </c>
      <c r="F49" s="37" t="n">
        <f aca="false">1/(1+(1+'3. Assumptions'!$B$29)^0.25-1)^A49</f>
        <v>0.459577765561646</v>
      </c>
      <c r="G49" s="15" t="n">
        <f aca="false">B49*(1-$D$4)*C49*E49+B49*$D$4*D49*F49</f>
        <v>1510481.36594421</v>
      </c>
    </row>
    <row r="50" customFormat="false" ht="15" hidden="false" customHeight="false" outlineLevel="0" collapsed="false">
      <c r="A50" s="0" t="n">
        <v>44</v>
      </c>
      <c r="B50" s="37" t="n">
        <f aca="false">IF(A50=1,1,B49*(1-$D$4))</f>
        <v>0.490212052564881</v>
      </c>
      <c r="C50" s="15" t="n">
        <f aca="false">'2. The tape'!$C$17*(1+MIN(MAX('3. Assumptions'!$B$12,'3. Assumptions'!$B$11),'3. Assumptions'!$B$10))^INT((A50-1)/4)/4*(1-'3. Assumptions'!$B$13)</f>
        <v>3726952.04683761</v>
      </c>
      <c r="D50" s="15" t="n">
        <f aca="false">(1-'3. Assumptions'!$B$15)*SUMPRODUCT((('2. The tape'!$C$5:$C$13*'2. The tape'!$D$5:$D$13*(1-'2. The tape'!$J$5:$J$13)^(A50/4)*(1+'3. Assumptions'!$B$12)^(A50/4)*((1-'3. Assumptions'!$B$13)/('3. Assumptions'!$B$5)-'2. The tape'!$H$5:$H$13/12-'3. Assumptions'!$B$16)-'2. The tape'!$C$5:$C$13*'2. The tape'!$I$5:$I$13*(1+'3. Assumptions'!$B$12)^(A50/4))&gt;0)*('2. The tape'!$C$5:$C$13*'2. The tape'!$D$5:$D$13*(1-'2. The tape'!$J$5:$J$13)^(A50/4)*(1+'3. Assumptions'!$B$12)^(A50/4)*((1-'3. Assumptions'!$B$13)/('3. Assumptions'!$B$5)-'2. The tape'!$H$5:$H$13/12-'3. Assumptions'!$B$16)-'2. The tape'!$C$5:$C$13*'2. The tape'!$I$5:$I$13*(1+'3. Assumptions'!$B$12)^(A50/4)))</f>
        <v>77765445.7480018</v>
      </c>
      <c r="E50" s="37" t="n">
        <f aca="false">1/(1+(1+'3. Assumptions'!$B$28)^0.25-1)^A50</f>
        <v>0.659976528367008</v>
      </c>
      <c r="F50" s="37" t="n">
        <f aca="false">1/(1+(1+'3. Assumptions'!$B$29)^0.25-1)^A50</f>
        <v>0.451343189117639</v>
      </c>
      <c r="G50" s="15" t="n">
        <f aca="false">B50*(1-$D$4)*C50*E50+B50*$D$4*D50*F50</f>
        <v>1468861.76232457</v>
      </c>
    </row>
    <row r="51" customFormat="false" ht="15" hidden="false" customHeight="false" outlineLevel="0" collapsed="false">
      <c r="A51" s="0" t="n">
        <v>45</v>
      </c>
      <c r="B51" s="37" t="n">
        <f aca="false">IF(A51=1,1,B50*(1-$D$4))</f>
        <v>0.482151600071243</v>
      </c>
      <c r="C51" s="15" t="n">
        <f aca="false">'2. The tape'!$C$17*(1+MIN(MAX('3. Assumptions'!$B$12,'3. Assumptions'!$B$11),'3. Assumptions'!$B$10))^INT((A51-1)/4)/4*(1-'3. Assumptions'!$B$13)</f>
        <v>3808944.99186804</v>
      </c>
      <c r="D51" s="15" t="n">
        <f aca="false">(1-'3. Assumptions'!$B$15)*SUMPRODUCT((('2. The tape'!$C$5:$C$13*'2. The tape'!$D$5:$D$13*(1-'2. The tape'!$J$5:$J$13)^(A51/4)*(1+'3. Assumptions'!$B$12)^(A51/4)*((1-'3. Assumptions'!$B$13)/('3. Assumptions'!$B$5)-'2. The tape'!$H$5:$H$13/12-'3. Assumptions'!$B$16)-'2. The tape'!$C$5:$C$13*'2. The tape'!$I$5:$I$13*(1+'3. Assumptions'!$B$12)^(A51/4))&gt;0)*('2. The tape'!$C$5:$C$13*'2. The tape'!$D$5:$D$13*(1-'2. The tape'!$J$5:$J$13)^(A51/4)*(1+'3. Assumptions'!$B$12)^(A51/4)*((1-'3. Assumptions'!$B$13)/('3. Assumptions'!$B$5)-'2. The tape'!$H$5:$H$13/12-'3. Assumptions'!$B$16)-'2. The tape'!$C$5:$C$13*'2. The tape'!$I$5:$I$13*(1+'3. Assumptions'!$B$12)^(A51/4)))</f>
        <v>77665847.9524587</v>
      </c>
      <c r="E51" s="37" t="n">
        <f aca="false">1/(1+(1+'3. Assumptions'!$B$28)^0.25-1)^A51</f>
        <v>0.653772825978503</v>
      </c>
      <c r="F51" s="37" t="n">
        <f aca="false">1/(1+(1+'3. Assumptions'!$B$29)^0.25-1)^A51</f>
        <v>0.443256157342441</v>
      </c>
      <c r="G51" s="15" t="n">
        <f aca="false">B51*(1-$D$4)*C51*E51+B51*$D$4*D51*F51</f>
        <v>1453829.95180029</v>
      </c>
    </row>
    <row r="52" customFormat="false" ht="15" hidden="false" customHeight="false" outlineLevel="0" collapsed="false">
      <c r="A52" s="0" t="n">
        <v>46</v>
      </c>
      <c r="B52" s="37" t="n">
        <f aca="false">IF(A52=1,1,B51*(1-$D$4))</f>
        <v>0.474223683883195</v>
      </c>
      <c r="C52" s="15" t="n">
        <f aca="false">'2. The tape'!$C$17*(1+MIN(MAX('3. Assumptions'!$B$12,'3. Assumptions'!$B$11),'3. Assumptions'!$B$10))^INT((A52-1)/4)/4*(1-'3. Assumptions'!$B$13)</f>
        <v>3808944.99186804</v>
      </c>
      <c r="D52" s="15" t="n">
        <f aca="false">(1-'3. Assumptions'!$B$15)*SUMPRODUCT((('2. The tape'!$C$5:$C$13*'2. The tape'!$D$5:$D$13*(1-'2. The tape'!$J$5:$J$13)^(A52/4)*(1+'3. Assumptions'!$B$12)^(A52/4)*((1-'3. Assumptions'!$B$13)/('3. Assumptions'!$B$5)-'2. The tape'!$H$5:$H$13/12-'3. Assumptions'!$B$16)-'2. The tape'!$C$5:$C$13*'2. The tape'!$I$5:$I$13*(1+'3. Assumptions'!$B$12)^(A52/4))&gt;0)*('2. The tape'!$C$5:$C$13*'2. The tape'!$D$5:$D$13*(1-'2. The tape'!$J$5:$J$13)^(A52/4)*(1+'3. Assumptions'!$B$12)^(A52/4)*((1-'3. Assumptions'!$B$13)/('3. Assumptions'!$B$5)-'2. The tape'!$H$5:$H$13/12-'3. Assumptions'!$B$16)-'2. The tape'!$C$5:$C$13*'2. The tape'!$I$5:$I$13*(1+'3. Assumptions'!$B$12)^(A52/4)))</f>
        <v>77565958.6542826</v>
      </c>
      <c r="E52" s="37" t="n">
        <f aca="false">1/(1+(1+'3. Assumptions'!$B$28)^0.25-1)^A52</f>
        <v>0.647627437668864</v>
      </c>
      <c r="F52" s="37" t="n">
        <f aca="false">1/(1+(1+'3. Assumptions'!$B$29)^0.25-1)^A52</f>
        <v>0.435314026574968</v>
      </c>
      <c r="G52" s="15" t="n">
        <f aca="false">B52*(1-$D$4)*C52*E52+B52*$D$4*D52*F52</f>
        <v>1413858.24142117</v>
      </c>
    </row>
    <row r="53" customFormat="false" ht="15" hidden="false" customHeight="false" outlineLevel="0" collapsed="false">
      <c r="A53" s="0" t="n">
        <v>47</v>
      </c>
      <c r="B53" s="37" t="n">
        <f aca="false">IF(A53=1,1,B52*(1-$D$4))</f>
        <v>0.466426124734458</v>
      </c>
      <c r="C53" s="15" t="n">
        <f aca="false">'2. The tape'!$C$17*(1+MIN(MAX('3. Assumptions'!$B$12,'3. Assumptions'!$B$11),'3. Assumptions'!$B$10))^INT((A53-1)/4)/4*(1-'3. Assumptions'!$B$13)</f>
        <v>3808944.99186804</v>
      </c>
      <c r="D53" s="15" t="n">
        <f aca="false">(1-'3. Assumptions'!$B$15)*SUMPRODUCT((('2. The tape'!$C$5:$C$13*'2. The tape'!$D$5:$D$13*(1-'2. The tape'!$J$5:$J$13)^(A53/4)*(1+'3. Assumptions'!$B$12)^(A53/4)*((1-'3. Assumptions'!$B$13)/('3. Assumptions'!$B$5)-'2. The tape'!$H$5:$H$13/12-'3. Assumptions'!$B$16)-'2. The tape'!$C$5:$C$13*'2. The tape'!$I$5:$I$13*(1+'3. Assumptions'!$B$12)^(A53/4))&gt;0)*('2. The tape'!$C$5:$C$13*'2. The tape'!$D$5:$D$13*(1-'2. The tape'!$J$5:$J$13)^(A53/4)*(1+'3. Assumptions'!$B$12)^(A53/4)*((1-'3. Assumptions'!$B$13)/('3. Assumptions'!$B$5)-'2. The tape'!$H$5:$H$13/12-'3. Assumptions'!$B$16)-'2. The tape'!$C$5:$C$13*'2. The tape'!$I$5:$I$13*(1+'3. Assumptions'!$B$12)^(A53/4)))</f>
        <v>77465774.6880292</v>
      </c>
      <c r="E53" s="37" t="n">
        <f aca="false">1/(1+(1+'3. Assumptions'!$B$28)^0.25-1)^A53</f>
        <v>0.641539815292552</v>
      </c>
      <c r="F53" s="37" t="n">
        <f aca="false">1/(1+(1+'3. Assumptions'!$B$29)^0.25-1)^A53</f>
        <v>0.427514200522462</v>
      </c>
      <c r="G53" s="15" t="n">
        <f aca="false">B53*(1-$D$4)*C53*E53+B53*$D$4*D53*F53</f>
        <v>1375004.64538821</v>
      </c>
    </row>
    <row r="54" customFormat="false" ht="15" hidden="false" customHeight="false" outlineLevel="0" collapsed="false">
      <c r="A54" s="0" t="n">
        <v>48</v>
      </c>
      <c r="B54" s="37" t="n">
        <f aca="false">IF(A54=1,1,B53*(1-$D$4))</f>
        <v>0.458756779191968</v>
      </c>
      <c r="C54" s="15" t="n">
        <f aca="false">'2. The tape'!$C$17*(1+MIN(MAX('3. Assumptions'!$B$12,'3. Assumptions'!$B$11),'3. Assumptions'!$B$10))^INT((A54-1)/4)/4*(1-'3. Assumptions'!$B$13)</f>
        <v>3808944.99186804</v>
      </c>
      <c r="D54" s="15" t="n">
        <f aca="false">(1-'3. Assumptions'!$B$15)*SUMPRODUCT((('2. The tape'!$C$5:$C$13*'2. The tape'!$D$5:$D$13*(1-'2. The tape'!$J$5:$J$13)^(A54/4)*(1+'3. Assumptions'!$B$12)^(A54/4)*((1-'3. Assumptions'!$B$13)/('3. Assumptions'!$B$5)-'2. The tape'!$H$5:$H$13/12-'3. Assumptions'!$B$16)-'2. The tape'!$C$5:$C$13*'2. The tape'!$I$5:$I$13*(1+'3. Assumptions'!$B$12)^(A54/4))&gt;0)*('2. The tape'!$C$5:$C$13*'2. The tape'!$D$5:$D$13*(1-'2. The tape'!$J$5:$J$13)^(A54/4)*(1+'3. Assumptions'!$B$12)^(A54/4)*((1-'3. Assumptions'!$B$13)/('3. Assumptions'!$B$5)-'2. The tape'!$H$5:$H$13/12-'3. Assumptions'!$B$16)-'2. The tape'!$C$5:$C$13*'2. The tape'!$I$5:$I$13*(1+'3. Assumptions'!$B$12)^(A54/4)))</f>
        <v>77365292.8724966</v>
      </c>
      <c r="E54" s="37" t="n">
        <f aca="false">1/(1+(1+'3. Assumptions'!$B$28)^0.25-1)^A54</f>
        <v>0.635509415856531</v>
      </c>
      <c r="F54" s="37" t="n">
        <f aca="false">1/(1+(1+'3. Assumptions'!$B$29)^0.25-1)^A54</f>
        <v>0.419854129411757</v>
      </c>
      <c r="G54" s="15" t="n">
        <f aca="false">B54*(1-$D$4)*C54*E54+B54*$D$4*D54*F54</f>
        <v>1337237.26484043</v>
      </c>
    </row>
    <row r="55" customFormat="false" ht="15" hidden="false" customHeight="false" outlineLevel="0" collapsed="false">
      <c r="A55" s="0" t="n">
        <v>49</v>
      </c>
      <c r="B55" s="37" t="n">
        <f aca="false">IF(A55=1,1,B54*(1-$D$4))</f>
        <v>0.451213539066672</v>
      </c>
      <c r="C55" s="15" t="n">
        <f aca="false">'2. The tape'!$C$17*(1+MIN(MAX('3. Assumptions'!$B$12,'3. Assumptions'!$B$11),'3. Assumptions'!$B$10))^INT((A55-1)/4)/4*(1-'3. Assumptions'!$B$13)</f>
        <v>3892741.78168913</v>
      </c>
      <c r="D55" s="15" t="n">
        <f aca="false">(1-'3. Assumptions'!$B$15)*SUMPRODUCT((('2. The tape'!$C$5:$C$13*'2. The tape'!$D$5:$D$13*(1-'2. The tape'!$J$5:$J$13)^(A55/4)*(1+'3. Assumptions'!$B$12)^(A55/4)*((1-'3. Assumptions'!$B$13)/('3. Assumptions'!$B$5)-'2. The tape'!$H$5:$H$13/12-'3. Assumptions'!$B$16)-'2. The tape'!$C$5:$C$13*'2. The tape'!$I$5:$I$13*(1+'3. Assumptions'!$B$12)^(A55/4))&gt;0)*('2. The tape'!$C$5:$C$13*'2. The tape'!$D$5:$D$13*(1-'2. The tape'!$J$5:$J$13)^(A55/4)*(1+'3. Assumptions'!$B$12)^(A55/4)*((1-'3. Assumptions'!$B$13)/('3. Assumptions'!$B$5)-'2. The tape'!$H$5:$H$13/12-'3. Assumptions'!$B$16)-'2. The tape'!$C$5:$C$13*'2. The tape'!$I$5:$I$13*(1+'3. Assumptions'!$B$12)^(A55/4)))</f>
        <v>77264510.0106331</v>
      </c>
      <c r="E55" s="37" t="n">
        <f aca="false">1/(1+(1+'3. Assumptions'!$B$28)^0.25-1)^A55</f>
        <v>0.629535701471836</v>
      </c>
      <c r="F55" s="37" t="n">
        <f aca="false">1/(1+(1+'3. Assumptions'!$B$29)^0.25-1)^A55</f>
        <v>0.412331309155759</v>
      </c>
      <c r="G55" s="15" t="n">
        <f aca="false">B55*(1-$D$4)*C55*E55+B55*$D$4*D55*F55</f>
        <v>1323936.64468094</v>
      </c>
    </row>
    <row r="56" customFormat="false" ht="15" hidden="false" customHeight="false" outlineLevel="0" collapsed="false">
      <c r="A56" s="0" t="n">
        <v>50</v>
      </c>
      <c r="B56" s="37" t="n">
        <f aca="false">IF(A56=1,1,B55*(1-$D$4))</f>
        <v>0.443794330834023</v>
      </c>
      <c r="C56" s="15" t="n">
        <f aca="false">'2. The tape'!$C$17*(1+MIN(MAX('3. Assumptions'!$B$12,'3. Assumptions'!$B$11),'3. Assumptions'!$B$10))^INT((A56-1)/4)/4*(1-'3. Assumptions'!$B$13)</f>
        <v>3892741.78168913</v>
      </c>
      <c r="D56" s="15" t="n">
        <f aca="false">(1-'3. Assumptions'!$B$15)*SUMPRODUCT((('2. The tape'!$C$5:$C$13*'2. The tape'!$D$5:$D$13*(1-'2. The tape'!$J$5:$J$13)^(A56/4)*(1+'3. Assumptions'!$B$12)^(A56/4)*((1-'3. Assumptions'!$B$13)/('3. Assumptions'!$B$5)-'2. The tape'!$H$5:$H$13/12-'3. Assumptions'!$B$16)-'2. The tape'!$C$5:$C$13*'2. The tape'!$I$5:$I$13*(1+'3. Assumptions'!$B$12)^(A56/4))&gt;0)*('2. The tape'!$C$5:$C$13*'2. The tape'!$D$5:$D$13*(1-'2. The tape'!$J$5:$J$13)^(A56/4)*(1+'3. Assumptions'!$B$12)^(A56/4)*((1-'3. Assumptions'!$B$13)/('3. Assumptions'!$B$5)-'2. The tape'!$H$5:$H$13/12-'3. Assumptions'!$B$16)-'2. The tape'!$C$5:$C$13*'2. The tape'!$I$5:$I$13*(1+'3. Assumptions'!$B$12)^(A56/4)))</f>
        <v>77163422.8894443</v>
      </c>
      <c r="E56" s="37" t="n">
        <f aca="false">1/(1+(1+'3. Assumptions'!$B$28)^0.25-1)^A56</f>
        <v>0.623618139305598</v>
      </c>
      <c r="F56" s="37" t="n">
        <f aca="false">1/(1+(1+'3. Assumptions'!$B$29)^0.25-1)^A56</f>
        <v>0.404943280534854</v>
      </c>
      <c r="G56" s="15" t="n">
        <f aca="false">B56*(1-$D$4)*C56*E56+B56*$D$4*D56*F56</f>
        <v>1287648.2931582</v>
      </c>
    </row>
    <row r="57" customFormat="false" ht="15" hidden="false" customHeight="false" outlineLevel="0" collapsed="false">
      <c r="A57" s="0" t="n">
        <v>51</v>
      </c>
      <c r="B57" s="37" t="n">
        <f aca="false">IF(A57=1,1,B56*(1-$D$4))</f>
        <v>0.436497115063997</v>
      </c>
      <c r="C57" s="15" t="n">
        <f aca="false">'2. The tape'!$C$17*(1+MIN(MAX('3. Assumptions'!$B$12,'3. Assumptions'!$B$11),'3. Assumptions'!$B$10))^INT((A57-1)/4)/4*(1-'3. Assumptions'!$B$13)</f>
        <v>3892741.78168913</v>
      </c>
      <c r="D57" s="15" t="n">
        <f aca="false">(1-'3. Assumptions'!$B$15)*SUMPRODUCT((('2. The tape'!$C$5:$C$13*'2. The tape'!$D$5:$D$13*(1-'2. The tape'!$J$5:$J$13)^(A57/4)*(1+'3. Assumptions'!$B$12)^(A57/4)*((1-'3. Assumptions'!$B$13)/('3. Assumptions'!$B$5)-'2. The tape'!$H$5:$H$13/12-'3. Assumptions'!$B$16)-'2. The tape'!$C$5:$C$13*'2. The tape'!$I$5:$I$13*(1+'3. Assumptions'!$B$12)^(A57/4))&gt;0)*('2. The tape'!$C$5:$C$13*'2. The tape'!$D$5:$D$13*(1-'2. The tape'!$J$5:$J$13)^(A57/4)*(1+'3. Assumptions'!$B$12)^(A57/4)*((1-'3. Assumptions'!$B$13)/('3. Assumptions'!$B$5)-'2. The tape'!$H$5:$H$13/12-'3. Assumptions'!$B$16)-'2. The tape'!$C$5:$C$13*'2. The tape'!$I$5:$I$13*(1+'3. Assumptions'!$B$12)^(A57/4)))</f>
        <v>77062028.2799005</v>
      </c>
      <c r="E57" s="37" t="n">
        <f aca="false">1/(1+(1+'3. Assumptions'!$B$28)^0.25-1)^A57</f>
        <v>0.617756201533511</v>
      </c>
      <c r="F57" s="37" t="n">
        <f aca="false">1/(1+(1+'3. Assumptions'!$B$29)^0.25-1)^A57</f>
        <v>0.397687628392987</v>
      </c>
      <c r="G57" s="15" t="n">
        <f aca="false">B57*(1-$D$4)*C57*E57+B57*$D$4*D57*F57</f>
        <v>1252371.37908065</v>
      </c>
    </row>
    <row r="58" customFormat="false" ht="15" hidden="false" customHeight="false" outlineLevel="0" collapsed="false">
      <c r="A58" s="0" t="n">
        <v>52</v>
      </c>
      <c r="B58" s="37" t="n">
        <f aca="false">IF(A58=1,1,B57*(1-$D$4))</f>
        <v>0.429319885860483</v>
      </c>
      <c r="C58" s="15" t="n">
        <f aca="false">'2. The tape'!$C$17*(1+MIN(MAX('3. Assumptions'!$B$12,'3. Assumptions'!$B$11),'3. Assumptions'!$B$10))^INT((A58-1)/4)/4*(1-'3. Assumptions'!$B$13)</f>
        <v>3892741.78168913</v>
      </c>
      <c r="D58" s="15" t="n">
        <f aca="false">(1-'3. Assumptions'!$B$15)*SUMPRODUCT((('2. The tape'!$C$5:$C$13*'2. The tape'!$D$5:$D$13*(1-'2. The tape'!$J$5:$J$13)^(A58/4)*(1+'3. Assumptions'!$B$12)^(A58/4)*((1-'3. Assumptions'!$B$13)/('3. Assumptions'!$B$5)-'2. The tape'!$H$5:$H$13/12-'3. Assumptions'!$B$16)-'2. The tape'!$C$5:$C$13*'2. The tape'!$I$5:$I$13*(1+'3. Assumptions'!$B$12)^(A58/4))&gt;0)*('2. The tape'!$C$5:$C$13*'2. The tape'!$D$5:$D$13*(1-'2. The tape'!$J$5:$J$13)^(A58/4)*(1+'3. Assumptions'!$B$12)^(A58/4)*((1-'3. Assumptions'!$B$13)/('3. Assumptions'!$B$5)-'2. The tape'!$H$5:$H$13/12-'3. Assumptions'!$B$16)-'2. The tape'!$C$5:$C$13*'2. The tape'!$I$5:$I$13*(1+'3. Assumptions'!$B$12)^(A58/4)))</f>
        <v>76960322.9368431</v>
      </c>
      <c r="E58" s="37" t="n">
        <f aca="false">1/(1+(1+'3. Assumptions'!$B$28)^0.25-1)^A58</f>
        <v>0.611949365292759</v>
      </c>
      <c r="F58" s="37" t="n">
        <f aca="false">1/(1+(1+'3. Assumptions'!$B$29)^0.25-1)^A58</f>
        <v>0.390561980848146</v>
      </c>
      <c r="G58" s="15" t="n">
        <f aca="false">B58*(1-$D$4)*C58*E58+B58*$D$4*D58*F58</f>
        <v>1218077.16358379</v>
      </c>
    </row>
    <row r="59" customFormat="false" ht="15" hidden="false" customHeight="false" outlineLevel="0" collapsed="false">
      <c r="A59" s="0" t="n">
        <v>53</v>
      </c>
      <c r="B59" s="37" t="n">
        <f aca="false">IF(A59=1,1,B58*(1-$D$4))</f>
        <v>0.422260670309894</v>
      </c>
      <c r="C59" s="15" t="n">
        <f aca="false">'2. The tape'!$C$17*(1+MIN(MAX('3. Assumptions'!$B$12,'3. Assumptions'!$B$11),'3. Assumptions'!$B$10))^INT((A59-1)/4)/4*(1-'3. Assumptions'!$B$13)</f>
        <v>3978382.1008863</v>
      </c>
      <c r="D59" s="15" t="n">
        <f aca="false">(1-'3. Assumptions'!$B$15)*SUMPRODUCT((('2. The tape'!$C$5:$C$13*'2. The tape'!$D$5:$D$13*(1-'2. The tape'!$J$5:$J$13)^(A59/4)*(1+'3. Assumptions'!$B$12)^(A59/4)*((1-'3. Assumptions'!$B$13)/('3. Assumptions'!$B$5)-'2. The tape'!$H$5:$H$13/12-'3. Assumptions'!$B$16)-'2. The tape'!$C$5:$C$13*'2. The tape'!$I$5:$I$13*(1+'3. Assumptions'!$B$12)^(A59/4))&gt;0)*('2. The tape'!$C$5:$C$13*'2. The tape'!$D$5:$D$13*(1-'2. The tape'!$J$5:$J$13)^(A59/4)*(1+'3. Assumptions'!$B$12)^(A59/4)*((1-'3. Assumptions'!$B$13)/('3. Assumptions'!$B$5)-'2. The tape'!$H$5:$H$13/12-'3. Assumptions'!$B$16)-'2. The tape'!$C$5:$C$13*'2. The tape'!$I$5:$I$13*(1+'3. Assumptions'!$B$12)^(A59/4)))</f>
        <v>76858303.5988902</v>
      </c>
      <c r="E59" s="37" t="n">
        <f aca="false">1/(1+(1+'3. Assumptions'!$B$28)^0.25-1)^A59</f>
        <v>0.606197112635374</v>
      </c>
      <c r="F59" s="37" t="n">
        <f aca="false">1/(1+(1+'3. Assumptions'!$B$29)^0.25-1)^A59</f>
        <v>0.383564008516985</v>
      </c>
      <c r="G59" s="15" t="n">
        <f aca="false">B59*(1-$D$4)*C59*E59+B59*$D$4*D59*F59</f>
        <v>1206298.9158321</v>
      </c>
    </row>
    <row r="60" customFormat="false" ht="15" hidden="false" customHeight="false" outlineLevel="0" collapsed="false">
      <c r="A60" s="0" t="n">
        <v>54</v>
      </c>
      <c r="B60" s="37" t="n">
        <f aca="false">IF(A60=1,1,B59*(1-$D$4))</f>
        <v>0.41531752793884</v>
      </c>
      <c r="C60" s="15" t="n">
        <f aca="false">'2. The tape'!$C$17*(1+MIN(MAX('3. Assumptions'!$B$12,'3. Assumptions'!$B$11),'3. Assumptions'!$B$10))^INT((A60-1)/4)/4*(1-'3. Assumptions'!$B$13)</f>
        <v>3978382.1008863</v>
      </c>
      <c r="D60" s="15" t="n">
        <f aca="false">(1-'3. Assumptions'!$B$15)*SUMPRODUCT((('2. The tape'!$C$5:$C$13*'2. The tape'!$D$5:$D$13*(1-'2. The tape'!$J$5:$J$13)^(A60/4)*(1+'3. Assumptions'!$B$12)^(A60/4)*((1-'3. Assumptions'!$B$13)/('3. Assumptions'!$B$5)-'2. The tape'!$H$5:$H$13/12-'3. Assumptions'!$B$16)-'2. The tape'!$C$5:$C$13*'2. The tape'!$I$5:$I$13*(1+'3. Assumptions'!$B$12)^(A60/4))&gt;0)*('2. The tape'!$C$5:$C$13*'2. The tape'!$D$5:$D$13*(1-'2. The tape'!$J$5:$J$13)^(A60/4)*(1+'3. Assumptions'!$B$12)^(A60/4)*((1-'3. Assumptions'!$B$13)/('3. Assumptions'!$B$5)-'2. The tape'!$H$5:$H$13/12-'3. Assumptions'!$B$16)-'2. The tape'!$C$5:$C$13*'2. The tape'!$I$5:$I$13*(1+'3. Assumptions'!$B$12)^(A60/4)))</f>
        <v>76755966.9883424</v>
      </c>
      <c r="E60" s="37" t="n">
        <f aca="false">1/(1+(1+'3. Assumptions'!$B$28)^0.25-1)^A60</f>
        <v>0.600498930482039</v>
      </c>
      <c r="F60" s="37" t="n">
        <f aca="false">1/(1+(1+'3. Assumptions'!$B$29)^0.25-1)^A60</f>
        <v>0.376691423753352</v>
      </c>
      <c r="G60" s="15" t="n">
        <f aca="false">B60*(1-$D$4)*C60*E60+B60*$D$4*D60*F60</f>
        <v>1173333.32708408</v>
      </c>
    </row>
    <row r="61" customFormat="false" ht="15" hidden="false" customHeight="false" outlineLevel="0" collapsed="false">
      <c r="A61" s="0" t="n">
        <v>55</v>
      </c>
      <c r="B61" s="37" t="n">
        <f aca="false">IF(A61=1,1,B60*(1-$D$4))</f>
        <v>0.408488550180724</v>
      </c>
      <c r="C61" s="15" t="n">
        <f aca="false">'2. The tape'!$C$17*(1+MIN(MAX('3. Assumptions'!$B$12,'3. Assumptions'!$B$11),'3. Assumptions'!$B$10))^INT((A61-1)/4)/4*(1-'3. Assumptions'!$B$13)</f>
        <v>3978382.1008863</v>
      </c>
      <c r="D61" s="15" t="n">
        <f aca="false">(1-'3. Assumptions'!$B$15)*SUMPRODUCT((('2. The tape'!$C$5:$C$13*'2. The tape'!$D$5:$D$13*(1-'2. The tape'!$J$5:$J$13)^(A61/4)*(1+'3. Assumptions'!$B$12)^(A61/4)*((1-'3. Assumptions'!$B$13)/('3. Assumptions'!$B$5)-'2. The tape'!$H$5:$H$13/12-'3. Assumptions'!$B$16)-'2. The tape'!$C$5:$C$13*'2. The tape'!$I$5:$I$13*(1+'3. Assumptions'!$B$12)^(A61/4))&gt;0)*('2. The tape'!$C$5:$C$13*'2. The tape'!$D$5:$D$13*(1-'2. The tape'!$J$5:$J$13)^(A61/4)*(1+'3. Assumptions'!$B$12)^(A61/4)*((1-'3. Assumptions'!$B$13)/('3. Assumptions'!$B$5)-'2. The tape'!$H$5:$H$13/12-'3. Assumptions'!$B$16)-'2. The tape'!$C$5:$C$13*'2. The tape'!$I$5:$I$13*(1+'3. Assumptions'!$B$12)^(A61/4)))</f>
        <v>76653309.8110874</v>
      </c>
      <c r="E61" s="37" t="n">
        <f aca="false">1/(1+(1+'3. Assumptions'!$B$28)^0.25-1)^A61</f>
        <v>0.594854310576322</v>
      </c>
      <c r="F61" s="37" t="n">
        <f aca="false">1/(1+(1+'3. Assumptions'!$B$29)^0.25-1)^A61</f>
        <v>0.369941979900453</v>
      </c>
      <c r="G61" s="15" t="n">
        <f aca="false">B61*(1-$D$4)*C61*E61+B61*$D$4*D61*F61</f>
        <v>1141283.35490725</v>
      </c>
    </row>
    <row r="62" customFormat="false" ht="15" hidden="false" customHeight="false" outlineLevel="0" collapsed="false">
      <c r="A62" s="0" t="n">
        <v>56</v>
      </c>
      <c r="B62" s="37" t="n">
        <f aca="false">IF(A62=1,1,B61*(1-$D$4))</f>
        <v>0.401771859851102</v>
      </c>
      <c r="C62" s="15" t="n">
        <f aca="false">'2. The tape'!$C$17*(1+MIN(MAX('3. Assumptions'!$B$12,'3. Assumptions'!$B$11),'3. Assumptions'!$B$10))^INT((A62-1)/4)/4*(1-'3. Assumptions'!$B$13)</f>
        <v>3978382.1008863</v>
      </c>
      <c r="D62" s="15" t="n">
        <f aca="false">(1-'3. Assumptions'!$B$15)*SUMPRODUCT((('2. The tape'!$C$5:$C$13*'2. The tape'!$D$5:$D$13*(1-'2. The tape'!$J$5:$J$13)^(A62/4)*(1+'3. Assumptions'!$B$12)^(A62/4)*((1-'3. Assumptions'!$B$13)/('3. Assumptions'!$B$5)-'2. The tape'!$H$5:$H$13/12-'3. Assumptions'!$B$16)-'2. The tape'!$C$5:$C$13*'2. The tape'!$I$5:$I$13*(1+'3. Assumptions'!$B$12)^(A62/4))&gt;0)*('2. The tape'!$C$5:$C$13*'2. The tape'!$D$5:$D$13*(1-'2. The tape'!$J$5:$J$13)^(A62/4)*(1+'3. Assumptions'!$B$12)^(A62/4)*((1-'3. Assumptions'!$B$13)/('3. Assumptions'!$B$5)-'2. The tape'!$H$5:$H$13/12-'3. Assumptions'!$B$16)-'2. The tape'!$C$5:$C$13*'2. The tape'!$I$5:$I$13*(1+'3. Assumptions'!$B$12)^(A62/4)))</f>
        <v>76550328.7565049</v>
      </c>
      <c r="E62" s="37" t="n">
        <f aca="false">1/(1+(1+'3. Assumptions'!$B$28)^0.25-1)^A62</f>
        <v>0.589262749439344</v>
      </c>
      <c r="F62" s="37" t="n">
        <f aca="false">1/(1+(1+'3. Assumptions'!$B$29)^0.25-1)^A62</f>
        <v>0.363313470556414</v>
      </c>
      <c r="G62" s="15" t="n">
        <f aca="false">B62*(1-$D$4)*C62*E62+B62*$D$4*D62*F62</f>
        <v>1110123.08608342</v>
      </c>
    </row>
    <row r="63" customFormat="false" ht="15" hidden="false" customHeight="false" outlineLevel="0" collapsed="false">
      <c r="A63" s="0" t="n">
        <v>57</v>
      </c>
      <c r="B63" s="37" t="n">
        <f aca="false">IF(A63=1,1,B62*(1-$D$4))</f>
        <v>0.395165610631676</v>
      </c>
      <c r="C63" s="15" t="n">
        <f aca="false">'2. The tape'!$C$17*(1+MIN(MAX('3. Assumptions'!$B$12,'3. Assumptions'!$B$11),'3. Assumptions'!$B$10))^INT((A63-1)/4)/4*(1-'3. Assumptions'!$B$13)</f>
        <v>4065906.50710579</v>
      </c>
      <c r="D63" s="15" t="n">
        <f aca="false">(1-'3. Assumptions'!$B$15)*SUMPRODUCT((('2. The tape'!$C$5:$C$13*'2. The tape'!$D$5:$D$13*(1-'2. The tape'!$J$5:$J$13)^(A63/4)*(1+'3. Assumptions'!$B$12)^(A63/4)*((1-'3. Assumptions'!$B$13)/('3. Assumptions'!$B$5)-'2. The tape'!$H$5:$H$13/12-'3. Assumptions'!$B$16)-'2. The tape'!$C$5:$C$13*'2. The tape'!$I$5:$I$13*(1+'3. Assumptions'!$B$12)^(A63/4))&gt;0)*('2. The tape'!$C$5:$C$13*'2. The tape'!$D$5:$D$13*(1-'2. The tape'!$J$5:$J$13)^(A63/4)*(1+'3. Assumptions'!$B$12)^(A63/4)*((1-'3. Assumptions'!$B$13)/('3. Assumptions'!$B$5)-'2. The tape'!$H$5:$H$13/12-'3. Assumptions'!$B$16)-'2. The tape'!$C$5:$C$13*'2. The tape'!$I$5:$I$13*(1+'3. Assumptions'!$B$12)^(A63/4)))</f>
        <v>76447020.49737</v>
      </c>
      <c r="E63" s="37" t="n">
        <f aca="false">1/(1+(1+'3. Assumptions'!$B$28)^0.25-1)^A63</f>
        <v>0.583723748324866</v>
      </c>
      <c r="F63" s="37" t="n">
        <f aca="false">1/(1+(1+'3. Assumptions'!$B$29)^0.25-1)^A63</f>
        <v>0.356803728853009</v>
      </c>
      <c r="G63" s="15" t="n">
        <f aca="false">B63*(1-$D$4)*C63*E63+B63*$D$4*D63*F63</f>
        <v>1099684.43269418</v>
      </c>
    </row>
    <row r="64" customFormat="false" ht="15" hidden="false" customHeight="false" outlineLevel="0" collapsed="false">
      <c r="A64" s="0" t="n">
        <v>58</v>
      </c>
      <c r="B64" s="37" t="n">
        <f aca="false">IF(A64=1,1,B63*(1-$D$4))</f>
        <v>0.388667986562765</v>
      </c>
      <c r="C64" s="15" t="n">
        <f aca="false">'2. The tape'!$C$17*(1+MIN(MAX('3. Assumptions'!$B$12,'3. Assumptions'!$B$11),'3. Assumptions'!$B$10))^INT((A64-1)/4)/4*(1-'3. Assumptions'!$B$13)</f>
        <v>4065906.50710579</v>
      </c>
      <c r="D64" s="15" t="n">
        <f aca="false">(1-'3. Assumptions'!$B$15)*SUMPRODUCT((('2. The tape'!$C$5:$C$13*'2. The tape'!$D$5:$D$13*(1-'2. The tape'!$J$5:$J$13)^(A64/4)*(1+'3. Assumptions'!$B$12)^(A64/4)*((1-'3. Assumptions'!$B$13)/('3. Assumptions'!$B$5)-'2. The tape'!$H$5:$H$13/12-'3. Assumptions'!$B$16)-'2. The tape'!$C$5:$C$13*'2. The tape'!$I$5:$I$13*(1+'3. Assumptions'!$B$12)^(A64/4))&gt;0)*('2. The tape'!$C$5:$C$13*'2. The tape'!$D$5:$D$13*(1-'2. The tape'!$J$5:$J$13)^(A64/4)*(1+'3. Assumptions'!$B$12)^(A64/4)*((1-'3. Assumptions'!$B$13)/('3. Assumptions'!$B$5)-'2. The tape'!$H$5:$H$13/12-'3. Assumptions'!$B$16)-'2. The tape'!$C$5:$C$13*'2. The tape'!$I$5:$I$13*(1+'3. Assumptions'!$B$12)^(A64/4)))</f>
        <v>76343381.6897568</v>
      </c>
      <c r="E64" s="37" t="n">
        <f aca="false">1/(1+(1+'3. Assumptions'!$B$28)^0.25-1)^A64</f>
        <v>0.578236813174808</v>
      </c>
      <c r="F64" s="37" t="n">
        <f aca="false">1/(1+(1+'3. Assumptions'!$B$29)^0.25-1)^A64</f>
        <v>0.350410626747304</v>
      </c>
      <c r="G64" s="15" t="n">
        <f aca="false">B64*(1-$D$4)*C64*E64+B64*$D$4*D64*F64</f>
        <v>1069718.71370636</v>
      </c>
    </row>
    <row r="65" customFormat="false" ht="15" hidden="false" customHeight="false" outlineLevel="0" collapsed="false">
      <c r="A65" s="0" t="n">
        <v>59</v>
      </c>
      <c r="B65" s="37" t="n">
        <f aca="false">IF(A65=1,1,B64*(1-$D$4))</f>
        <v>0.382277201544128</v>
      </c>
      <c r="C65" s="15" t="n">
        <f aca="false">'2. The tape'!$C$17*(1+MIN(MAX('3. Assumptions'!$B$12,'3. Assumptions'!$B$11),'3. Assumptions'!$B$10))^INT((A65-1)/4)/4*(1-'3. Assumptions'!$B$13)</f>
        <v>4065906.50710579</v>
      </c>
      <c r="D65" s="15" t="n">
        <f aca="false">(1-'3. Assumptions'!$B$15)*SUMPRODUCT((('2. The tape'!$C$5:$C$13*'2. The tape'!$D$5:$D$13*(1-'2. The tape'!$J$5:$J$13)^(A65/4)*(1+'3. Assumptions'!$B$12)^(A65/4)*((1-'3. Assumptions'!$B$13)/('3. Assumptions'!$B$5)-'2. The tape'!$H$5:$H$13/12-'3. Assumptions'!$B$16)-'2. The tape'!$C$5:$C$13*'2. The tape'!$I$5:$I$13*(1+'3. Assumptions'!$B$12)^(A65/4))&gt;0)*('2. The tape'!$C$5:$C$13*'2. The tape'!$D$5:$D$13*(1-'2. The tape'!$J$5:$J$13)^(A65/4)*(1+'3. Assumptions'!$B$12)^(A65/4)*((1-'3. Assumptions'!$B$13)/('3. Assumptions'!$B$5)-'2. The tape'!$H$5:$H$13/12-'3. Assumptions'!$B$16)-'2. The tape'!$C$5:$C$13*'2. The tape'!$I$5:$I$13*(1+'3. Assumptions'!$B$12)^(A65/4)))</f>
        <v>76239408.9729415</v>
      </c>
      <c r="E65" s="37" t="n">
        <f aca="false">1/(1+(1+'3. Assumptions'!$B$28)^0.25-1)^A65</f>
        <v>0.572801454575177</v>
      </c>
      <c r="F65" s="37" t="n">
        <f aca="false">1/(1+(1+'3. Assumptions'!$B$29)^0.25-1)^A65</f>
        <v>0.344132074326003</v>
      </c>
      <c r="G65" s="15" t="n">
        <f aca="false">B65*(1-$D$4)*C65*E65+B65*$D$4*D65*F65</f>
        <v>1040582.46734096</v>
      </c>
    </row>
    <row r="66" customFormat="false" ht="15" hidden="false" customHeight="false" outlineLevel="0" collapsed="false">
      <c r="A66" s="0" t="n">
        <v>60</v>
      </c>
      <c r="B66" s="37" t="n">
        <f aca="false">IF(A66=1,1,B65*(1-$D$4))</f>
        <v>0.37599149884399</v>
      </c>
      <c r="C66" s="15" t="n">
        <f aca="false">'2. The tape'!$C$17*(1+MIN(MAX('3. Assumptions'!$B$12,'3. Assumptions'!$B$11),'3. Assumptions'!$B$10))^INT((A66-1)/4)/4*(1-'3. Assumptions'!$B$13)</f>
        <v>4065906.50710579</v>
      </c>
      <c r="D66" s="15" t="n">
        <f aca="false">(1-'3. Assumptions'!$B$15)*SUMPRODUCT((('2. The tape'!$C$5:$C$13*'2. The tape'!$D$5:$D$13*(1-'2. The tape'!$J$5:$J$13)^(A66/4)*(1+'3. Assumptions'!$B$12)^(A66/4)*((1-'3. Assumptions'!$B$13)/('3. Assumptions'!$B$5)-'2. The tape'!$H$5:$H$13/12-'3. Assumptions'!$B$16)-'2. The tape'!$C$5:$C$13*'2. The tape'!$I$5:$I$13*(1+'3. Assumptions'!$B$12)^(A66/4))&gt;0)*('2. The tape'!$C$5:$C$13*'2. The tape'!$D$5:$D$13*(1-'2. The tape'!$J$5:$J$13)^(A66/4)*(1+'3. Assumptions'!$B$12)^(A66/4)*((1-'3. Assumptions'!$B$13)/('3. Assumptions'!$B$5)-'2. The tape'!$H$5:$H$13/12-'3. Assumptions'!$B$16)-'2. The tape'!$C$5:$C$13*'2. The tape'!$I$5:$I$13*(1+'3. Assumptions'!$B$12)^(A66/4)))</f>
        <v>76135098.9693043</v>
      </c>
      <c r="E66" s="37" t="n">
        <f aca="false">1/(1+(1+'3. Assumptions'!$B$28)^0.25-1)^A66</f>
        <v>0.567417187712415</v>
      </c>
      <c r="F66" s="37" t="n">
        <f aca="false">1/(1+(1+'3. Assumptions'!$B$29)^0.25-1)^A66</f>
        <v>0.337966019122246</v>
      </c>
      <c r="G66" s="15" t="n">
        <f aca="false">B66*(1-$D$4)*C66*E66+B66*$D$4*D66*F66</f>
        <v>1012252.30930503</v>
      </c>
    </row>
    <row r="67" customFormat="false" ht="15" hidden="false" customHeight="false" outlineLevel="0" collapsed="false">
      <c r="A67" s="0" t="n">
        <v>61</v>
      </c>
      <c r="B67" s="37" t="n">
        <f aca="false">IF(A67=1,1,B66*(1-$D$4))</f>
        <v>0.369809150616143</v>
      </c>
      <c r="C67" s="15" t="n">
        <f aca="false">'2. The tape'!$C$17*(1+MIN(MAX('3. Assumptions'!$B$12,'3. Assumptions'!$B$11),'3. Assumptions'!$B$10))^INT((A67-1)/4)/4*(1-'3. Assumptions'!$B$13)</f>
        <v>4155356.45026212</v>
      </c>
      <c r="D67" s="15" t="n">
        <f aca="false">(1-'3. Assumptions'!$B$15)*SUMPRODUCT((('2. The tape'!$C$5:$C$13*'2. The tape'!$D$5:$D$13*(1-'2. The tape'!$J$5:$J$13)^(A67/4)*(1+'3. Assumptions'!$B$12)^(A67/4)*((1-'3. Assumptions'!$B$13)/('3. Assumptions'!$B$5)-'2. The tape'!$H$5:$H$13/12-'3. Assumptions'!$B$16)-'2. The tape'!$C$5:$C$13*'2. The tape'!$I$5:$I$13*(1+'3. Assumptions'!$B$12)^(A67/4))&gt;0)*('2. The tape'!$C$5:$C$13*'2. The tape'!$D$5:$D$13*(1-'2. The tape'!$J$5:$J$13)^(A67/4)*(1+'3. Assumptions'!$B$12)^(A67/4)*((1-'3. Assumptions'!$B$13)/('3. Assumptions'!$B$5)-'2. The tape'!$H$5:$H$13/12-'3. Assumptions'!$B$16)-'2. The tape'!$C$5:$C$13*'2. The tape'!$I$5:$I$13*(1+'3. Assumptions'!$B$12)^(A67/4)))</f>
        <v>76030448.2842315</v>
      </c>
      <c r="E67" s="37" t="n">
        <f aca="false">1/(1+(1+'3. Assumptions'!$B$28)^0.25-1)^A67</f>
        <v>0.562083532330155</v>
      </c>
      <c r="F67" s="37" t="n">
        <f aca="false">1/(1+(1+'3. Assumptions'!$B$29)^0.25-1)^A67</f>
        <v>0.331910445444659</v>
      </c>
      <c r="G67" s="15" t="n">
        <f aca="false">B67*(1-$D$4)*C67*E67+B67*$D$4*D67*F67</f>
        <v>1002993.1913164</v>
      </c>
    </row>
    <row r="68" customFormat="false" ht="15" hidden="false" customHeight="false" outlineLevel="0" collapsed="false">
      <c r="A68" s="0" t="n">
        <v>62</v>
      </c>
      <c r="B68" s="37" t="n">
        <f aca="false">IF(A68=1,1,B67*(1-$D$4))</f>
        <v>0.363728457424987</v>
      </c>
      <c r="C68" s="15" t="n">
        <f aca="false">'2. The tape'!$C$17*(1+MIN(MAX('3. Assumptions'!$B$12,'3. Assumptions'!$B$11),'3. Assumptions'!$B$10))^INT((A68-1)/4)/4*(1-'3. Assumptions'!$B$13)</f>
        <v>4155356.45026212</v>
      </c>
      <c r="D68" s="15" t="n">
        <f aca="false">(1-'3. Assumptions'!$B$15)*SUMPRODUCT((('2. The tape'!$C$5:$C$13*'2. The tape'!$D$5:$D$13*(1-'2. The tape'!$J$5:$J$13)^(A68/4)*(1+'3. Assumptions'!$B$12)^(A68/4)*((1-'3. Assumptions'!$B$13)/('3. Assumptions'!$B$5)-'2. The tape'!$H$5:$H$13/12-'3. Assumptions'!$B$16)-'2. The tape'!$C$5:$C$13*'2. The tape'!$I$5:$I$13*(1+'3. Assumptions'!$B$12)^(A68/4))&gt;0)*('2. The tape'!$C$5:$C$13*'2. The tape'!$D$5:$D$13*(1-'2. The tape'!$J$5:$J$13)^(A68/4)*(1+'3. Assumptions'!$B$12)^(A68/4)*((1-'3. Assumptions'!$B$13)/('3. Assumptions'!$B$5)-'2. The tape'!$H$5:$H$13/12-'3. Assumptions'!$B$16)-'2. The tape'!$C$5:$C$13*'2. The tape'!$I$5:$I$13*(1+'3. Assumptions'!$B$12)^(A68/4)))</f>
        <v>75925453.5060168</v>
      </c>
      <c r="E68" s="37" t="n">
        <f aca="false">1/(1+(1+'3. Assumptions'!$B$28)^0.25-1)^A68</f>
        <v>0.556800012686382</v>
      </c>
      <c r="F68" s="37" t="n">
        <f aca="false">1/(1+(1+'3. Assumptions'!$B$29)^0.25-1)^A68</f>
        <v>0.325963373718422</v>
      </c>
      <c r="G68" s="15" t="n">
        <f aca="false">B68*(1-$D$4)*C68*E68+B68*$D$4*D68*F68</f>
        <v>975737.953570705</v>
      </c>
    </row>
    <row r="69" customFormat="false" ht="15" hidden="false" customHeight="false" outlineLevel="0" collapsed="false">
      <c r="A69" s="0" t="n">
        <v>63</v>
      </c>
      <c r="B69" s="37" t="n">
        <f aca="false">IF(A69=1,1,B68*(1-$D$4))</f>
        <v>0.35774774777838</v>
      </c>
      <c r="C69" s="15" t="n">
        <f aca="false">'2. The tape'!$C$17*(1+MIN(MAX('3. Assumptions'!$B$12,'3. Assumptions'!$B$11),'3. Assumptions'!$B$10))^INT((A69-1)/4)/4*(1-'3. Assumptions'!$B$13)</f>
        <v>4155356.45026212</v>
      </c>
      <c r="D69" s="15" t="n">
        <f aca="false">(1-'3. Assumptions'!$B$15)*SUMPRODUCT((('2. The tape'!$C$5:$C$13*'2. The tape'!$D$5:$D$13*(1-'2. The tape'!$J$5:$J$13)^(A69/4)*(1+'3. Assumptions'!$B$12)^(A69/4)*((1-'3. Assumptions'!$B$13)/('3. Assumptions'!$B$5)-'2. The tape'!$H$5:$H$13/12-'3. Assumptions'!$B$16)-'2. The tape'!$C$5:$C$13*'2. The tape'!$I$5:$I$13*(1+'3. Assumptions'!$B$12)^(A69/4))&gt;0)*('2. The tape'!$C$5:$C$13*'2. The tape'!$D$5:$D$13*(1-'2. The tape'!$J$5:$J$13)^(A69/4)*(1+'3. Assumptions'!$B$12)^(A69/4)*((1-'3. Assumptions'!$B$13)/('3. Assumptions'!$B$5)-'2. The tape'!$H$5:$H$13/12-'3. Assumptions'!$B$16)-'2. The tape'!$C$5:$C$13*'2. The tape'!$I$5:$I$13*(1+'3. Assumptions'!$B$12)^(A69/4)))</f>
        <v>75820111.2057621</v>
      </c>
      <c r="E69" s="37" t="n">
        <f aca="false">1/(1+(1+'3. Assumptions'!$B$28)^0.25-1)^A69</f>
        <v>0.551566157511003</v>
      </c>
      <c r="F69" s="37" t="n">
        <f aca="false">1/(1+(1+'3. Assumptions'!$B$29)^0.25-1)^A69</f>
        <v>0.320122859838142</v>
      </c>
      <c r="G69" s="15" t="n">
        <f aca="false">B69*(1-$D$4)*C69*E69+B69*$D$4*D69*F69</f>
        <v>949234.67803519</v>
      </c>
    </row>
    <row r="70" customFormat="false" ht="15" hidden="false" customHeight="false" outlineLevel="0" collapsed="false">
      <c r="A70" s="0" t="n">
        <v>64</v>
      </c>
      <c r="B70" s="37" t="n">
        <f aca="false">IF(A70=1,1,B69*(1-$D$4))</f>
        <v>0.351865377668167</v>
      </c>
      <c r="C70" s="15" t="n">
        <f aca="false">'2. The tape'!$C$17*(1+MIN(MAX('3. Assumptions'!$B$12,'3. Assumptions'!$B$11),'3. Assumptions'!$B$10))^INT((A70-1)/4)/4*(1-'3. Assumptions'!$B$13)</f>
        <v>4155356.45026212</v>
      </c>
      <c r="D70" s="15" t="n">
        <f aca="false">(1-'3. Assumptions'!$B$15)*SUMPRODUCT((('2. The tape'!$C$5:$C$13*'2. The tape'!$D$5:$D$13*(1-'2. The tape'!$J$5:$J$13)^(A70/4)*(1+'3. Assumptions'!$B$12)^(A70/4)*((1-'3. Assumptions'!$B$13)/('3. Assumptions'!$B$5)-'2. The tape'!$H$5:$H$13/12-'3. Assumptions'!$B$16)-'2. The tape'!$C$5:$C$13*'2. The tape'!$I$5:$I$13*(1+'3. Assumptions'!$B$12)^(A70/4))&gt;0)*('2. The tape'!$C$5:$C$13*'2. The tape'!$D$5:$D$13*(1-'2. The tape'!$J$5:$J$13)^(A70/4)*(1+'3. Assumptions'!$B$12)^(A70/4)*((1-'3. Assumptions'!$B$13)/('3. Assumptions'!$B$5)-'2. The tape'!$H$5:$H$13/12-'3. Assumptions'!$B$16)-'2. The tape'!$C$5:$C$13*'2. The tape'!$I$5:$I$13*(1+'3. Assumptions'!$B$12)^(A70/4)))</f>
        <v>75714417.9372775</v>
      </c>
      <c r="E70" s="37" t="n">
        <f aca="false">1/(1+(1+'3. Assumptions'!$B$28)^0.25-1)^A70</f>
        <v>0.546381499963808</v>
      </c>
      <c r="F70" s="37" t="n">
        <f aca="false">1/(1+(1+'3. Assumptions'!$B$29)^0.25-1)^A70</f>
        <v>0.314386994532321</v>
      </c>
      <c r="G70" s="15" t="n">
        <f aca="false">B70*(1-$D$4)*C70*E70+B70*$D$4*D70*F70</f>
        <v>923462.245792103</v>
      </c>
    </row>
    <row r="71" customFormat="false" ht="15" hidden="false" customHeight="false" outlineLevel="0" collapsed="false">
      <c r="A71" s="0" t="n">
        <v>65</v>
      </c>
      <c r="B71" s="37" t="n">
        <f aca="false">IF(A71=1,1,B70*(1-$D$4))</f>
        <v>0.346079730118274</v>
      </c>
      <c r="C71" s="15" t="n">
        <f aca="false">'2. The tape'!$C$17*(1+MIN(MAX('3. Assumptions'!$B$12,'3. Assumptions'!$B$11),'3. Assumptions'!$B$10))^INT((A71-1)/4)/4*(1-'3. Assumptions'!$B$13)</f>
        <v>4246774.29216789</v>
      </c>
      <c r="D71" s="15" t="n">
        <f aca="false">(1-'3. Assumptions'!$B$15)*SUMPRODUCT((('2. The tape'!$C$5:$C$13*'2. The tape'!$D$5:$D$13*(1-'2. The tape'!$J$5:$J$13)^(A71/4)*(1+'3. Assumptions'!$B$12)^(A71/4)*((1-'3. Assumptions'!$B$13)/('3. Assumptions'!$B$5)-'2. The tape'!$H$5:$H$13/12-'3. Assumptions'!$B$16)-'2. The tape'!$C$5:$C$13*'2. The tape'!$I$5:$I$13*(1+'3. Assumptions'!$B$12)^(A71/4))&gt;0)*('2. The tape'!$C$5:$C$13*'2. The tape'!$D$5:$D$13*(1-'2. The tape'!$J$5:$J$13)^(A71/4)*(1+'3. Assumptions'!$B$12)^(A71/4)*((1-'3. Assumptions'!$B$13)/('3. Assumptions'!$B$5)-'2. The tape'!$H$5:$H$13/12-'3. Assumptions'!$B$16)-'2. The tape'!$C$5:$C$13*'2. The tape'!$I$5:$I$13*(1+'3. Assumptions'!$B$12)^(A71/4)))</f>
        <v>75608370.2369812</v>
      </c>
      <c r="E71" s="37" t="n">
        <f aca="false">1/(1+(1+'3. Assumptions'!$B$28)^0.25-1)^A71</f>
        <v>0.54124557759283</v>
      </c>
      <c r="F71" s="37" t="n">
        <f aca="false">1/(1+(1+'3. Assumptions'!$B$29)^0.25-1)^A71</f>
        <v>0.308753902739218</v>
      </c>
      <c r="G71" s="15" t="n">
        <f aca="false">B71*(1-$D$4)*C71*E71+B71*$D$4*D71*F71</f>
        <v>915242.432187117</v>
      </c>
    </row>
    <row r="72" customFormat="false" ht="15" hidden="false" customHeight="false" outlineLevel="0" collapsed="false">
      <c r="A72" s="0" t="n">
        <v>66</v>
      </c>
      <c r="B72" s="37" t="n">
        <f aca="false">IF(A72=1,1,B71*(1-$D$4))</f>
        <v>0.340389214740217</v>
      </c>
      <c r="C72" s="15" t="n">
        <f aca="false">'2. The tape'!$C$17*(1+MIN(MAX('3. Assumptions'!$B$12,'3. Assumptions'!$B$11),'3. Assumptions'!$B$10))^INT((A72-1)/4)/4*(1-'3. Assumptions'!$B$13)</f>
        <v>4246774.29216789</v>
      </c>
      <c r="D72" s="15" t="n">
        <f aca="false">(1-'3. Assumptions'!$B$15)*SUMPRODUCT((('2. The tape'!$C$5:$C$13*'2. The tape'!$D$5:$D$13*(1-'2. The tape'!$J$5:$J$13)^(A72/4)*(1+'3. Assumptions'!$B$12)^(A72/4)*((1-'3. Assumptions'!$B$13)/('3. Assumptions'!$B$5)-'2. The tape'!$H$5:$H$13/12-'3. Assumptions'!$B$16)-'2. The tape'!$C$5:$C$13*'2. The tape'!$I$5:$I$13*(1+'3. Assumptions'!$B$12)^(A72/4))&gt;0)*('2. The tape'!$C$5:$C$13*'2. The tape'!$D$5:$D$13*(1-'2. The tape'!$J$5:$J$13)^(A72/4)*(1+'3. Assumptions'!$B$12)^(A72/4)*((1-'3. Assumptions'!$B$13)/('3. Assumptions'!$B$5)-'2. The tape'!$H$5:$H$13/12-'3. Assumptions'!$B$16)-'2. The tape'!$C$5:$C$13*'2. The tape'!$I$5:$I$13*(1+'3. Assumptions'!$B$12)^(A72/4)))</f>
        <v>75501964.6237986</v>
      </c>
      <c r="E72" s="37" t="n">
        <f aca="false">1/(1+(1+'3. Assumptions'!$B$28)^0.25-1)^A72</f>
        <v>0.536157932293097</v>
      </c>
      <c r="F72" s="37" t="n">
        <f aca="false">1/(1+(1+'3. Assumptions'!$B$29)^0.25-1)^A72</f>
        <v>0.303221742993881</v>
      </c>
      <c r="G72" s="15" t="n">
        <f aca="false">B72*(1-$D$4)*C72*E72+B72*$D$4*D72*F72</f>
        <v>890438.08631632</v>
      </c>
    </row>
    <row r="73" customFormat="false" ht="15" hidden="false" customHeight="false" outlineLevel="0" collapsed="false">
      <c r="A73" s="0" t="n">
        <v>67</v>
      </c>
      <c r="B73" s="37" t="n">
        <f aca="false">IF(A73=1,1,B72*(1-$D$4))</f>
        <v>0.334792267295934</v>
      </c>
      <c r="C73" s="15" t="n">
        <f aca="false">'2. The tape'!$C$17*(1+MIN(MAX('3. Assumptions'!$B$12,'3. Assumptions'!$B$11),'3. Assumptions'!$B$10))^INT((A73-1)/4)/4*(1-'3. Assumptions'!$B$13)</f>
        <v>4246774.29216789</v>
      </c>
      <c r="D73" s="15" t="n">
        <f aca="false">(1-'3. Assumptions'!$B$15)*SUMPRODUCT((('2. The tape'!$C$5:$C$13*'2. The tape'!$D$5:$D$13*(1-'2. The tape'!$J$5:$J$13)^(A73/4)*(1+'3. Assumptions'!$B$12)^(A73/4)*((1-'3. Assumptions'!$B$13)/('3. Assumptions'!$B$5)-'2. The tape'!$H$5:$H$13/12-'3. Assumptions'!$B$16)-'2. The tape'!$C$5:$C$13*'2. The tape'!$I$5:$I$13*(1+'3. Assumptions'!$B$12)^(A73/4))&gt;0)*('2. The tape'!$C$5:$C$13*'2. The tape'!$D$5:$D$13*(1-'2. The tape'!$J$5:$J$13)^(A73/4)*(1+'3. Assumptions'!$B$12)^(A73/4)*((1-'3. Assumptions'!$B$13)/('3. Assumptions'!$B$5)-'2. The tape'!$H$5:$H$13/12-'3. Assumptions'!$B$16)-'2. The tape'!$C$5:$C$13*'2. The tape'!$I$5:$I$13*(1+'3. Assumptions'!$B$12)^(A73/4)))</f>
        <v>75395197.5990609</v>
      </c>
      <c r="E73" s="37" t="n">
        <f aca="false">1/(1+(1+'3. Assumptions'!$B$28)^0.25-1)^A73</f>
        <v>0.531118110265771</v>
      </c>
      <c r="F73" s="37" t="n">
        <f aca="false">1/(1+(1+'3. Assumptions'!$B$29)^0.25-1)^A73</f>
        <v>0.297788706826178</v>
      </c>
      <c r="G73" s="15" t="n">
        <f aca="false">B73*(1-$D$4)*C73*E73+B73*$D$4*D73*F73</f>
        <v>866315.901745225</v>
      </c>
    </row>
    <row r="74" customFormat="false" ht="15" hidden="false" customHeight="false" outlineLevel="0" collapsed="false">
      <c r="A74" s="0" t="n">
        <v>68</v>
      </c>
      <c r="B74" s="37" t="n">
        <f aca="false">IF(A74=1,1,B73*(1-$D$4))</f>
        <v>0.329287349267793</v>
      </c>
      <c r="C74" s="15" t="n">
        <f aca="false">'2. The tape'!$C$17*(1+MIN(MAX('3. Assumptions'!$B$12,'3. Assumptions'!$B$11),'3. Assumptions'!$B$10))^INT((A74-1)/4)/4*(1-'3. Assumptions'!$B$13)</f>
        <v>4246774.29216789</v>
      </c>
      <c r="D74" s="15" t="n">
        <f aca="false">(1-'3. Assumptions'!$B$15)*SUMPRODUCT((('2. The tape'!$C$5:$C$13*'2. The tape'!$D$5:$D$13*(1-'2. The tape'!$J$5:$J$13)^(A74/4)*(1+'3. Assumptions'!$B$12)^(A74/4)*((1-'3. Assumptions'!$B$13)/('3. Assumptions'!$B$5)-'2. The tape'!$H$5:$H$13/12-'3. Assumptions'!$B$16)-'2. The tape'!$C$5:$C$13*'2. The tape'!$I$5:$I$13*(1+'3. Assumptions'!$B$12)^(A74/4))&gt;0)*('2. The tape'!$C$5:$C$13*'2. The tape'!$D$5:$D$13*(1-'2. The tape'!$J$5:$J$13)^(A74/4)*(1+'3. Assumptions'!$B$12)^(A74/4)*((1-'3. Assumptions'!$B$13)/('3. Assumptions'!$B$5)-'2. The tape'!$H$5:$H$13/12-'3. Assumptions'!$B$16)-'2. The tape'!$C$5:$C$13*'2. The tape'!$I$5:$I$13*(1+'3. Assumptions'!$B$12)^(A74/4)))</f>
        <v>75288065.6464032</v>
      </c>
      <c r="E74" s="37" t="n">
        <f aca="false">1/(1+(1+'3. Assumptions'!$B$28)^0.25-1)^A74</f>
        <v>0.526125661977668</v>
      </c>
      <c r="F74" s="37" t="n">
        <f aca="false">1/(1+(1+'3. Assumptions'!$B$29)^0.25-1)^A74</f>
        <v>0.292453018169601</v>
      </c>
      <c r="G74" s="15" t="n">
        <f aca="false">B74*(1-$D$4)*C74*E74+B74*$D$4*D74*F74</f>
        <v>842856.790642812</v>
      </c>
    </row>
    <row r="75" customFormat="false" ht="15" hidden="false" customHeight="false" outlineLevel="0" collapsed="false">
      <c r="A75" s="0" t="n">
        <v>69</v>
      </c>
      <c r="B75" s="37" t="n">
        <f aca="false">IF(A75=1,1,B74*(1-$D$4))</f>
        <v>0.323872947435685</v>
      </c>
      <c r="C75" s="15" t="n">
        <f aca="false">'2. The tape'!$C$17*(1+MIN(MAX('3. Assumptions'!$B$12,'3. Assumptions'!$B$11),'3. Assumptions'!$B$10))^INT((A75-1)/4)/4*(1-'3. Assumptions'!$B$13)</f>
        <v>4340203.32659558</v>
      </c>
      <c r="D75" s="15" t="n">
        <f aca="false">(1-'3. Assumptions'!$B$15)*SUMPRODUCT((('2. The tape'!$C$5:$C$13*'2. The tape'!$D$5:$D$13*(1-'2. The tape'!$J$5:$J$13)^(A75/4)*(1+'3. Assumptions'!$B$12)^(A75/4)*((1-'3. Assumptions'!$B$13)/('3. Assumptions'!$B$5)-'2. The tape'!$H$5:$H$13/12-'3. Assumptions'!$B$16)-'2. The tape'!$C$5:$C$13*'2. The tape'!$I$5:$I$13*(1+'3. Assumptions'!$B$12)^(A75/4))&gt;0)*('2. The tape'!$C$5:$C$13*'2. The tape'!$D$5:$D$13*(1-'2. The tape'!$J$5:$J$13)^(A75/4)*(1+'3. Assumptions'!$B$12)^(A75/4)*((1-'3. Assumptions'!$B$13)/('3. Assumptions'!$B$5)-'2. The tape'!$H$5:$H$13/12-'3. Assumptions'!$B$16)-'2. The tape'!$C$5:$C$13*'2. The tape'!$I$5:$I$13*(1+'3. Assumptions'!$B$12)^(A75/4)))</f>
        <v>75180565.2316621</v>
      </c>
      <c r="E75" s="37" t="n">
        <f aca="false">1/(1+(1+'3. Assumptions'!$B$28)^0.25-1)^A75</f>
        <v>0.521180142121165</v>
      </c>
      <c r="F75" s="37" t="n">
        <f aca="false">1/(1+(1+'3. Assumptions'!$B$29)^0.25-1)^A75</f>
        <v>0.287212932780667</v>
      </c>
      <c r="G75" s="15" t="n">
        <f aca="false">B75*(1-$D$4)*C75*E75+B75*$D$4*D75*F75</f>
        <v>835553.360786213</v>
      </c>
    </row>
    <row r="76" customFormat="false" ht="15" hidden="false" customHeight="false" outlineLevel="0" collapsed="false">
      <c r="A76" s="0" t="n">
        <v>70</v>
      </c>
      <c r="B76" s="37" t="n">
        <f aca="false">IF(A76=1,1,B75*(1-$D$4))</f>
        <v>0.318547573461053</v>
      </c>
      <c r="C76" s="15" t="n">
        <f aca="false">'2. The tape'!$C$17*(1+MIN(MAX('3. Assumptions'!$B$12,'3. Assumptions'!$B$11),'3. Assumptions'!$B$10))^INT((A76-1)/4)/4*(1-'3. Assumptions'!$B$13)</f>
        <v>4340203.32659558</v>
      </c>
      <c r="D76" s="15" t="n">
        <f aca="false">(1-'3. Assumptions'!$B$15)*SUMPRODUCT((('2. The tape'!$C$5:$C$13*'2. The tape'!$D$5:$D$13*(1-'2. The tape'!$J$5:$J$13)^(A76/4)*(1+'3. Assumptions'!$B$12)^(A76/4)*((1-'3. Assumptions'!$B$13)/('3. Assumptions'!$B$5)-'2. The tape'!$H$5:$H$13/12-'3. Assumptions'!$B$16)-'2. The tape'!$C$5:$C$13*'2. The tape'!$I$5:$I$13*(1+'3. Assumptions'!$B$12)^(A76/4))&gt;0)*('2. The tape'!$C$5:$C$13*'2. The tape'!$D$5:$D$13*(1-'2. The tape'!$J$5:$J$13)^(A76/4)*(1+'3. Assumptions'!$B$12)^(A76/4)*((1-'3. Assumptions'!$B$13)/('3. Assumptions'!$B$5)-'2. The tape'!$H$5:$H$13/12-'3. Assumptions'!$B$16)-'2. The tape'!$C$5:$C$13*'2. The tape'!$I$5:$I$13*(1+'3. Assumptions'!$B$12)^(A76/4)))</f>
        <v>75072692.8027724</v>
      </c>
      <c r="E76" s="37" t="n">
        <f aca="false">1/(1+(1+'3. Assumptions'!$B$28)^0.25-1)^A76</f>
        <v>0.51628110957448</v>
      </c>
      <c r="F76" s="37" t="n">
        <f aca="false">1/(1+(1+'3. Assumptions'!$B$29)^0.25-1)^A76</f>
        <v>0.282066737668727</v>
      </c>
      <c r="G76" s="15" t="n">
        <f aca="false">B76*(1-$D$4)*C76*E76+B76*$D$4*D76*F76</f>
        <v>812966.844091688</v>
      </c>
    </row>
    <row r="77" customFormat="false" ht="15" hidden="false" customHeight="false" outlineLevel="0" collapsed="false">
      <c r="A77" s="0" t="n">
        <v>71</v>
      </c>
      <c r="B77" s="37" t="n">
        <f aca="false">IF(A77=1,1,B76*(1-$D$4))</f>
        <v>0.313309763477778</v>
      </c>
      <c r="C77" s="15" t="n">
        <f aca="false">'2. The tape'!$C$17*(1+MIN(MAX('3. Assumptions'!$B$12,'3. Assumptions'!$B$11),'3. Assumptions'!$B$10))^INT((A77-1)/4)/4*(1-'3. Assumptions'!$B$13)</f>
        <v>4340203.32659558</v>
      </c>
      <c r="D77" s="15" t="n">
        <f aca="false">(1-'3. Assumptions'!$B$15)*SUMPRODUCT((('2. The tape'!$C$5:$C$13*'2. The tape'!$D$5:$D$13*(1-'2. The tape'!$J$5:$J$13)^(A77/4)*(1+'3. Assumptions'!$B$12)^(A77/4)*((1-'3. Assumptions'!$B$13)/('3. Assumptions'!$B$5)-'2. The tape'!$H$5:$H$13/12-'3. Assumptions'!$B$16)-'2. The tape'!$C$5:$C$13*'2. The tape'!$I$5:$I$13*(1+'3. Assumptions'!$B$12)^(A77/4))&gt;0)*('2. The tape'!$C$5:$C$13*'2. The tape'!$D$5:$D$13*(1-'2. The tape'!$J$5:$J$13)^(A77/4)*(1+'3. Assumptions'!$B$12)^(A77/4)*((1-'3. Assumptions'!$B$13)/('3. Assumptions'!$B$5)-'2. The tape'!$H$5:$H$13/12-'3. Assumptions'!$B$16)-'2. The tape'!$C$5:$C$13*'2. The tape'!$I$5:$I$13*(1+'3. Assumptions'!$B$12)^(A77/4)))</f>
        <v>74964444.7896638</v>
      </c>
      <c r="E77" s="37" t="n">
        <f aca="false">1/(1+(1+'3. Assumptions'!$B$28)^0.25-1)^A77</f>
        <v>0.511428127362321</v>
      </c>
      <c r="F77" s="37" t="n">
        <f aca="false">1/(1+(1+'3. Assumptions'!$B$29)^0.25-1)^A77</f>
        <v>0.27701275053598</v>
      </c>
      <c r="G77" s="15" t="n">
        <f aca="false">B77*(1-$D$4)*C77*E77+B77*$D$4*D77*F77</f>
        <v>790999.57828744</v>
      </c>
    </row>
    <row r="78" customFormat="false" ht="15" hidden="false" customHeight="false" outlineLevel="0" collapsed="false">
      <c r="A78" s="0" t="n">
        <v>72</v>
      </c>
      <c r="B78" s="37" t="n">
        <f aca="false">IF(A78=1,1,B77*(1-$D$4))</f>
        <v>0.308158077689777</v>
      </c>
      <c r="C78" s="15" t="n">
        <f aca="false">'2. The tape'!$C$17*(1+MIN(MAX('3. Assumptions'!$B$12,'3. Assumptions'!$B$11),'3. Assumptions'!$B$10))^INT((A78-1)/4)/4*(1-'3. Assumptions'!$B$13)</f>
        <v>4340203.32659558</v>
      </c>
      <c r="D78" s="15" t="n">
        <f aca="false">(1-'3. Assumptions'!$B$15)*SUMPRODUCT((('2. The tape'!$C$5:$C$13*'2. The tape'!$D$5:$D$13*(1-'2. The tape'!$J$5:$J$13)^(A78/4)*(1+'3. Assumptions'!$B$12)^(A78/4)*((1-'3. Assumptions'!$B$13)/('3. Assumptions'!$B$5)-'2. The tape'!$H$5:$H$13/12-'3. Assumptions'!$B$16)-'2. The tape'!$C$5:$C$13*'2. The tape'!$I$5:$I$13*(1+'3. Assumptions'!$B$12)^(A78/4))&gt;0)*('2. The tape'!$C$5:$C$13*'2. The tape'!$D$5:$D$13*(1-'2. The tape'!$J$5:$J$13)^(A78/4)*(1+'3. Assumptions'!$B$12)^(A78/4)*((1-'3. Assumptions'!$B$13)/('3. Assumptions'!$B$5)-'2. The tape'!$H$5:$H$13/12-'3. Assumptions'!$B$16)-'2. The tape'!$C$5:$C$13*'2. The tape'!$I$5:$I$13*(1+'3. Assumptions'!$B$12)^(A78/4)))</f>
        <v>74855817.6041566</v>
      </c>
      <c r="E78" s="37" t="n">
        <f aca="false">1/(1+(1+'3. Assumptions'!$B$28)^0.25-1)^A78</f>
        <v>0.506620762616916</v>
      </c>
      <c r="F78" s="37" t="n">
        <f aca="false">1/(1+(1+'3. Assumptions'!$B$29)^0.25-1)^A78</f>
        <v>0.272049319227536</v>
      </c>
      <c r="G78" s="15" t="n">
        <f aca="false">B78*(1-$D$4)*C78*E78+B78*$D$4*D78*F78</f>
        <v>769634.298172837</v>
      </c>
    </row>
    <row r="79" customFormat="false" ht="15" hidden="false" customHeight="false" outlineLevel="0" collapsed="false">
      <c r="A79" s="0" t="n">
        <v>73</v>
      </c>
      <c r="B79" s="37" t="n">
        <f aca="false">IF(A79=1,1,B78*(1-$D$4))</f>
        <v>0.303091099975229</v>
      </c>
      <c r="C79" s="15" t="n">
        <f aca="false">'2. The tape'!$C$17*(1+MIN(MAX('3. Assumptions'!$B$12,'3. Assumptions'!$B$11),'3. Assumptions'!$B$10))^INT((A79-1)/4)/4*(1-'3. Assumptions'!$B$13)</f>
        <v>4435687.79978068</v>
      </c>
      <c r="D79" s="15" t="n">
        <f aca="false">(1-'3. Assumptions'!$B$15)*SUMPRODUCT((('2. The tape'!$C$5:$C$13*'2. The tape'!$D$5:$D$13*(1-'2. The tape'!$J$5:$J$13)^(A79/4)*(1+'3. Assumptions'!$B$12)^(A79/4)*((1-'3. Assumptions'!$B$13)/('3. Assumptions'!$B$5)-'2. The tape'!$H$5:$H$13/12-'3. Assumptions'!$B$16)-'2. The tape'!$C$5:$C$13*'2. The tape'!$I$5:$I$13*(1+'3. Assumptions'!$B$12)^(A79/4))&gt;0)*('2. The tape'!$C$5:$C$13*'2. The tape'!$D$5:$D$13*(1-'2. The tape'!$J$5:$J$13)^(A79/4)*(1+'3. Assumptions'!$B$12)^(A79/4)*((1-'3. Assumptions'!$B$13)/('3. Assumptions'!$B$5)-'2. The tape'!$H$5:$H$13/12-'3. Assumptions'!$B$16)-'2. The tape'!$C$5:$C$13*'2. The tape'!$I$5:$I$13*(1+'3. Assumptions'!$B$12)^(A79/4)))</f>
        <v>74746807.639857</v>
      </c>
      <c r="E79" s="37" t="n">
        <f aca="false">1/(1+(1+'3. Assumptions'!$B$28)^0.25-1)^A79</f>
        <v>0.501858586539398</v>
      </c>
      <c r="F79" s="37" t="n">
        <f aca="false">1/(1+(1+'3. Assumptions'!$B$29)^0.25-1)^A79</f>
        <v>0.267174821191318</v>
      </c>
      <c r="G79" s="15" t="n">
        <f aca="false">B79*(1-$D$4)*C79*E79+B79*$D$4*D79*F79</f>
        <v>763139.449080655</v>
      </c>
    </row>
    <row r="80" customFormat="false" ht="15" hidden="false" customHeight="false" outlineLevel="0" collapsed="false">
      <c r="A80" s="0" t="n">
        <v>74</v>
      </c>
      <c r="B80" s="37" t="n">
        <f aca="false">IF(A80=1,1,B79*(1-$D$4))</f>
        <v>0.298107437497303</v>
      </c>
      <c r="C80" s="15" t="n">
        <f aca="false">'2. The tape'!$C$17*(1+MIN(MAX('3. Assumptions'!$B$12,'3. Assumptions'!$B$11),'3. Assumptions'!$B$10))^INT((A80-1)/4)/4*(1-'3. Assumptions'!$B$13)</f>
        <v>4435687.79978068</v>
      </c>
      <c r="D80" s="15" t="n">
        <f aca="false">(1-'3. Assumptions'!$B$15)*SUMPRODUCT((('2. The tape'!$C$5:$C$13*'2. The tape'!$D$5:$D$13*(1-'2. The tape'!$J$5:$J$13)^(A80/4)*(1+'3. Assumptions'!$B$12)^(A80/4)*((1-'3. Assumptions'!$B$13)/('3. Assumptions'!$B$5)-'2. The tape'!$H$5:$H$13/12-'3. Assumptions'!$B$16)-'2. The tape'!$C$5:$C$13*'2. The tape'!$I$5:$I$13*(1+'3. Assumptions'!$B$12)^(A80/4))&gt;0)*('2. The tape'!$C$5:$C$13*'2. The tape'!$D$5:$D$13*(1-'2. The tape'!$J$5:$J$13)^(A80/4)*(1+'3. Assumptions'!$B$12)^(A80/4)*((1-'3. Assumptions'!$B$13)/('3. Assumptions'!$B$5)-'2. The tape'!$H$5:$H$13/12-'3. Assumptions'!$B$16)-'2. The tape'!$C$5:$C$13*'2. The tape'!$I$5:$I$13*(1+'3. Assumptions'!$B$12)^(A80/4)))</f>
        <v>74637411.2720519</v>
      </c>
      <c r="E80" s="37" t="n">
        <f aca="false">1/(1+(1+'3. Assumptions'!$B$28)^0.25-1)^A80</f>
        <v>0.497141174361559</v>
      </c>
      <c r="F80" s="37" t="n">
        <f aca="false">1/(1+(1+'3. Assumptions'!$B$29)^0.25-1)^A80</f>
        <v>0.262387662947652</v>
      </c>
      <c r="G80" s="15" t="n">
        <f aca="false">B80*(1-$D$4)*C80*E80+B80*$D$4*D80*F80</f>
        <v>742561.333156044</v>
      </c>
    </row>
    <row r="81" customFormat="false" ht="15" hidden="false" customHeight="false" outlineLevel="0" collapsed="false">
      <c r="A81" s="0" t="n">
        <v>75</v>
      </c>
      <c r="B81" s="37" t="n">
        <f aca="false">IF(A81=1,1,B80*(1-$D$4))</f>
        <v>0.293205720321287</v>
      </c>
      <c r="C81" s="15" t="n">
        <f aca="false">'2. The tape'!$C$17*(1+MIN(MAX('3. Assumptions'!$B$12,'3. Assumptions'!$B$11),'3. Assumptions'!$B$10))^INT((A81-1)/4)/4*(1-'3. Assumptions'!$B$13)</f>
        <v>4435687.79978068</v>
      </c>
      <c r="D81" s="15" t="n">
        <f aca="false">(1-'3. Assumptions'!$B$15)*SUMPRODUCT((('2. The tape'!$C$5:$C$13*'2. The tape'!$D$5:$D$13*(1-'2. The tape'!$J$5:$J$13)^(A81/4)*(1+'3. Assumptions'!$B$12)^(A81/4)*((1-'3. Assumptions'!$B$13)/('3. Assumptions'!$B$5)-'2. The tape'!$H$5:$H$13/12-'3. Assumptions'!$B$16)-'2. The tape'!$C$5:$C$13*'2. The tape'!$I$5:$I$13*(1+'3. Assumptions'!$B$12)^(A81/4))&gt;0)*('2. The tape'!$C$5:$C$13*'2. The tape'!$D$5:$D$13*(1-'2. The tape'!$J$5:$J$13)^(A81/4)*(1+'3. Assumptions'!$B$12)^(A81/4)*((1-'3. Assumptions'!$B$13)/('3. Assumptions'!$B$5)-'2. The tape'!$H$5:$H$13/12-'3. Assumptions'!$B$16)-'2. The tape'!$C$5:$C$13*'2. The tape'!$I$5:$I$13*(1+'3. Assumptions'!$B$12)^(A81/4)))</f>
        <v>74527624.8576031</v>
      </c>
      <c r="E81" s="37" t="n">
        <f aca="false">1/(1+(1+'3. Assumptions'!$B$28)^0.25-1)^A81</f>
        <v>0.492468105307964</v>
      </c>
      <c r="F81" s="37" t="n">
        <f aca="false">1/(1+(1+'3. Assumptions'!$B$29)^0.25-1)^A81</f>
        <v>0.257686279568353</v>
      </c>
      <c r="G81" s="15" t="n">
        <f aca="false">B81*(1-$D$4)*C81*E81+B81*$D$4*D81*F81</f>
        <v>722545.721706439</v>
      </c>
    </row>
    <row r="82" customFormat="false" ht="15" hidden="false" customHeight="false" outlineLevel="0" collapsed="false">
      <c r="A82" s="0" t="n">
        <v>76</v>
      </c>
      <c r="B82" s="37" t="n">
        <f aca="false">IF(A82=1,1,B81*(1-$D$4))</f>
        <v>0.288384601038016</v>
      </c>
      <c r="C82" s="15" t="n">
        <f aca="false">'2. The tape'!$C$17*(1+MIN(MAX('3. Assumptions'!$B$12,'3. Assumptions'!$B$11),'3. Assumptions'!$B$10))^INT((A82-1)/4)/4*(1-'3. Assumptions'!$B$13)</f>
        <v>4435687.79978068</v>
      </c>
      <c r="D82" s="15" t="n">
        <f aca="false">(1-'3. Assumptions'!$B$15)*SUMPRODUCT((('2. The tape'!$C$5:$C$13*'2. The tape'!$D$5:$D$13*(1-'2. The tape'!$J$5:$J$13)^(A82/4)*(1+'3. Assumptions'!$B$12)^(A82/4)*((1-'3. Assumptions'!$B$13)/('3. Assumptions'!$B$5)-'2. The tape'!$H$5:$H$13/12-'3. Assumptions'!$B$16)-'2. The tape'!$C$5:$C$13*'2. The tape'!$I$5:$I$13*(1+'3. Assumptions'!$B$12)^(A82/4))&gt;0)*('2. The tape'!$C$5:$C$13*'2. The tape'!$D$5:$D$13*(1-'2. The tape'!$J$5:$J$13)^(A82/4)*(1+'3. Assumptions'!$B$12)^(A82/4)*((1-'3. Assumptions'!$B$13)/('3. Assumptions'!$B$5)-'2. The tape'!$H$5:$H$13/12-'3. Assumptions'!$B$16)-'2. The tape'!$C$5:$C$13*'2. The tape'!$I$5:$I$13*(1+'3. Assumptions'!$B$12)^(A82/4)))</f>
        <v>74417444.7348407</v>
      </c>
      <c r="E82" s="37" t="n">
        <f aca="false">1/(1+(1+'3. Assumptions'!$B$28)^0.25-1)^A82</f>
        <v>0.487838962558416</v>
      </c>
      <c r="F82" s="37" t="n">
        <f aca="false">1/(1+(1+'3. Assumptions'!$B$29)^0.25-1)^A82</f>
        <v>0.253069134165149</v>
      </c>
      <c r="G82" s="15" t="n">
        <f aca="false">B82*(1-$D$4)*C82*E82+B82*$D$4*D82*F82</f>
        <v>703076.98652685</v>
      </c>
    </row>
    <row r="83" customFormat="false" ht="15" hidden="false" customHeight="false" outlineLevel="0" collapsed="false">
      <c r="A83" s="0" t="n">
        <v>77</v>
      </c>
      <c r="B83" s="37" t="n">
        <f aca="false">IF(A83=1,1,B82*(1-$D$4))</f>
        <v>0.283642754393485</v>
      </c>
      <c r="C83" s="15" t="n">
        <f aca="false">'2. The tape'!$C$17*(1+MIN(MAX('3. Assumptions'!$B$12,'3. Assumptions'!$B$11),'3. Assumptions'!$B$10))^INT((A83-1)/4)/4*(1-'3. Assumptions'!$B$13)</f>
        <v>4533272.93137586</v>
      </c>
      <c r="D83" s="15" t="n">
        <f aca="false">(1-'3. Assumptions'!$B$15)*SUMPRODUCT((('2. The tape'!$C$5:$C$13*'2. The tape'!$D$5:$D$13*(1-'2. The tape'!$J$5:$J$13)^(A83/4)*(1+'3. Assumptions'!$B$12)^(A83/4)*((1-'3. Assumptions'!$B$13)/('3. Assumptions'!$B$5)-'2. The tape'!$H$5:$H$13/12-'3. Assumptions'!$B$16)-'2. The tape'!$C$5:$C$13*'2. The tape'!$I$5:$I$13*(1+'3. Assumptions'!$B$12)^(A83/4))&gt;0)*('2. The tape'!$C$5:$C$13*'2. The tape'!$D$5:$D$13*(1-'2. The tape'!$J$5:$J$13)^(A83/4)*(1+'3. Assumptions'!$B$12)^(A83/4)*((1-'3. Assumptions'!$B$13)/('3. Assumptions'!$B$5)-'2. The tape'!$H$5:$H$13/12-'3. Assumptions'!$B$16)-'2. The tape'!$C$5:$C$13*'2. The tape'!$I$5:$I$13*(1+'3. Assumptions'!$B$12)^(A83/4)))</f>
        <v>74306867.2234563</v>
      </c>
      <c r="E83" s="37" t="n">
        <f aca="false">1/(1+(1+'3. Assumptions'!$B$28)^0.25-1)^A83</f>
        <v>0.483253333210782</v>
      </c>
      <c r="F83" s="37" t="n">
        <f aca="false">1/(1+(1+'3. Assumptions'!$B$29)^0.25-1)^A83</f>
        <v>0.248534717387273</v>
      </c>
      <c r="G83" s="15" t="n">
        <f aca="false">B83*(1-$D$4)*C83*E83+B83*$D$4*D83*F83</f>
        <v>697296.12262546</v>
      </c>
    </row>
    <row r="84" customFormat="false" ht="15" hidden="false" customHeight="false" outlineLevel="0" collapsed="false">
      <c r="A84" s="0" t="n">
        <v>78</v>
      </c>
      <c r="B84" s="37" t="n">
        <f aca="false">IF(A84=1,1,B83*(1-$D$4))</f>
        <v>0.278978876924559</v>
      </c>
      <c r="C84" s="15" t="n">
        <f aca="false">'2. The tape'!$C$17*(1+MIN(MAX('3. Assumptions'!$B$12,'3. Assumptions'!$B$11),'3. Assumptions'!$B$10))^INT((A84-1)/4)/4*(1-'3. Assumptions'!$B$13)</f>
        <v>4533272.93137586</v>
      </c>
      <c r="D84" s="15" t="n">
        <f aca="false">(1-'3. Assumptions'!$B$15)*SUMPRODUCT((('2. The tape'!$C$5:$C$13*'2. The tape'!$D$5:$D$13*(1-'2. The tape'!$J$5:$J$13)^(A84/4)*(1+'3. Assumptions'!$B$12)^(A84/4)*((1-'3. Assumptions'!$B$13)/('3. Assumptions'!$B$5)-'2. The tape'!$H$5:$H$13/12-'3. Assumptions'!$B$16)-'2. The tape'!$C$5:$C$13*'2. The tape'!$I$5:$I$13*(1+'3. Assumptions'!$B$12)^(A84/4))&gt;0)*('2. The tape'!$C$5:$C$13*'2. The tape'!$D$5:$D$13*(1-'2. The tape'!$J$5:$J$13)^(A84/4)*(1+'3. Assumptions'!$B$12)^(A84/4)*((1-'3. Assumptions'!$B$13)/('3. Assumptions'!$B$5)-'2. The tape'!$H$5:$H$13/12-'3. Assumptions'!$B$16)-'2. The tape'!$C$5:$C$13*'2. The tape'!$I$5:$I$13*(1+'3. Assumptions'!$B$12)^(A84/4)))</f>
        <v>74195888.6243955</v>
      </c>
      <c r="E84" s="37" t="n">
        <f aca="false">1/(1+(1+'3. Assumptions'!$B$28)^0.25-1)^A84</f>
        <v>0.478710808244158</v>
      </c>
      <c r="F84" s="37" t="n">
        <f aca="false">1/(1+(1+'3. Assumptions'!$B$29)^0.25-1)^A84</f>
        <v>0.244081546928049</v>
      </c>
      <c r="G84" s="15" t="n">
        <f aca="false">B84*(1-$D$4)*C84*E84+B84*$D$4*D84*F84</f>
        <v>678538.054956468</v>
      </c>
    </row>
    <row r="85" customFormat="false" ht="15" hidden="false" customHeight="false" outlineLevel="0" collapsed="false">
      <c r="A85" s="0" t="n">
        <v>79</v>
      </c>
      <c r="B85" s="37" t="n">
        <f aca="false">IF(A85=1,1,B84*(1-$D$4))</f>
        <v>0.274391686600671</v>
      </c>
      <c r="C85" s="15" t="n">
        <f aca="false">'2. The tape'!$C$17*(1+MIN(MAX('3. Assumptions'!$B$12,'3. Assumptions'!$B$11),'3. Assumptions'!$B$10))^INT((A85-1)/4)/4*(1-'3. Assumptions'!$B$13)</f>
        <v>4533272.93137586</v>
      </c>
      <c r="D85" s="15" t="n">
        <f aca="false">(1-'3. Assumptions'!$B$15)*SUMPRODUCT((('2. The tape'!$C$5:$C$13*'2. The tape'!$D$5:$D$13*(1-'2. The tape'!$J$5:$J$13)^(A85/4)*(1+'3. Assumptions'!$B$12)^(A85/4)*((1-'3. Assumptions'!$B$13)/('3. Assumptions'!$B$5)-'2. The tape'!$H$5:$H$13/12-'3. Assumptions'!$B$16)-'2. The tape'!$C$5:$C$13*'2. The tape'!$I$5:$I$13*(1+'3. Assumptions'!$B$12)^(A85/4))&gt;0)*('2. The tape'!$C$5:$C$13*'2. The tape'!$D$5:$D$13*(1-'2. The tape'!$J$5:$J$13)^(A85/4)*(1+'3. Assumptions'!$B$12)^(A85/4)*((1-'3. Assumptions'!$B$13)/('3. Assumptions'!$B$5)-'2. The tape'!$H$5:$H$13/12-'3. Assumptions'!$B$16)-'2. The tape'!$C$5:$C$13*'2. The tape'!$I$5:$I$13*(1+'3. Assumptions'!$B$12)^(A85/4)))</f>
        <v>74084505.2197494</v>
      </c>
      <c r="E85" s="37" t="n">
        <f aca="false">1/(1+(1+'3. Assumptions'!$B$28)^0.25-1)^A85</f>
        <v>0.474210982482391</v>
      </c>
      <c r="F85" s="37" t="n">
        <f aca="false">1/(1+(1+'3. Assumptions'!$B$29)^0.25-1)^A85</f>
        <v>0.239708167040328</v>
      </c>
      <c r="G85" s="15" t="n">
        <f aca="false">B85*(1-$D$4)*C85*E85+B85*$D$4*D85*F85</f>
        <v>660291.264340844</v>
      </c>
    </row>
    <row r="86" customFormat="false" ht="15" hidden="false" customHeight="false" outlineLevel="0" collapsed="false">
      <c r="A86" s="0" t="n">
        <v>80</v>
      </c>
      <c r="B86" s="37" t="n">
        <f aca="false">IF(A86=1,1,B85*(1-$D$4))</f>
        <v>0.26987992247141</v>
      </c>
      <c r="C86" s="15" t="n">
        <f aca="false">'2. The tape'!$C$17*(1+MIN(MAX('3. Assumptions'!$B$12,'3. Assumptions'!$B$11),'3. Assumptions'!$B$10))^INT((A86-1)/4)/4*(1-'3. Assumptions'!$B$13)</f>
        <v>4533272.93137586</v>
      </c>
      <c r="D86" s="15" t="n">
        <f aca="false">(1-'3. Assumptions'!$B$15)*SUMPRODUCT((('2. The tape'!$C$5:$C$13*'2. The tape'!$D$5:$D$13*(1-'2. The tape'!$J$5:$J$13)^(A86/4)*(1+'3. Assumptions'!$B$12)^(A86/4)*((1-'3. Assumptions'!$B$13)/('3. Assumptions'!$B$5)-'2. The tape'!$H$5:$H$13/12-'3. Assumptions'!$B$16)-'2. The tape'!$C$5:$C$13*'2. The tape'!$I$5:$I$13*(1+'3. Assumptions'!$B$12)^(A86/4))&gt;0)*('2. The tape'!$C$5:$C$13*'2. The tape'!$D$5:$D$13*(1-'2. The tape'!$J$5:$J$13)^(A86/4)*(1+'3. Assumptions'!$B$12)^(A86/4)*((1-'3. Assumptions'!$B$13)/('3. Assumptions'!$B$5)-'2. The tape'!$H$5:$H$13/12-'3. Assumptions'!$B$16)-'2. The tape'!$C$5:$C$13*'2. The tape'!$I$5:$I$13*(1+'3. Assumptions'!$B$12)^(A86/4)))</f>
        <v>73972713.2726463</v>
      </c>
      <c r="E86" s="37" t="n">
        <f aca="false">1/(1+(1+'3. Assumptions'!$B$28)^0.25-1)^A86</f>
        <v>0.469753454557935</v>
      </c>
      <c r="F86" s="37" t="n">
        <f aca="false">1/(1+(1+'3. Assumptions'!$B$29)^0.25-1)^A86</f>
        <v>0.235413148060604</v>
      </c>
      <c r="G86" s="15" t="n">
        <f aca="false">B86*(1-$D$4)*C86*E86+B86*$D$4*D86*F86</f>
        <v>642541.594111897</v>
      </c>
    </row>
    <row r="87" customFormat="false" ht="15" hidden="false" customHeight="false" outlineLevel="0" collapsed="false">
      <c r="A87" s="14" t="s">
        <v>199</v>
      </c>
      <c r="D87" s="15" t="n">
        <f aca="false">(1-'3. Assumptions'!$B$15)*(('3. Assumptions'!$B$17)*SUMPRODUCT('2. The tape'!$C$5:$C$13*'2. The tape'!$D$5:$D$13*(1-'2. The tape'!$J$5:$J$13)^('3. Assumptions'!$B$9)*(1+'3. Assumptions'!$B$12)^('3. Assumptions'!$B$9)*((1-'3. Assumptions'!$B$13)/('3. Assumptions'!$B$5)-0.5*'3. Assumptions'!$B$16))+(1-('3. Assumptions'!$B$17))*SUMPRODUCT((('2. The tape'!$C$5:$C$13*'2. The tape'!$D$5:$D$13*(1-'2. The tape'!$J$5:$J$13)^('3. Assumptions'!$B$9)*(1+'3. Assumptions'!$B$12)^('3. Assumptions'!$B$9)*((1-'3. Assumptions'!$B$13)/('3. Assumptions'!$B$5)-'2. The tape'!$H$5:$H$13/12-'3. Assumptions'!$B$16)-'2. The tape'!$C$5:$C$13*'2. The tape'!$I$5:$I$13*(1+'3. Assumptions'!$B$12)^('3. Assumptions'!$B$9))&gt;0)*('2. The tape'!$C$5:$C$13*'2. The tape'!$D$5:$D$13*(1-'2. The tape'!$J$5:$J$13)^('3. Assumptions'!$B$9)*(1+'3. Assumptions'!$B$12)^('3. Assumptions'!$B$9)*((1-'3. Assumptions'!$B$13)/('3. Assumptions'!$B$5)-'2. The tape'!$H$5:$H$13/12-'3. Assumptions'!$B$16)-'2. The tape'!$C$5:$C$13*'2. The tape'!$I$5:$I$13*(1+'3. Assumptions'!$B$12)^('3. Assumptions'!$B$9))))</f>
        <v>93190959.6467624</v>
      </c>
      <c r="E87" s="20" t="s">
        <v>200</v>
      </c>
      <c r="F87" s="37" t="n">
        <f aca="false">F86</f>
        <v>0.235413148060604</v>
      </c>
      <c r="G87" s="15" t="n">
        <f aca="false">B86*(1-$D$4)*D87*F87</f>
        <v>5823374.26956076</v>
      </c>
    </row>
    <row r="89" customFormat="false" ht="15" hidden="false" customHeight="false" outlineLevel="0" collapsed="false">
      <c r="A89" s="14" t="s">
        <v>201</v>
      </c>
      <c r="D89" s="15" t="n">
        <f aca="false">SUM(G7:G87)</f>
        <v>156050490.443931</v>
      </c>
    </row>
    <row r="90" customFormat="false" ht="15" hidden="false" customHeight="false" outlineLevel="0" collapsed="false">
      <c r="A90" s="14" t="s">
        <v>202</v>
      </c>
      <c r="D90" s="15" t="n">
        <f aca="false">D89/(1+'3. Assumptions'!$B$14)</f>
        <v>152990676.905815</v>
      </c>
    </row>
    <row r="91" customFormat="false" ht="15" hidden="false" customHeight="false" outlineLevel="0" collapsed="false">
      <c r="A91" s="14" t="s">
        <v>203</v>
      </c>
      <c r="D91" s="15" t="n">
        <f aca="false">'2. The tape'!C17/'3. Assumptions'!$B$4</f>
        <v>179459259.259259</v>
      </c>
    </row>
    <row r="92" customFormat="false" ht="15" hidden="false" customHeight="false" outlineLevel="0" collapsed="false">
      <c r="A92" s="14" t="s">
        <v>204</v>
      </c>
      <c r="D92" s="16" t="n">
        <f aca="false">D90/D91-1</f>
        <v>-0.147490758976144</v>
      </c>
    </row>
    <row r="94" customFormat="false" ht="15" hidden="false" customHeight="false" outlineLevel="0" collapsed="false">
      <c r="A94" s="20" t="s">
        <v>205</v>
      </c>
      <c r="D94" s="33" t="n">
        <f aca="false">SUMPRODUCT(B7:B86*(1-$D$4)*C7:C86*E7:E86)</f>
        <v>114829166.426206</v>
      </c>
    </row>
    <row r="95" customFormat="false" ht="15" hidden="false" customHeight="false" outlineLevel="0" collapsed="false">
      <c r="A95" s="20" t="s">
        <v>206</v>
      </c>
      <c r="D95" s="33" t="n">
        <f aca="false">SUMPRODUCT(B7:B86*$D$4*D7:D86*F7:F86)</f>
        <v>35397949.7481646</v>
      </c>
    </row>
    <row r="96" customFormat="false" ht="15" hidden="false" customHeight="false" outlineLevel="0" collapsed="false">
      <c r="A96" s="20" t="s">
        <v>207</v>
      </c>
      <c r="D96" s="33" t="n">
        <f aca="false">G87</f>
        <v>5823374.26956076</v>
      </c>
    </row>
    <row r="97" customFormat="false" ht="15" hidden="false" customHeight="false" outlineLevel="0" collapsed="false">
      <c r="A97" s="20" t="s">
        <v>208</v>
      </c>
      <c r="D97" s="13" t="n">
        <f aca="false">B86*(1-$D$4)</f>
        <v>0.265442344319903</v>
      </c>
    </row>
    <row r="98" customFormat="false" ht="15" hidden="false" customHeight="false" outlineLevel="0" collapsed="false">
      <c r="A98" s="20" t="s">
        <v>209</v>
      </c>
      <c r="D98" s="13" t="n">
        <f aca="false">D94/D89</f>
        <v>0.735846238608675</v>
      </c>
    </row>
    <row r="99" customFormat="false" ht="15" hidden="false" customHeight="false" outlineLevel="0" collapsed="false">
      <c r="A99" s="20" t="s">
        <v>210</v>
      </c>
      <c r="D99" s="13" t="n">
        <f aca="false">D95/D89</f>
        <v>0.226836517126379</v>
      </c>
    </row>
    <row r="100" customFormat="false" ht="15" hidden="false" customHeight="false" outlineLevel="0" collapsed="false">
      <c r="A100" s="20" t="s">
        <v>211</v>
      </c>
      <c r="D100" s="13" t="n">
        <f aca="false">D96/D89</f>
        <v>0.0373172442649458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6" min="2" style="0" width="16"/>
    <col collapsed="false" customWidth="true" hidden="false" outlineLevel="0" max="8" min="7" style="0" width="20"/>
  </cols>
  <sheetData>
    <row r="1" customFormat="false" ht="16.15" hidden="false" customHeight="false" outlineLevel="0" collapsed="false">
      <c r="A1" s="38" t="s">
        <v>212</v>
      </c>
    </row>
    <row r="2" customFormat="false" ht="15" hidden="false" customHeight="false" outlineLevel="0" collapsed="false">
      <c r="A2" s="22" t="s">
        <v>213</v>
      </c>
    </row>
    <row r="4" customFormat="false" ht="41.75" hidden="false" customHeight="false" outlineLevel="0" collapsed="false">
      <c r="A4" s="28" t="s">
        <v>214</v>
      </c>
      <c r="B4" s="28" t="s">
        <v>215</v>
      </c>
      <c r="C4" s="28" t="s">
        <v>216</v>
      </c>
      <c r="D4" s="28" t="s">
        <v>217</v>
      </c>
      <c r="E4" s="28" t="s">
        <v>218</v>
      </c>
      <c r="F4" s="28" t="s">
        <v>219</v>
      </c>
      <c r="G4" s="28" t="s">
        <v>220</v>
      </c>
      <c r="H4" s="28" t="s">
        <v>221</v>
      </c>
    </row>
    <row r="5" customFormat="false" ht="15" hidden="false" customHeight="false" outlineLevel="0" collapsed="false">
      <c r="A5" s="39" t="n">
        <v>-0.01</v>
      </c>
      <c r="B5" s="33" t="n">
        <f aca="false">'2. The tape'!$C$17*(1+MIN(MAX($A5,'3. Assumptions'!$B$11),'3. Assumptions'!$B$10))^('3. Assumptions'!$B$9-1)</f>
        <v>12113500</v>
      </c>
      <c r="C5" s="33" t="n">
        <f aca="false">SUMPRODUCT((1-(0))^('7. Cash flow'!$A$7:$A$86/4)*'2. The tape'!$C$17/4*(1-'3. Assumptions'!$B$13)*(1+MAX($A5,'3. Assumptions'!$B$11))^INT(('7. Cash flow'!$A$7:$A$86-1)/4)/(1+('3. Assumptions'!$B$28+$A5-'3. Assumptions'!$B$12))^('7. Cash flow'!$A$7:$A$86/4))-SUMPRODUCT((1-(0))^('7. Cash flow'!$A$7:$A$86/4)*'2. The tape'!$C$17/4*(1-'3. Assumptions'!$B$13)*(1+MIN(MAX($A5,'3. Assumptions'!$B$11),'3. Assumptions'!$B$10))^INT(('7. Cash flow'!$A$7:$A$86-1)/4)/(1+('3. Assumptions'!$B$28+$A5-'3. Assumptions'!$B$12))^('7. Cash flow'!$A$7:$A$86/4))</f>
        <v>0</v>
      </c>
      <c r="D5" s="33" t="n">
        <f aca="false">SUMPRODUCT((1-(0))^('7. Cash flow'!$A$7:$A$86/4)*'2. The tape'!$C$17/4*(1-'3. Assumptions'!$B$13)*(1+MIN(MAX($A5,'3. Assumptions'!$B$11),'3. Assumptions'!$B$10))^INT(('7. Cash flow'!$A$7:$A$86-1)/4)/(1+('3. Assumptions'!$B$28+$A5-'3. Assumptions'!$B$12))^('7. Cash flow'!$A$7:$A$86/4))-SUMPRODUCT((1-(0))^('7. Cash flow'!$A$7:$A$86/4)*'2. The tape'!$C$17/4*(1-'3. Assumptions'!$B$13)*(1+MIN($A5,'3. Assumptions'!$B$10))^INT(('7. Cash flow'!$A$7:$A$86-1)/4)/(1+('3. Assumptions'!$B$28+$A5-'3. Assumptions'!$B$12))^('7. Cash flow'!$A$7:$A$86/4))</f>
        <v>19682353.115474</v>
      </c>
      <c r="E5" s="33" t="n">
        <f aca="false">SUMPRODUCT((1-(('3. Assumptions'!$B$21/(1-'3. Assumptions'!$B$22))))^('7. Cash flow'!$A$7:$A$86/4)*'2. The tape'!$C$17/4*(1-'3. Assumptions'!$B$13)*(1+MAX($A5,'3. Assumptions'!$B$11))^INT(('7. Cash flow'!$A$7:$A$86-1)/4)/(1+('3. Assumptions'!$B$28+$A5-'3. Assumptions'!$B$12))^('7. Cash flow'!$A$7:$A$86/4))-SUMPRODUCT((1-(('3. Assumptions'!$B$21/(1-'3. Assumptions'!$B$22))))^('7. Cash flow'!$A$7:$A$86/4)*'2. The tape'!$C$17/4*(1-'3. Assumptions'!$B$13)*(1+MIN(MAX($A5,'3. Assumptions'!$B$11),'3. Assumptions'!$B$10))^INT(('7. Cash flow'!$A$7:$A$86-1)/4)/(1+('3. Assumptions'!$B$28+$A5-'3. Assumptions'!$B$12))^('7. Cash flow'!$A$7:$A$86/4))</f>
        <v>0</v>
      </c>
      <c r="F5" s="33" t="n">
        <f aca="false">SUMPRODUCT((1-(('3. Assumptions'!$B$21/(1-'3. Assumptions'!$B$22))))^('7. Cash flow'!$A$7:$A$86/4)*'2. The tape'!$C$17/4*(1-'3. Assumptions'!$B$13)*(1+MIN(MAX($A5,'3. Assumptions'!$B$11),'3. Assumptions'!$B$10))^INT(('7. Cash flow'!$A$7:$A$86-1)/4)/(1+('3. Assumptions'!$B$28+$A5-'3. Assumptions'!$B$12))^('7. Cash flow'!$A$7:$A$86/4))-SUMPRODUCT((1-(('3. Assumptions'!$B$21/(1-'3. Assumptions'!$B$22))))^('7. Cash flow'!$A$7:$A$86/4)*'2. The tape'!$C$17/4*(1-'3. Assumptions'!$B$13)*(1+MIN($A5,'3. Assumptions'!$B$10))^INT(('7. Cash flow'!$A$7:$A$86-1)/4)/(1+('3. Assumptions'!$B$28+$A5-'3. Assumptions'!$B$12))^('7. Cash flow'!$A$7:$A$86/4))</f>
        <v>8517758.41647983</v>
      </c>
      <c r="G5" s="33" t="n">
        <f aca="false">SUMPRODUCT((1-(0))^('7. Cash flow'!$A$7:$A$86/4)*'2. The tape'!$C$17/4*(1-'3. Assumptions'!$B$13)*(1+MAX($A5,'3. Assumptions'!$B$11))^INT(('7. Cash flow'!$A$7:$A$86-1)/4)/(1+'3. Assumptions'!$B$28)^('7. Cash flow'!$A$7:$A$86/4))-SUMPRODUCT((1-(0))^('7. Cash flow'!$A$7:$A$86/4)*'2. The tape'!$C$17/4*(1-'3. Assumptions'!$B$13)*(1+MIN(MAX($A5,'3. Assumptions'!$B$11),'3. Assumptions'!$B$10))^INT(('7. Cash flow'!$A$7:$A$86-1)/4)/(1+'3. Assumptions'!$B$28)^('7. Cash flow'!$A$7:$A$86/4))</f>
        <v>0</v>
      </c>
      <c r="H5" s="33" t="n">
        <f aca="false">SUMPRODUCT((1-(0))^('7. Cash flow'!$A$7:$A$86/4)*'2. The tape'!$C$17/4*(1-'3. Assumptions'!$B$13)*(1+MIN(MAX($A5,'3. Assumptions'!$B$11),'3. Assumptions'!$B$10))^INT(('7. Cash flow'!$A$7:$A$86-1)/4)/(1+'3. Assumptions'!$B$28)^('7. Cash flow'!$A$7:$A$86/4))-SUMPRODUCT((1-(0))^('7. Cash flow'!$A$7:$A$86/4)*'2. The tape'!$C$17/4*(1-'3. Assumptions'!$B$13)*(1+MIN($A5,'3. Assumptions'!$B$10))^INT(('7. Cash flow'!$A$7:$A$86-1)/4)/(1+'3. Assumptions'!$B$28)^('7. Cash flow'!$A$7:$A$86/4))</f>
        <v>13089000.7641831</v>
      </c>
    </row>
    <row r="6" customFormat="false" ht="15" hidden="false" customHeight="false" outlineLevel="0" collapsed="false">
      <c r="A6" s="39" t="n">
        <v>0</v>
      </c>
      <c r="B6" s="33" t="n">
        <f aca="false">'2. The tape'!$C$17*(1+MIN(MAX($A6,'3. Assumptions'!$B$11),'3. Assumptions'!$B$10))^('3. Assumptions'!$B$9-1)</f>
        <v>12113500</v>
      </c>
      <c r="C6" s="33" t="n">
        <f aca="false">SUMPRODUCT((1-(0))^('7. Cash flow'!$A$7:$A$86/4)*'2. The tape'!$C$17/4*(1-'3. Assumptions'!$B$13)*(1+MAX($A6,'3. Assumptions'!$B$11))^INT(('7. Cash flow'!$A$7:$A$86-1)/4)/(1+('3. Assumptions'!$B$28+$A6-'3. Assumptions'!$B$12))^('7. Cash flow'!$A$7:$A$86/4))-SUMPRODUCT((1-(0))^('7. Cash flow'!$A$7:$A$86/4)*'2. The tape'!$C$17/4*(1-'3. Assumptions'!$B$13)*(1+MIN(MAX($A6,'3. Assumptions'!$B$11),'3. Assumptions'!$B$10))^INT(('7. Cash flow'!$A$7:$A$86-1)/4)/(1+('3. Assumptions'!$B$28+$A6-'3. Assumptions'!$B$12))^('7. Cash flow'!$A$7:$A$86/4))</f>
        <v>0</v>
      </c>
      <c r="D6" s="33" t="n">
        <f aca="false">SUMPRODUCT((1-(0))^('7. Cash flow'!$A$7:$A$86/4)*'2. The tape'!$C$17/4*(1-'3. Assumptions'!$B$13)*(1+MIN(MAX($A6,'3. Assumptions'!$B$11),'3. Assumptions'!$B$10))^INT(('7. Cash flow'!$A$7:$A$86-1)/4)/(1+('3. Assumptions'!$B$28+$A6-'3. Assumptions'!$B$12))^('7. Cash flow'!$A$7:$A$86/4))-SUMPRODUCT((1-(0))^('7. Cash flow'!$A$7:$A$86/4)*'2. The tape'!$C$17/4*(1-'3. Assumptions'!$B$13)*(1+MIN($A6,'3. Assumptions'!$B$10))^INT(('7. Cash flow'!$A$7:$A$86-1)/4)/(1+('3. Assumptions'!$B$28+$A6-'3. Assumptions'!$B$12))^('7. Cash flow'!$A$7:$A$86/4))</f>
        <v>0</v>
      </c>
      <c r="E6" s="33" t="n">
        <f aca="false">SUMPRODUCT((1-(('3. Assumptions'!$B$21/(1-'3. Assumptions'!$B$22))))^('7. Cash flow'!$A$7:$A$86/4)*'2. The tape'!$C$17/4*(1-'3. Assumptions'!$B$13)*(1+MAX($A6,'3. Assumptions'!$B$11))^INT(('7. Cash flow'!$A$7:$A$86-1)/4)/(1+('3. Assumptions'!$B$28+$A6-'3. Assumptions'!$B$12))^('7. Cash flow'!$A$7:$A$86/4))-SUMPRODUCT((1-(('3. Assumptions'!$B$21/(1-'3. Assumptions'!$B$22))))^('7. Cash flow'!$A$7:$A$86/4)*'2. The tape'!$C$17/4*(1-'3. Assumptions'!$B$13)*(1+MIN(MAX($A6,'3. Assumptions'!$B$11),'3. Assumptions'!$B$10))^INT(('7. Cash flow'!$A$7:$A$86-1)/4)/(1+('3. Assumptions'!$B$28+$A6-'3. Assumptions'!$B$12))^('7. Cash flow'!$A$7:$A$86/4))</f>
        <v>0</v>
      </c>
      <c r="F6" s="33" t="n">
        <f aca="false">SUMPRODUCT((1-(('3. Assumptions'!$B$21/(1-'3. Assumptions'!$B$22))))^('7. Cash flow'!$A$7:$A$86/4)*'2. The tape'!$C$17/4*(1-'3. Assumptions'!$B$13)*(1+MIN(MAX($A6,'3. Assumptions'!$B$11),'3. Assumptions'!$B$10))^INT(('7. Cash flow'!$A$7:$A$86-1)/4)/(1+('3. Assumptions'!$B$28+$A6-'3. Assumptions'!$B$12))^('7. Cash flow'!$A$7:$A$86/4))-SUMPRODUCT((1-(('3. Assumptions'!$B$21/(1-'3. Assumptions'!$B$22))))^('7. Cash flow'!$A$7:$A$86/4)*'2. The tape'!$C$17/4*(1-'3. Assumptions'!$B$13)*(1+MIN($A6,'3. Assumptions'!$B$10))^INT(('7. Cash flow'!$A$7:$A$86-1)/4)/(1+('3. Assumptions'!$B$28+$A6-'3. Assumptions'!$B$12))^('7. Cash flow'!$A$7:$A$86/4))</f>
        <v>0</v>
      </c>
      <c r="G6" s="33" t="n">
        <f aca="false">SUMPRODUCT((1-(0))^('7. Cash flow'!$A$7:$A$86/4)*'2. The tape'!$C$17/4*(1-'3. Assumptions'!$B$13)*(1+MAX($A6,'3. Assumptions'!$B$11))^INT(('7. Cash flow'!$A$7:$A$86-1)/4)/(1+'3. Assumptions'!$B$28)^('7. Cash flow'!$A$7:$A$86/4))-SUMPRODUCT((1-(0))^('7. Cash flow'!$A$7:$A$86/4)*'2. The tape'!$C$17/4*(1-'3. Assumptions'!$B$13)*(1+MIN(MAX($A6,'3. Assumptions'!$B$11),'3. Assumptions'!$B$10))^INT(('7. Cash flow'!$A$7:$A$86-1)/4)/(1+'3. Assumptions'!$B$28)^('7. Cash flow'!$A$7:$A$86/4))</f>
        <v>0</v>
      </c>
      <c r="H6" s="33" t="n">
        <f aca="false">SUMPRODUCT((1-(0))^('7. Cash flow'!$A$7:$A$86/4)*'2. The tape'!$C$17/4*(1-'3. Assumptions'!$B$13)*(1+MIN(MAX($A6,'3. Assumptions'!$B$11),'3. Assumptions'!$B$10))^INT(('7. Cash flow'!$A$7:$A$86-1)/4)/(1+'3. Assumptions'!$B$28)^('7. Cash flow'!$A$7:$A$86/4))-SUMPRODUCT((1-(0))^('7. Cash flow'!$A$7:$A$86/4)*'2. The tape'!$C$17/4*(1-'3. Assumptions'!$B$13)*(1+MIN($A6,'3. Assumptions'!$B$10))^INT(('7. Cash flow'!$A$7:$A$86-1)/4)/(1+'3. Assumptions'!$B$28)^('7. Cash flow'!$A$7:$A$86/4))</f>
        <v>0</v>
      </c>
    </row>
    <row r="7" customFormat="false" ht="15" hidden="false" customHeight="false" outlineLevel="0" collapsed="false">
      <c r="A7" s="39" t="n">
        <v>0.01</v>
      </c>
      <c r="B7" s="33" t="n">
        <f aca="false">'2. The tape'!$C$17*(1+MIN(MAX($A7,'3. Assumptions'!$B$11),'3. Assumptions'!$B$10))^('3. Assumptions'!$B$9-1)</f>
        <v>14634427.7711977</v>
      </c>
      <c r="C7" s="33" t="n">
        <f aca="false">SUMPRODUCT((1-(0))^('7. Cash flow'!$A$7:$A$86/4)*'2. The tape'!$C$17/4*(1-'3. Assumptions'!$B$13)*(1+MAX($A7,'3. Assumptions'!$B$11))^INT(('7. Cash flow'!$A$7:$A$86-1)/4)/(1+('3. Assumptions'!$B$28+$A7-'3. Assumptions'!$B$12))^('7. Cash flow'!$A$7:$A$86/4))-SUMPRODUCT((1-(0))^('7. Cash flow'!$A$7:$A$86/4)*'2. The tape'!$C$17/4*(1-'3. Assumptions'!$B$13)*(1+MIN(MAX($A7,'3. Assumptions'!$B$11),'3. Assumptions'!$B$10))^INT(('7. Cash flow'!$A$7:$A$86-1)/4)/(1+('3. Assumptions'!$B$28+$A7-'3. Assumptions'!$B$12))^('7. Cash flow'!$A$7:$A$86/4))</f>
        <v>0</v>
      </c>
      <c r="D7" s="33" t="n">
        <f aca="false">SUMPRODUCT((1-(0))^('7. Cash flow'!$A$7:$A$86/4)*'2. The tape'!$C$17/4*(1-'3. Assumptions'!$B$13)*(1+MIN(MAX($A7,'3. Assumptions'!$B$11),'3. Assumptions'!$B$10))^INT(('7. Cash flow'!$A$7:$A$86-1)/4)/(1+('3. Assumptions'!$B$28+$A7-'3. Assumptions'!$B$12))^('7. Cash flow'!$A$7:$A$86/4))-SUMPRODUCT((1-(0))^('7. Cash flow'!$A$7:$A$86/4)*'2. The tape'!$C$17/4*(1-'3. Assumptions'!$B$13)*(1+MIN($A7,'3. Assumptions'!$B$10))^INT(('7. Cash flow'!$A$7:$A$86-1)/4)/(1+('3. Assumptions'!$B$28+$A7-'3. Assumptions'!$B$12))^('7. Cash flow'!$A$7:$A$86/4))</f>
        <v>0</v>
      </c>
      <c r="E7" s="33" t="n">
        <f aca="false">SUMPRODUCT((1-(('3. Assumptions'!$B$21/(1-'3. Assumptions'!$B$22))))^('7. Cash flow'!$A$7:$A$86/4)*'2. The tape'!$C$17/4*(1-'3. Assumptions'!$B$13)*(1+MAX($A7,'3. Assumptions'!$B$11))^INT(('7. Cash flow'!$A$7:$A$86-1)/4)/(1+('3. Assumptions'!$B$28+$A7-'3. Assumptions'!$B$12))^('7. Cash flow'!$A$7:$A$86/4))-SUMPRODUCT((1-(('3. Assumptions'!$B$21/(1-'3. Assumptions'!$B$22))))^('7. Cash flow'!$A$7:$A$86/4)*'2. The tape'!$C$17/4*(1-'3. Assumptions'!$B$13)*(1+MIN(MAX($A7,'3. Assumptions'!$B$11),'3. Assumptions'!$B$10))^INT(('7. Cash flow'!$A$7:$A$86-1)/4)/(1+('3. Assumptions'!$B$28+$A7-'3. Assumptions'!$B$12))^('7. Cash flow'!$A$7:$A$86/4))</f>
        <v>0</v>
      </c>
      <c r="F7" s="33" t="n">
        <f aca="false">SUMPRODUCT((1-(('3. Assumptions'!$B$21/(1-'3. Assumptions'!$B$22))))^('7. Cash flow'!$A$7:$A$86/4)*'2. The tape'!$C$17/4*(1-'3. Assumptions'!$B$13)*(1+MIN(MAX($A7,'3. Assumptions'!$B$11),'3. Assumptions'!$B$10))^INT(('7. Cash flow'!$A$7:$A$86-1)/4)/(1+('3. Assumptions'!$B$28+$A7-'3. Assumptions'!$B$12))^('7. Cash flow'!$A$7:$A$86/4))-SUMPRODUCT((1-(('3. Assumptions'!$B$21/(1-'3. Assumptions'!$B$22))))^('7. Cash flow'!$A$7:$A$86/4)*'2. The tape'!$C$17/4*(1-'3. Assumptions'!$B$13)*(1+MIN($A7,'3. Assumptions'!$B$10))^INT(('7. Cash flow'!$A$7:$A$86-1)/4)/(1+('3. Assumptions'!$B$28+$A7-'3. Assumptions'!$B$12))^('7. Cash flow'!$A$7:$A$86/4))</f>
        <v>0</v>
      </c>
      <c r="G7" s="33" t="n">
        <f aca="false">SUMPRODUCT((1-(0))^('7. Cash flow'!$A$7:$A$86/4)*'2. The tape'!$C$17/4*(1-'3. Assumptions'!$B$13)*(1+MAX($A7,'3. Assumptions'!$B$11))^INT(('7. Cash flow'!$A$7:$A$86-1)/4)/(1+'3. Assumptions'!$B$28)^('7. Cash flow'!$A$7:$A$86/4))-SUMPRODUCT((1-(0))^('7. Cash flow'!$A$7:$A$86/4)*'2. The tape'!$C$17/4*(1-'3. Assumptions'!$B$13)*(1+MIN(MAX($A7,'3. Assumptions'!$B$11),'3. Assumptions'!$B$10))^INT(('7. Cash flow'!$A$7:$A$86-1)/4)/(1+'3. Assumptions'!$B$28)^('7. Cash flow'!$A$7:$A$86/4))</f>
        <v>0</v>
      </c>
      <c r="H7" s="33" t="n">
        <f aca="false">SUMPRODUCT((1-(0))^('7. Cash flow'!$A$7:$A$86/4)*'2. The tape'!$C$17/4*(1-'3. Assumptions'!$B$13)*(1+MIN(MAX($A7,'3. Assumptions'!$B$11),'3. Assumptions'!$B$10))^INT(('7. Cash flow'!$A$7:$A$86-1)/4)/(1+'3. Assumptions'!$B$28)^('7. Cash flow'!$A$7:$A$86/4))-SUMPRODUCT((1-(0))^('7. Cash flow'!$A$7:$A$86/4)*'2. The tape'!$C$17/4*(1-'3. Assumptions'!$B$13)*(1+MIN($A7,'3. Assumptions'!$B$10))^INT(('7. Cash flow'!$A$7:$A$86-1)/4)/(1+'3. Assumptions'!$B$28)^('7. Cash flow'!$A$7:$A$86/4))</f>
        <v>0</v>
      </c>
    </row>
    <row r="8" customFormat="false" ht="15" hidden="false" customHeight="false" outlineLevel="0" collapsed="false">
      <c r="A8" s="39" t="n">
        <v>0.022</v>
      </c>
      <c r="B8" s="33" t="n">
        <f aca="false">'2. The tape'!$C$17*(1+MIN(MAX($A8,'3. Assumptions'!$B$11),'3. Assumptions'!$B$10))^('3. Assumptions'!$B$9-1)</f>
        <v>18316254.2681853</v>
      </c>
      <c r="C8" s="33" t="n">
        <f aca="false">SUMPRODUCT((1-(0))^('7. Cash flow'!$A$7:$A$86/4)*'2. The tape'!$C$17/4*(1-'3. Assumptions'!$B$13)*(1+MAX($A8,'3. Assumptions'!$B$11))^INT(('7. Cash flow'!$A$7:$A$86-1)/4)/(1+('3. Assumptions'!$B$28+$A8-'3. Assumptions'!$B$12))^('7. Cash flow'!$A$7:$A$86/4))-SUMPRODUCT((1-(0))^('7. Cash flow'!$A$7:$A$86/4)*'2. The tape'!$C$17/4*(1-'3. Assumptions'!$B$13)*(1+MIN(MAX($A8,'3. Assumptions'!$B$11),'3. Assumptions'!$B$10))^INT(('7. Cash flow'!$A$7:$A$86-1)/4)/(1+('3. Assumptions'!$B$28+$A8-'3. Assumptions'!$B$12))^('7. Cash flow'!$A$7:$A$86/4))</f>
        <v>0</v>
      </c>
      <c r="D8" s="33" t="n">
        <f aca="false">SUMPRODUCT((1-(0))^('7. Cash flow'!$A$7:$A$86/4)*'2. The tape'!$C$17/4*(1-'3. Assumptions'!$B$13)*(1+MIN(MAX($A8,'3. Assumptions'!$B$11),'3. Assumptions'!$B$10))^INT(('7. Cash flow'!$A$7:$A$86-1)/4)/(1+('3. Assumptions'!$B$28+$A8-'3. Assumptions'!$B$12))^('7. Cash flow'!$A$7:$A$86/4))-SUMPRODUCT((1-(0))^('7. Cash flow'!$A$7:$A$86/4)*'2. The tape'!$C$17/4*(1-'3. Assumptions'!$B$13)*(1+MIN($A8,'3. Assumptions'!$B$10))^INT(('7. Cash flow'!$A$7:$A$86-1)/4)/(1+('3. Assumptions'!$B$28+$A8-'3. Assumptions'!$B$12))^('7. Cash flow'!$A$7:$A$86/4))</f>
        <v>0</v>
      </c>
      <c r="E8" s="33" t="n">
        <f aca="false">SUMPRODUCT((1-(('3. Assumptions'!$B$21/(1-'3. Assumptions'!$B$22))))^('7. Cash flow'!$A$7:$A$86/4)*'2. The tape'!$C$17/4*(1-'3. Assumptions'!$B$13)*(1+MAX($A8,'3. Assumptions'!$B$11))^INT(('7. Cash flow'!$A$7:$A$86-1)/4)/(1+('3. Assumptions'!$B$28+$A8-'3. Assumptions'!$B$12))^('7. Cash flow'!$A$7:$A$86/4))-SUMPRODUCT((1-(('3. Assumptions'!$B$21/(1-'3. Assumptions'!$B$22))))^('7. Cash flow'!$A$7:$A$86/4)*'2. The tape'!$C$17/4*(1-'3. Assumptions'!$B$13)*(1+MIN(MAX($A8,'3. Assumptions'!$B$11),'3. Assumptions'!$B$10))^INT(('7. Cash flow'!$A$7:$A$86-1)/4)/(1+('3. Assumptions'!$B$28+$A8-'3. Assumptions'!$B$12))^('7. Cash flow'!$A$7:$A$86/4))</f>
        <v>0</v>
      </c>
      <c r="F8" s="33" t="n">
        <f aca="false">SUMPRODUCT((1-(('3. Assumptions'!$B$21/(1-'3. Assumptions'!$B$22))))^('7. Cash flow'!$A$7:$A$86/4)*'2. The tape'!$C$17/4*(1-'3. Assumptions'!$B$13)*(1+MIN(MAX($A8,'3. Assumptions'!$B$11),'3. Assumptions'!$B$10))^INT(('7. Cash flow'!$A$7:$A$86-1)/4)/(1+('3. Assumptions'!$B$28+$A8-'3. Assumptions'!$B$12))^('7. Cash flow'!$A$7:$A$86/4))-SUMPRODUCT((1-(('3. Assumptions'!$B$21/(1-'3. Assumptions'!$B$22))))^('7. Cash flow'!$A$7:$A$86/4)*'2. The tape'!$C$17/4*(1-'3. Assumptions'!$B$13)*(1+MIN($A8,'3. Assumptions'!$B$10))^INT(('7. Cash flow'!$A$7:$A$86-1)/4)/(1+('3. Assumptions'!$B$28+$A8-'3. Assumptions'!$B$12))^('7. Cash flow'!$A$7:$A$86/4))</f>
        <v>0</v>
      </c>
      <c r="G8" s="33" t="n">
        <f aca="false">SUMPRODUCT((1-(0))^('7. Cash flow'!$A$7:$A$86/4)*'2. The tape'!$C$17/4*(1-'3. Assumptions'!$B$13)*(1+MAX($A8,'3. Assumptions'!$B$11))^INT(('7. Cash flow'!$A$7:$A$86-1)/4)/(1+'3. Assumptions'!$B$28)^('7. Cash flow'!$A$7:$A$86/4))-SUMPRODUCT((1-(0))^('7. Cash flow'!$A$7:$A$86/4)*'2. The tape'!$C$17/4*(1-'3. Assumptions'!$B$13)*(1+MIN(MAX($A8,'3. Assumptions'!$B$11),'3. Assumptions'!$B$10))^INT(('7. Cash flow'!$A$7:$A$86-1)/4)/(1+'3. Assumptions'!$B$28)^('7. Cash flow'!$A$7:$A$86/4))</f>
        <v>0</v>
      </c>
      <c r="H8" s="33" t="n">
        <f aca="false">SUMPRODUCT((1-(0))^('7. Cash flow'!$A$7:$A$86/4)*'2. The tape'!$C$17/4*(1-'3. Assumptions'!$B$13)*(1+MIN(MAX($A8,'3. Assumptions'!$B$11),'3. Assumptions'!$B$10))^INT(('7. Cash flow'!$A$7:$A$86-1)/4)/(1+'3. Assumptions'!$B$28)^('7. Cash flow'!$A$7:$A$86/4))-SUMPRODUCT((1-(0))^('7. Cash flow'!$A$7:$A$86/4)*'2. The tape'!$C$17/4*(1-'3. Assumptions'!$B$13)*(1+MIN($A8,'3. Assumptions'!$B$10))^INT(('7. Cash flow'!$A$7:$A$86-1)/4)/(1+'3. Assumptions'!$B$28)^('7. Cash flow'!$A$7:$A$86/4))</f>
        <v>0</v>
      </c>
    </row>
    <row r="9" customFormat="false" ht="15" hidden="false" customHeight="false" outlineLevel="0" collapsed="false">
      <c r="A9" s="39" t="n">
        <v>0.03</v>
      </c>
      <c r="B9" s="33" t="n">
        <f aca="false">'2. The tape'!$C$17*(1+MIN(MAX($A9,'3. Assumptions'!$B$11),'3. Assumptions'!$B$10))^('3. Assumptions'!$B$9-1)</f>
        <v>21241095.5739495</v>
      </c>
      <c r="C9" s="33" t="n">
        <f aca="false">SUMPRODUCT((1-(0))^('7. Cash flow'!$A$7:$A$86/4)*'2. The tape'!$C$17/4*(1-'3. Assumptions'!$B$13)*(1+MAX($A9,'3. Assumptions'!$B$11))^INT(('7. Cash flow'!$A$7:$A$86-1)/4)/(1+('3. Assumptions'!$B$28+$A9-'3. Assumptions'!$B$12))^('7. Cash flow'!$A$7:$A$86/4))-SUMPRODUCT((1-(0))^('7. Cash flow'!$A$7:$A$86/4)*'2. The tape'!$C$17/4*(1-'3. Assumptions'!$B$13)*(1+MIN(MAX($A9,'3. Assumptions'!$B$11),'3. Assumptions'!$B$10))^INT(('7. Cash flow'!$A$7:$A$86-1)/4)/(1+('3. Assumptions'!$B$28+$A9-'3. Assumptions'!$B$12))^('7. Cash flow'!$A$7:$A$86/4))</f>
        <v>0</v>
      </c>
      <c r="D9" s="33" t="n">
        <f aca="false">SUMPRODUCT((1-(0))^('7. Cash flow'!$A$7:$A$86/4)*'2. The tape'!$C$17/4*(1-'3. Assumptions'!$B$13)*(1+MIN(MAX($A9,'3. Assumptions'!$B$11),'3. Assumptions'!$B$10))^INT(('7. Cash flow'!$A$7:$A$86-1)/4)/(1+('3. Assumptions'!$B$28+$A9-'3. Assumptions'!$B$12))^('7. Cash flow'!$A$7:$A$86/4))-SUMPRODUCT((1-(0))^('7. Cash flow'!$A$7:$A$86/4)*'2. The tape'!$C$17/4*(1-'3. Assumptions'!$B$13)*(1+MIN($A9,'3. Assumptions'!$B$10))^INT(('7. Cash flow'!$A$7:$A$86-1)/4)/(1+('3. Assumptions'!$B$28+$A9-'3. Assumptions'!$B$12))^('7. Cash flow'!$A$7:$A$86/4))</f>
        <v>0</v>
      </c>
      <c r="E9" s="33" t="n">
        <f aca="false">SUMPRODUCT((1-(('3. Assumptions'!$B$21/(1-'3. Assumptions'!$B$22))))^('7. Cash flow'!$A$7:$A$86/4)*'2. The tape'!$C$17/4*(1-'3. Assumptions'!$B$13)*(1+MAX($A9,'3. Assumptions'!$B$11))^INT(('7. Cash flow'!$A$7:$A$86-1)/4)/(1+('3. Assumptions'!$B$28+$A9-'3. Assumptions'!$B$12))^('7. Cash flow'!$A$7:$A$86/4))-SUMPRODUCT((1-(('3. Assumptions'!$B$21/(1-'3. Assumptions'!$B$22))))^('7. Cash flow'!$A$7:$A$86/4)*'2. The tape'!$C$17/4*(1-'3. Assumptions'!$B$13)*(1+MIN(MAX($A9,'3. Assumptions'!$B$11),'3. Assumptions'!$B$10))^INT(('7. Cash flow'!$A$7:$A$86-1)/4)/(1+('3. Assumptions'!$B$28+$A9-'3. Assumptions'!$B$12))^('7. Cash flow'!$A$7:$A$86/4))</f>
        <v>0</v>
      </c>
      <c r="F9" s="33" t="n">
        <f aca="false">SUMPRODUCT((1-(('3. Assumptions'!$B$21/(1-'3. Assumptions'!$B$22))))^('7. Cash flow'!$A$7:$A$86/4)*'2. The tape'!$C$17/4*(1-'3. Assumptions'!$B$13)*(1+MIN(MAX($A9,'3. Assumptions'!$B$11),'3. Assumptions'!$B$10))^INT(('7. Cash flow'!$A$7:$A$86-1)/4)/(1+('3. Assumptions'!$B$28+$A9-'3. Assumptions'!$B$12))^('7. Cash flow'!$A$7:$A$86/4))-SUMPRODUCT((1-(('3. Assumptions'!$B$21/(1-'3. Assumptions'!$B$22))))^('7. Cash flow'!$A$7:$A$86/4)*'2. The tape'!$C$17/4*(1-'3. Assumptions'!$B$13)*(1+MIN($A9,'3. Assumptions'!$B$10))^INT(('7. Cash flow'!$A$7:$A$86-1)/4)/(1+('3. Assumptions'!$B$28+$A9-'3. Assumptions'!$B$12))^('7. Cash flow'!$A$7:$A$86/4))</f>
        <v>0</v>
      </c>
      <c r="G9" s="33" t="n">
        <f aca="false">SUMPRODUCT((1-(0))^('7. Cash flow'!$A$7:$A$86/4)*'2. The tape'!$C$17/4*(1-'3. Assumptions'!$B$13)*(1+MAX($A9,'3. Assumptions'!$B$11))^INT(('7. Cash flow'!$A$7:$A$86-1)/4)/(1+'3. Assumptions'!$B$28)^('7. Cash flow'!$A$7:$A$86/4))-SUMPRODUCT((1-(0))^('7. Cash flow'!$A$7:$A$86/4)*'2. The tape'!$C$17/4*(1-'3. Assumptions'!$B$13)*(1+MIN(MAX($A9,'3. Assumptions'!$B$11),'3. Assumptions'!$B$10))^INT(('7. Cash flow'!$A$7:$A$86-1)/4)/(1+'3. Assumptions'!$B$28)^('7. Cash flow'!$A$7:$A$86/4))</f>
        <v>0</v>
      </c>
      <c r="H9" s="33" t="n">
        <f aca="false">SUMPRODUCT((1-(0))^('7. Cash flow'!$A$7:$A$86/4)*'2. The tape'!$C$17/4*(1-'3. Assumptions'!$B$13)*(1+MIN(MAX($A9,'3. Assumptions'!$B$11),'3. Assumptions'!$B$10))^INT(('7. Cash flow'!$A$7:$A$86-1)/4)/(1+'3. Assumptions'!$B$28)^('7. Cash flow'!$A$7:$A$86/4))-SUMPRODUCT((1-(0))^('7. Cash flow'!$A$7:$A$86/4)*'2. The tape'!$C$17/4*(1-'3. Assumptions'!$B$13)*(1+MIN($A9,'3. Assumptions'!$B$10))^INT(('7. Cash flow'!$A$7:$A$86-1)/4)/(1+'3. Assumptions'!$B$28)^('7. Cash flow'!$A$7:$A$86/4))</f>
        <v>0</v>
      </c>
    </row>
    <row r="10" customFormat="false" ht="15" hidden="false" customHeight="false" outlineLevel="0" collapsed="false">
      <c r="A10" s="39" t="n">
        <v>0.04</v>
      </c>
      <c r="B10" s="33" t="n">
        <f aca="false">'2. The tape'!$C$17*(1+MIN(MAX($A10,'3. Assumptions'!$B$11),'3. Assumptions'!$B$10))^('3. Assumptions'!$B$9-1)</f>
        <v>21241095.5739495</v>
      </c>
      <c r="C10" s="33" t="n">
        <f aca="false">SUMPRODUCT((1-(0))^('7. Cash flow'!$A$7:$A$86/4)*'2. The tape'!$C$17/4*(1-'3. Assumptions'!$B$13)*(1+MAX($A10,'3. Assumptions'!$B$11))^INT(('7. Cash flow'!$A$7:$A$86-1)/4)/(1+('3. Assumptions'!$B$28+$A10-'3. Assumptions'!$B$12))^('7. Cash flow'!$A$7:$A$86/4))-SUMPRODUCT((1-(0))^('7. Cash flow'!$A$7:$A$86/4)*'2. The tape'!$C$17/4*(1-'3. Assumptions'!$B$13)*(1+MIN(MAX($A10,'3. Assumptions'!$B$11),'3. Assumptions'!$B$10))^INT(('7. Cash flow'!$A$7:$A$86-1)/4)/(1+('3. Assumptions'!$B$28+$A10-'3. Assumptions'!$B$12))^('7. Cash flow'!$A$7:$A$86/4))</f>
        <v>16367272.7215199</v>
      </c>
      <c r="D10" s="33" t="n">
        <f aca="false">SUMPRODUCT((1-(0))^('7. Cash flow'!$A$7:$A$86/4)*'2. The tape'!$C$17/4*(1-'3. Assumptions'!$B$13)*(1+MIN(MAX($A10,'3. Assumptions'!$B$11),'3. Assumptions'!$B$10))^INT(('7. Cash flow'!$A$7:$A$86-1)/4)/(1+('3. Assumptions'!$B$28+$A10-'3. Assumptions'!$B$12))^('7. Cash flow'!$A$7:$A$86/4))-SUMPRODUCT((1-(0))^('7. Cash flow'!$A$7:$A$86/4)*'2. The tape'!$C$17/4*(1-'3. Assumptions'!$B$13)*(1+MIN($A10,'3. Assumptions'!$B$10))^INT(('7. Cash flow'!$A$7:$A$86-1)/4)/(1+('3. Assumptions'!$B$28+$A10-'3. Assumptions'!$B$12))^('7. Cash flow'!$A$7:$A$86/4))</f>
        <v>0</v>
      </c>
      <c r="E10" s="33" t="n">
        <f aca="false">SUMPRODUCT((1-(('3. Assumptions'!$B$21/(1-'3. Assumptions'!$B$22))))^('7. Cash flow'!$A$7:$A$86/4)*'2. The tape'!$C$17/4*(1-'3. Assumptions'!$B$13)*(1+MAX($A10,'3. Assumptions'!$B$11))^INT(('7. Cash flow'!$A$7:$A$86-1)/4)/(1+('3. Assumptions'!$B$28+$A10-'3. Assumptions'!$B$12))^('7. Cash flow'!$A$7:$A$86/4))-SUMPRODUCT((1-(('3. Assumptions'!$B$21/(1-'3. Assumptions'!$B$22))))^('7. Cash flow'!$A$7:$A$86/4)*'2. The tape'!$C$17/4*(1-'3. Assumptions'!$B$13)*(1+MIN(MAX($A10,'3. Assumptions'!$B$11),'3. Assumptions'!$B$10))^INT(('7. Cash flow'!$A$7:$A$86-1)/4)/(1+('3. Assumptions'!$B$28+$A10-'3. Assumptions'!$B$12))^('7. Cash flow'!$A$7:$A$86/4))</f>
        <v>7184387.8098371</v>
      </c>
      <c r="F10" s="33" t="n">
        <f aca="false">SUMPRODUCT((1-(('3. Assumptions'!$B$21/(1-'3. Assumptions'!$B$22))))^('7. Cash flow'!$A$7:$A$86/4)*'2. The tape'!$C$17/4*(1-'3. Assumptions'!$B$13)*(1+MIN(MAX($A10,'3. Assumptions'!$B$11),'3. Assumptions'!$B$10))^INT(('7. Cash flow'!$A$7:$A$86-1)/4)/(1+('3. Assumptions'!$B$28+$A10-'3. Assumptions'!$B$12))^('7. Cash flow'!$A$7:$A$86/4))-SUMPRODUCT((1-(('3. Assumptions'!$B$21/(1-'3. Assumptions'!$B$22))))^('7. Cash flow'!$A$7:$A$86/4)*'2. The tape'!$C$17/4*(1-'3. Assumptions'!$B$13)*(1+MIN($A10,'3. Assumptions'!$B$10))^INT(('7. Cash flow'!$A$7:$A$86-1)/4)/(1+('3. Assumptions'!$B$28+$A10-'3. Assumptions'!$B$12))^('7. Cash flow'!$A$7:$A$86/4))</f>
        <v>0</v>
      </c>
      <c r="G10" s="33" t="n">
        <f aca="false">SUMPRODUCT((1-(0))^('7. Cash flow'!$A$7:$A$86/4)*'2. The tape'!$C$17/4*(1-'3. Assumptions'!$B$13)*(1+MAX($A10,'3. Assumptions'!$B$11))^INT(('7. Cash flow'!$A$7:$A$86-1)/4)/(1+'3. Assumptions'!$B$28)^('7. Cash flow'!$A$7:$A$86/4))-SUMPRODUCT((1-(0))^('7. Cash flow'!$A$7:$A$86/4)*'2. The tape'!$C$17/4*(1-'3. Assumptions'!$B$13)*(1+MIN(MAX($A10,'3. Assumptions'!$B$11),'3. Assumptions'!$B$10))^INT(('7. Cash flow'!$A$7:$A$86-1)/4)/(1+'3. Assumptions'!$B$28)^('7. Cash flow'!$A$7:$A$86/4))</f>
        <v>20593794.401498</v>
      </c>
      <c r="H10" s="33" t="n">
        <f aca="false">SUMPRODUCT((1-(0))^('7. Cash flow'!$A$7:$A$86/4)*'2. The tape'!$C$17/4*(1-'3. Assumptions'!$B$13)*(1+MIN(MAX($A10,'3. Assumptions'!$B$11),'3. Assumptions'!$B$10))^INT(('7. Cash flow'!$A$7:$A$86-1)/4)/(1+'3. Assumptions'!$B$28)^('7. Cash flow'!$A$7:$A$86/4))-SUMPRODUCT((1-(0))^('7. Cash flow'!$A$7:$A$86/4)*'2. The tape'!$C$17/4*(1-'3. Assumptions'!$B$13)*(1+MIN($A10,'3. Assumptions'!$B$10))^INT(('7. Cash flow'!$A$7:$A$86-1)/4)/(1+'3. Assumptions'!$B$28)^('7. Cash flow'!$A$7:$A$86/4))</f>
        <v>0</v>
      </c>
    </row>
    <row r="11" customFormat="false" ht="15" hidden="false" customHeight="false" outlineLevel="0" collapsed="false">
      <c r="A11" s="39" t="n">
        <v>0.045</v>
      </c>
      <c r="B11" s="33" t="n">
        <f aca="false">'2. The tape'!$C$17*(1+MIN(MAX($A11,'3. Assumptions'!$B$11),'3. Assumptions'!$B$10))^('3. Assumptions'!$B$9-1)</f>
        <v>21241095.5739495</v>
      </c>
      <c r="C11" s="33" t="n">
        <f aca="false">SUMPRODUCT((1-(0))^('7. Cash flow'!$A$7:$A$86/4)*'2. The tape'!$C$17/4*(1-'3. Assumptions'!$B$13)*(1+MAX($A11,'3. Assumptions'!$B$11))^INT(('7. Cash flow'!$A$7:$A$86-1)/4)/(1+('3. Assumptions'!$B$28+$A11-'3. Assumptions'!$B$12))^('7. Cash flow'!$A$7:$A$86/4))-SUMPRODUCT((1-(0))^('7. Cash flow'!$A$7:$A$86/4)*'2. The tape'!$C$17/4*(1-'3. Assumptions'!$B$13)*(1+MIN(MAX($A11,'3. Assumptions'!$B$11),'3. Assumptions'!$B$10))^INT(('7. Cash flow'!$A$7:$A$86-1)/4)/(1+('3. Assumptions'!$B$28+$A11-'3. Assumptions'!$B$12))^('7. Cash flow'!$A$7:$A$86/4))</f>
        <v>23739912.1394994</v>
      </c>
      <c r="D11" s="33" t="n">
        <f aca="false">SUMPRODUCT((1-(0))^('7. Cash flow'!$A$7:$A$86/4)*'2. The tape'!$C$17/4*(1-'3. Assumptions'!$B$13)*(1+MIN(MAX($A11,'3. Assumptions'!$B$11),'3. Assumptions'!$B$10))^INT(('7. Cash flow'!$A$7:$A$86-1)/4)/(1+('3. Assumptions'!$B$28+$A11-'3. Assumptions'!$B$12))^('7. Cash flow'!$A$7:$A$86/4))-SUMPRODUCT((1-(0))^('7. Cash flow'!$A$7:$A$86/4)*'2. The tape'!$C$17/4*(1-'3. Assumptions'!$B$13)*(1+MIN($A11,'3. Assumptions'!$B$10))^INT(('7. Cash flow'!$A$7:$A$86-1)/4)/(1+('3. Assumptions'!$B$28+$A11-'3. Assumptions'!$B$12))^('7. Cash flow'!$A$7:$A$86/4))</f>
        <v>0</v>
      </c>
      <c r="E11" s="33" t="n">
        <f aca="false">SUMPRODUCT((1-(('3. Assumptions'!$B$21/(1-'3. Assumptions'!$B$22))))^('7. Cash flow'!$A$7:$A$86/4)*'2. The tape'!$C$17/4*(1-'3. Assumptions'!$B$13)*(1+MAX($A11,'3. Assumptions'!$B$11))^INT(('7. Cash flow'!$A$7:$A$86-1)/4)/(1+('3. Assumptions'!$B$28+$A11-'3. Assumptions'!$B$12))^('7. Cash flow'!$A$7:$A$86/4))-SUMPRODUCT((1-(('3. Assumptions'!$B$21/(1-'3. Assumptions'!$B$22))))^('7. Cash flow'!$A$7:$A$86/4)*'2. The tape'!$C$17/4*(1-'3. Assumptions'!$B$13)*(1+MIN(MAX($A11,'3. Assumptions'!$B$11),'3. Assumptions'!$B$10))^INT(('7. Cash flow'!$A$7:$A$86-1)/4)/(1+('3. Assumptions'!$B$28+$A11-'3. Assumptions'!$B$12))^('7. Cash flow'!$A$7:$A$86/4))</f>
        <v>10456702.4897622</v>
      </c>
      <c r="F11" s="33" t="n">
        <f aca="false">SUMPRODUCT((1-(('3. Assumptions'!$B$21/(1-'3. Assumptions'!$B$22))))^('7. Cash flow'!$A$7:$A$86/4)*'2. The tape'!$C$17/4*(1-'3. Assumptions'!$B$13)*(1+MIN(MAX($A11,'3. Assumptions'!$B$11),'3. Assumptions'!$B$10))^INT(('7. Cash flow'!$A$7:$A$86-1)/4)/(1+('3. Assumptions'!$B$28+$A11-'3. Assumptions'!$B$12))^('7. Cash flow'!$A$7:$A$86/4))-SUMPRODUCT((1-(('3. Assumptions'!$B$21/(1-'3. Assumptions'!$B$22))))^('7. Cash flow'!$A$7:$A$86/4)*'2. The tape'!$C$17/4*(1-'3. Assumptions'!$B$13)*(1+MIN($A11,'3. Assumptions'!$B$10))^INT(('7. Cash flow'!$A$7:$A$86-1)/4)/(1+('3. Assumptions'!$B$28+$A11-'3. Assumptions'!$B$12))^('7. Cash flow'!$A$7:$A$86/4))</f>
        <v>0</v>
      </c>
      <c r="G11" s="33" t="n">
        <f aca="false">SUMPRODUCT((1-(0))^('7. Cash flow'!$A$7:$A$86/4)*'2. The tape'!$C$17/4*(1-'3. Assumptions'!$B$13)*(1+MAX($A11,'3. Assumptions'!$B$11))^INT(('7. Cash flow'!$A$7:$A$86-1)/4)/(1+'3. Assumptions'!$B$28)^('7. Cash flow'!$A$7:$A$86/4))-SUMPRODUCT((1-(0))^('7. Cash flow'!$A$7:$A$86/4)*'2. The tape'!$C$17/4*(1-'3. Assumptions'!$B$13)*(1+MIN(MAX($A11,'3. Assumptions'!$B$11),'3. Assumptions'!$B$10))^INT(('7. Cash flow'!$A$7:$A$86-1)/4)/(1+'3. Assumptions'!$B$28)^('7. Cash flow'!$A$7:$A$86/4))</f>
        <v>31818071.4812228</v>
      </c>
      <c r="H11" s="33" t="n">
        <f aca="false">SUMPRODUCT((1-(0))^('7. Cash flow'!$A$7:$A$86/4)*'2. The tape'!$C$17/4*(1-'3. Assumptions'!$B$13)*(1+MIN(MAX($A11,'3. Assumptions'!$B$11),'3. Assumptions'!$B$10))^INT(('7. Cash flow'!$A$7:$A$86-1)/4)/(1+'3. Assumptions'!$B$28)^('7. Cash flow'!$A$7:$A$86/4))-SUMPRODUCT((1-(0))^('7. Cash flow'!$A$7:$A$86/4)*'2. The tape'!$C$17/4*(1-'3. Assumptions'!$B$13)*(1+MIN($A11,'3. Assumptions'!$B$10))^INT(('7. Cash flow'!$A$7:$A$86-1)/4)/(1+'3. Assumptions'!$B$28)^('7. Cash flow'!$A$7:$A$86/4))</f>
        <v>0</v>
      </c>
    </row>
    <row r="12" customFormat="false" ht="15" hidden="false" customHeight="false" outlineLevel="0" collapsed="false">
      <c r="A12" s="39" t="n">
        <v>0.05</v>
      </c>
      <c r="B12" s="33" t="n">
        <f aca="false">'2. The tape'!$C$17*(1+MIN(MAX($A12,'3. Assumptions'!$B$11),'3. Assumptions'!$B$10))^('3. Assumptions'!$B$9-1)</f>
        <v>21241095.5739495</v>
      </c>
      <c r="C12" s="33" t="n">
        <f aca="false">SUMPRODUCT((1-(0))^('7. Cash flow'!$A$7:$A$86/4)*'2. The tape'!$C$17/4*(1-'3. Assumptions'!$B$13)*(1+MAX($A12,'3. Assumptions'!$B$11))^INT(('7. Cash flow'!$A$7:$A$86-1)/4)/(1+('3. Assumptions'!$B$28+$A12-'3. Assumptions'!$B$12))^('7. Cash flow'!$A$7:$A$86/4))-SUMPRODUCT((1-(0))^('7. Cash flow'!$A$7:$A$86/4)*'2. The tape'!$C$17/4*(1-'3. Assumptions'!$B$13)*(1+MIN(MAX($A12,'3. Assumptions'!$B$11),'3. Assumptions'!$B$10))^INT(('7. Cash flow'!$A$7:$A$86-1)/4)/(1+('3. Assumptions'!$B$28+$A12-'3. Assumptions'!$B$12))^('7. Cash flow'!$A$7:$A$86/4))</f>
        <v>30625990.3869345</v>
      </c>
      <c r="D12" s="33" t="n">
        <f aca="false">SUMPRODUCT((1-(0))^('7. Cash flow'!$A$7:$A$86/4)*'2. The tape'!$C$17/4*(1-'3. Assumptions'!$B$13)*(1+MIN(MAX($A12,'3. Assumptions'!$B$11),'3. Assumptions'!$B$10))^INT(('7. Cash flow'!$A$7:$A$86-1)/4)/(1+('3. Assumptions'!$B$28+$A12-'3. Assumptions'!$B$12))^('7. Cash flow'!$A$7:$A$86/4))-SUMPRODUCT((1-(0))^('7. Cash flow'!$A$7:$A$86/4)*'2. The tape'!$C$17/4*(1-'3. Assumptions'!$B$13)*(1+MIN($A12,'3. Assumptions'!$B$10))^INT(('7. Cash flow'!$A$7:$A$86-1)/4)/(1+('3. Assumptions'!$B$28+$A12-'3. Assumptions'!$B$12))^('7. Cash flow'!$A$7:$A$86/4))</f>
        <v>0</v>
      </c>
      <c r="E12" s="33" t="n">
        <f aca="false">SUMPRODUCT((1-(('3. Assumptions'!$B$21/(1-'3. Assumptions'!$B$22))))^('7. Cash flow'!$A$7:$A$86/4)*'2. The tape'!$C$17/4*(1-'3. Assumptions'!$B$13)*(1+MAX($A12,'3. Assumptions'!$B$11))^INT(('7. Cash flow'!$A$7:$A$86-1)/4)/(1+('3. Assumptions'!$B$28+$A12-'3. Assumptions'!$B$12))^('7. Cash flow'!$A$7:$A$86/4))-SUMPRODUCT((1-(('3. Assumptions'!$B$21/(1-'3. Assumptions'!$B$22))))^('7. Cash flow'!$A$7:$A$86/4)*'2. The tape'!$C$17/4*(1-'3. Assumptions'!$B$13)*(1+MIN(MAX($A12,'3. Assumptions'!$B$11),'3. Assumptions'!$B$10))^INT(('7. Cash flow'!$A$7:$A$86-1)/4)/(1+('3. Assumptions'!$B$28+$A12-'3. Assumptions'!$B$12))^('7. Cash flow'!$A$7:$A$86/4))</f>
        <v>13535599.929639</v>
      </c>
      <c r="F12" s="33" t="n">
        <f aca="false">SUMPRODUCT((1-(('3. Assumptions'!$B$21/(1-'3. Assumptions'!$B$22))))^('7. Cash flow'!$A$7:$A$86/4)*'2. The tape'!$C$17/4*(1-'3. Assumptions'!$B$13)*(1+MIN(MAX($A12,'3. Assumptions'!$B$11),'3. Assumptions'!$B$10))^INT(('7. Cash flow'!$A$7:$A$86-1)/4)/(1+('3. Assumptions'!$B$28+$A12-'3. Assumptions'!$B$12))^('7. Cash flow'!$A$7:$A$86/4))-SUMPRODUCT((1-(('3. Assumptions'!$B$21/(1-'3. Assumptions'!$B$22))))^('7. Cash flow'!$A$7:$A$86/4)*'2. The tape'!$C$17/4*(1-'3. Assumptions'!$B$13)*(1+MIN($A12,'3. Assumptions'!$B$10))^INT(('7. Cash flow'!$A$7:$A$86-1)/4)/(1+('3. Assumptions'!$B$28+$A12-'3. Assumptions'!$B$12))^('7. Cash flow'!$A$7:$A$86/4))</f>
        <v>0</v>
      </c>
      <c r="G12" s="33" t="n">
        <f aca="false">SUMPRODUCT((1-(0))^('7. Cash flow'!$A$7:$A$86/4)*'2. The tape'!$C$17/4*(1-'3. Assumptions'!$B$13)*(1+MAX($A12,'3. Assumptions'!$B$11))^INT(('7. Cash flow'!$A$7:$A$86-1)/4)/(1+'3. Assumptions'!$B$28)^('7. Cash flow'!$A$7:$A$86/4))-SUMPRODUCT((1-(0))^('7. Cash flow'!$A$7:$A$86/4)*'2. The tape'!$C$17/4*(1-'3. Assumptions'!$B$13)*(1+MIN(MAX($A12,'3. Assumptions'!$B$11),'3. Assumptions'!$B$10))^INT(('7. Cash flow'!$A$7:$A$86-1)/4)/(1+'3. Assumptions'!$B$28)^('7. Cash flow'!$A$7:$A$86/4))</f>
        <v>43713060.079663</v>
      </c>
      <c r="H12" s="33" t="n">
        <f aca="false">SUMPRODUCT((1-(0))^('7. Cash flow'!$A$7:$A$86/4)*'2. The tape'!$C$17/4*(1-'3. Assumptions'!$B$13)*(1+MIN(MAX($A12,'3. Assumptions'!$B$11),'3. Assumptions'!$B$10))^INT(('7. Cash flow'!$A$7:$A$86-1)/4)/(1+'3. Assumptions'!$B$28)^('7. Cash flow'!$A$7:$A$86/4))-SUMPRODUCT((1-(0))^('7. Cash flow'!$A$7:$A$86/4)*'2. The tape'!$C$17/4*(1-'3. Assumptions'!$B$13)*(1+MIN($A12,'3. Assumptions'!$B$10))^INT(('7. Cash flow'!$A$7:$A$86-1)/4)/(1+'3. Assumptions'!$B$28)^('7. Cash flow'!$A$7:$A$86/4))</f>
        <v>0</v>
      </c>
    </row>
    <row r="13" customFormat="false" ht="15" hidden="false" customHeight="false" outlineLevel="0" collapsed="false">
      <c r="A13" s="39" t="n">
        <v>0.06</v>
      </c>
      <c r="B13" s="33" t="n">
        <f aca="false">'2. The tape'!$C$17*(1+MIN(MAX($A13,'3. Assumptions'!$B$11),'3. Assumptions'!$B$10))^('3. Assumptions'!$B$9-1)</f>
        <v>21241095.5739495</v>
      </c>
      <c r="C13" s="33" t="n">
        <f aca="false">SUMPRODUCT((1-(0))^('7. Cash flow'!$A$7:$A$86/4)*'2. The tape'!$C$17/4*(1-'3. Assumptions'!$B$13)*(1+MAX($A13,'3. Assumptions'!$B$11))^INT(('7. Cash flow'!$A$7:$A$86-1)/4)/(1+('3. Assumptions'!$B$28+$A13-'3. Assumptions'!$B$12))^('7. Cash flow'!$A$7:$A$86/4))-SUMPRODUCT((1-(0))^('7. Cash flow'!$A$7:$A$86/4)*'2. The tape'!$C$17/4*(1-'3. Assumptions'!$B$13)*(1+MIN(MAX($A13,'3. Assumptions'!$B$11),'3. Assumptions'!$B$10))^INT(('7. Cash flow'!$A$7:$A$86-1)/4)/(1+('3. Assumptions'!$B$28+$A13-'3. Assumptions'!$B$12))^('7. Cash flow'!$A$7:$A$86/4))</f>
        <v>43080829.2253428</v>
      </c>
      <c r="D13" s="33" t="n">
        <f aca="false">SUMPRODUCT((1-(0))^('7. Cash flow'!$A$7:$A$86/4)*'2. The tape'!$C$17/4*(1-'3. Assumptions'!$B$13)*(1+MIN(MAX($A13,'3. Assumptions'!$B$11),'3. Assumptions'!$B$10))^INT(('7. Cash flow'!$A$7:$A$86-1)/4)/(1+('3. Assumptions'!$B$28+$A13-'3. Assumptions'!$B$12))^('7. Cash flow'!$A$7:$A$86/4))-SUMPRODUCT((1-(0))^('7. Cash flow'!$A$7:$A$86/4)*'2. The tape'!$C$17/4*(1-'3. Assumptions'!$B$13)*(1+MIN($A13,'3. Assumptions'!$B$10))^INT(('7. Cash flow'!$A$7:$A$86-1)/4)/(1+('3. Assumptions'!$B$28+$A13-'3. Assumptions'!$B$12))^('7. Cash flow'!$A$7:$A$86/4))</f>
        <v>0</v>
      </c>
      <c r="E13" s="33" t="n">
        <f aca="false">SUMPRODUCT((1-(('3. Assumptions'!$B$21/(1-'3. Assumptions'!$B$22))))^('7. Cash flow'!$A$7:$A$86/4)*'2. The tape'!$C$17/4*(1-'3. Assumptions'!$B$13)*(1+MAX($A13,'3. Assumptions'!$B$11))^INT(('7. Cash flow'!$A$7:$A$86-1)/4)/(1+('3. Assumptions'!$B$28+$A13-'3. Assumptions'!$B$12))^('7. Cash flow'!$A$7:$A$86/4))-SUMPRODUCT((1-(('3. Assumptions'!$B$21/(1-'3. Assumptions'!$B$22))))^('7. Cash flow'!$A$7:$A$86/4)*'2. The tape'!$C$17/4*(1-'3. Assumptions'!$B$13)*(1+MIN(MAX($A13,'3. Assumptions'!$B$11),'3. Assumptions'!$B$10))^INT(('7. Cash flow'!$A$7:$A$86-1)/4)/(1+('3. Assumptions'!$B$28+$A13-'3. Assumptions'!$B$12))^('7. Cash flow'!$A$7:$A$86/4))</f>
        <v>19165693.4604193</v>
      </c>
      <c r="F13" s="33" t="n">
        <f aca="false">SUMPRODUCT((1-(('3. Assumptions'!$B$21/(1-'3. Assumptions'!$B$22))))^('7. Cash flow'!$A$7:$A$86/4)*'2. The tape'!$C$17/4*(1-'3. Assumptions'!$B$13)*(1+MIN(MAX($A13,'3. Assumptions'!$B$11),'3. Assumptions'!$B$10))^INT(('7. Cash flow'!$A$7:$A$86-1)/4)/(1+('3. Assumptions'!$B$28+$A13-'3. Assumptions'!$B$12))^('7. Cash flow'!$A$7:$A$86/4))-SUMPRODUCT((1-(('3. Assumptions'!$B$21/(1-'3. Assumptions'!$B$22))))^('7. Cash flow'!$A$7:$A$86/4)*'2. The tape'!$C$17/4*(1-'3. Assumptions'!$B$13)*(1+MIN($A13,'3. Assumptions'!$B$10))^INT(('7. Cash flow'!$A$7:$A$86-1)/4)/(1+('3. Assumptions'!$B$28+$A13-'3. Assumptions'!$B$12))^('7. Cash flow'!$A$7:$A$86/4))</f>
        <v>0</v>
      </c>
      <c r="G13" s="33" t="n">
        <f aca="false">SUMPRODUCT((1-(0))^('7. Cash flow'!$A$7:$A$86/4)*'2. The tape'!$C$17/4*(1-'3. Assumptions'!$B$13)*(1+MAX($A13,'3. Assumptions'!$B$11))^INT(('7. Cash flow'!$A$7:$A$86-1)/4)/(1+'3. Assumptions'!$B$28)^('7. Cash flow'!$A$7:$A$86/4))-SUMPRODUCT((1-(0))^('7. Cash flow'!$A$7:$A$86/4)*'2. The tape'!$C$17/4*(1-'3. Assumptions'!$B$13)*(1+MIN(MAX($A13,'3. Assumptions'!$B$11),'3. Assumptions'!$B$10))^INT(('7. Cash flow'!$A$7:$A$86-1)/4)/(1+'3. Assumptions'!$B$28)^('7. Cash flow'!$A$7:$A$86/4))</f>
        <v>69687757.704977</v>
      </c>
      <c r="H13" s="33" t="n">
        <f aca="false">SUMPRODUCT((1-(0))^('7. Cash flow'!$A$7:$A$86/4)*'2. The tape'!$C$17/4*(1-'3. Assumptions'!$B$13)*(1+MIN(MAX($A13,'3. Assumptions'!$B$11),'3. Assumptions'!$B$10))^INT(('7. Cash flow'!$A$7:$A$86-1)/4)/(1+'3. Assumptions'!$B$28)^('7. Cash flow'!$A$7:$A$86/4))-SUMPRODUCT((1-(0))^('7. Cash flow'!$A$7:$A$86/4)*'2. The tape'!$C$17/4*(1-'3. Assumptions'!$B$13)*(1+MIN($A13,'3. Assumptions'!$B$10))^INT(('7. Cash flow'!$A$7:$A$86-1)/4)/(1+'3. Assumptions'!$B$28)^('7. Cash flow'!$A$7:$A$86/4))</f>
        <v>0</v>
      </c>
    </row>
    <row r="15" customFormat="false" ht="15" hidden="false" customHeight="false" outlineLevel="0" collapsed="false">
      <c r="A15" s="20" t="s">
        <v>222</v>
      </c>
      <c r="C15" s="13" t="n">
        <f aca="false">C11/('2. The tape'!$C$17/'3. Assumptions'!$B$4)</f>
        <v>0.132285802568722</v>
      </c>
      <c r="E15" s="13" t="n">
        <f aca="false">E11/('2. The tape'!$C$17/'3. Assumptions'!$B$4)</f>
        <v>0.0582678348998185</v>
      </c>
      <c r="G15" s="13" t="n">
        <f aca="false">G11/('2. The tape'!$C$17/'3. Assumptions'!$B$4)</f>
        <v>0.177299692490407</v>
      </c>
    </row>
    <row r="16" customFormat="false" ht="15" hidden="false" customHeight="false" outlineLevel="0" collapsed="false">
      <c r="A16" s="20" t="s">
        <v>223</v>
      </c>
      <c r="C16" s="13" t="n">
        <f aca="false">1-(1+'3. Assumptions'!$B$10)/1.06</f>
        <v>0.0283018867924528</v>
      </c>
    </row>
    <row r="18" customFormat="false" ht="15" hidden="false" customHeight="false" outlineLevel="0" collapsed="false">
      <c r="A18" s="22" t="s">
        <v>224</v>
      </c>
    </row>
    <row r="19" customFormat="false" ht="15" hidden="false" customHeight="false" outlineLevel="0" collapsed="false">
      <c r="A19" s="22" t="s">
        <v>225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4" min="1" style="0" width="13"/>
    <col collapsed="false" customWidth="true" hidden="false" outlineLevel="0" max="9" min="6" style="0" width="13"/>
    <col collapsed="false" customWidth="true" hidden="false" outlineLevel="0" max="14" min="11" style="0" width="13"/>
    <col collapsed="false" customWidth="true" hidden="false" outlineLevel="0" max="19" min="16" style="0" width="13"/>
    <col collapsed="false" customWidth="true" hidden="false" outlineLevel="0" max="24" min="21" style="0" width="13"/>
    <col collapsed="false" customWidth="true" hidden="false" outlineLevel="0" max="29" min="26" style="0" width="13"/>
    <col collapsed="false" customWidth="true" hidden="false" outlineLevel="0" max="34" min="31" style="0" width="13"/>
    <col collapsed="false" customWidth="true" hidden="false" outlineLevel="0" max="39" min="36" style="0" width="13"/>
  </cols>
  <sheetData>
    <row r="1" customFormat="false" ht="16.15" hidden="false" customHeight="false" outlineLevel="0" collapsed="false">
      <c r="A1" s="38" t="s">
        <v>226</v>
      </c>
    </row>
    <row r="2" customFormat="false" ht="15" hidden="false" customHeight="false" outlineLevel="0" collapsed="false">
      <c r="A2" s="22" t="s">
        <v>227</v>
      </c>
    </row>
    <row r="4" customFormat="false" ht="15" hidden="false" customHeight="false" outlineLevel="0" collapsed="false">
      <c r="A4" s="30" t="s">
        <v>228</v>
      </c>
      <c r="F4" s="30" t="s">
        <v>229</v>
      </c>
      <c r="K4" s="30" t="s">
        <v>230</v>
      </c>
      <c r="P4" s="30" t="s">
        <v>231</v>
      </c>
      <c r="U4" s="30" t="s">
        <v>232</v>
      </c>
      <c r="Z4" s="30" t="s">
        <v>233</v>
      </c>
      <c r="AE4" s="30" t="s">
        <v>234</v>
      </c>
      <c r="AJ4" s="30" t="s">
        <v>235</v>
      </c>
    </row>
    <row r="5" customFormat="false" ht="15" hidden="false" customHeight="false" outlineLevel="0" collapsed="false">
      <c r="A5" s="22" t="s">
        <v>236</v>
      </c>
      <c r="F5" s="22" t="s">
        <v>236</v>
      </c>
      <c r="K5" s="22" t="s">
        <v>236</v>
      </c>
      <c r="P5" s="22" t="s">
        <v>236</v>
      </c>
      <c r="U5" s="22" t="s">
        <v>237</v>
      </c>
      <c r="Z5" s="22" t="s">
        <v>238</v>
      </c>
      <c r="AE5" s="22" t="s">
        <v>239</v>
      </c>
      <c r="AJ5" s="22" t="s">
        <v>240</v>
      </c>
    </row>
    <row r="6" customFormat="false" ht="15" hidden="false" customHeight="false" outlineLevel="0" collapsed="false">
      <c r="A6" s="30" t="s">
        <v>241</v>
      </c>
      <c r="B6" s="40" t="n">
        <f aca="false">C67</f>
        <v>0.0702608454046763</v>
      </c>
      <c r="C6" s="20" t="str">
        <f aca="false">IF(OR(ABS(C67-A8)&lt;0.000000001,ABS(C67-B8)&lt;0.000000001),"no root in range","converged")</f>
        <v>converged</v>
      </c>
      <c r="F6" s="30" t="s">
        <v>241</v>
      </c>
      <c r="G6" s="40" t="n">
        <f aca="false">H67</f>
        <v>0.0576608620644231</v>
      </c>
      <c r="H6" s="20" t="str">
        <f aca="false">IF(OR(ABS(H67-F8)&lt;0.000000001,ABS(H67-G8)&lt;0.000000001),"no root in range","converged")</f>
        <v>converged</v>
      </c>
      <c r="K6" s="30" t="s">
        <v>241</v>
      </c>
      <c r="L6" s="40" t="n">
        <f aca="false">M67</f>
        <v>0.0449128327103397</v>
      </c>
      <c r="M6" s="20" t="str">
        <f aca="false">IF(OR(ABS(M67-K8)&lt;0.000000001,ABS(M67-L8)&lt;0.000000001),"no root in range","converged")</f>
        <v>converged</v>
      </c>
      <c r="P6" s="30" t="s">
        <v>241</v>
      </c>
      <c r="Q6" s="40" t="n">
        <f aca="false">R67</f>
        <v>0.032285034807498</v>
      </c>
      <c r="R6" s="20" t="str">
        <f aca="false">IF(OR(ABS(R67-P8)&lt;0.000000001,ABS(R67-Q8)&lt;0.000000001),"no root in range","converged")</f>
        <v>converged</v>
      </c>
      <c r="U6" s="30" t="s">
        <v>241</v>
      </c>
      <c r="V6" s="40" t="n">
        <f aca="false">W67</f>
        <v>0.032285034807498</v>
      </c>
      <c r="W6" s="20" t="str">
        <f aca="false">IF(OR(ABS(W67-U8)&lt;0.000000001,ABS(W67-V8)&lt;0.000000001),"no root in range","converged")</f>
        <v>converged</v>
      </c>
      <c r="Z6" s="30" t="s">
        <v>241</v>
      </c>
      <c r="AA6" s="40" t="n">
        <f aca="false">AB67</f>
        <v>0.00364530202843607</v>
      </c>
      <c r="AB6" s="20" t="str">
        <f aca="false">IF(OR(ABS(AB67-Z8)&lt;0.000000001,ABS(AB67-AA8)&lt;0.000000001),"no root in range","converged")</f>
        <v>converged</v>
      </c>
      <c r="AE6" s="30" t="s">
        <v>241</v>
      </c>
      <c r="AF6" s="40" t="n">
        <f aca="false">AG67</f>
        <v>0.0501035708211505</v>
      </c>
      <c r="AG6" s="20" t="str">
        <f aca="false">IF(OR(ABS(AG67-AE8)&lt;0.000000001,ABS(AG67-AF8)&lt;0.000000001),"no root in range","converged")</f>
        <v>converged</v>
      </c>
      <c r="AJ6" s="30" t="s">
        <v>241</v>
      </c>
      <c r="AK6" s="40" t="n">
        <f aca="false">AL67</f>
        <v>-0.00180680470795946</v>
      </c>
      <c r="AL6" s="20" t="str">
        <f aca="false">IF(OR(ABS(AL67-AJ8)&lt;0.000000001,ABS(AL67-AK8)&lt;0.000000001),"no root in range","converged")</f>
        <v>converged</v>
      </c>
    </row>
    <row r="7" customFormat="false" ht="15" hidden="false" customHeight="false" outlineLevel="0" collapsed="false">
      <c r="A7" s="28" t="s">
        <v>242</v>
      </c>
      <c r="B7" s="28" t="s">
        <v>243</v>
      </c>
      <c r="C7" s="28" t="s">
        <v>244</v>
      </c>
      <c r="D7" s="28" t="s">
        <v>245</v>
      </c>
      <c r="F7" s="28" t="s">
        <v>242</v>
      </c>
      <c r="G7" s="28" t="s">
        <v>243</v>
      </c>
      <c r="H7" s="28" t="s">
        <v>244</v>
      </c>
      <c r="I7" s="28" t="s">
        <v>245</v>
      </c>
      <c r="K7" s="28" t="s">
        <v>242</v>
      </c>
      <c r="L7" s="28" t="s">
        <v>243</v>
      </c>
      <c r="M7" s="28" t="s">
        <v>244</v>
      </c>
      <c r="N7" s="28" t="s">
        <v>245</v>
      </c>
      <c r="P7" s="28" t="s">
        <v>242</v>
      </c>
      <c r="Q7" s="28" t="s">
        <v>243</v>
      </c>
      <c r="R7" s="28" t="s">
        <v>244</v>
      </c>
      <c r="S7" s="28" t="s">
        <v>245</v>
      </c>
      <c r="U7" s="28" t="s">
        <v>242</v>
      </c>
      <c r="V7" s="28" t="s">
        <v>243</v>
      </c>
      <c r="W7" s="28" t="s">
        <v>244</v>
      </c>
      <c r="X7" s="28" t="s">
        <v>245</v>
      </c>
      <c r="Z7" s="28" t="s">
        <v>242</v>
      </c>
      <c r="AA7" s="28" t="s">
        <v>243</v>
      </c>
      <c r="AB7" s="28" t="s">
        <v>244</v>
      </c>
      <c r="AC7" s="28" t="s">
        <v>245</v>
      </c>
      <c r="AE7" s="28" t="s">
        <v>242</v>
      </c>
      <c r="AF7" s="28" t="s">
        <v>243</v>
      </c>
      <c r="AG7" s="28" t="s">
        <v>244</v>
      </c>
      <c r="AH7" s="28" t="s">
        <v>245</v>
      </c>
      <c r="AJ7" s="28" t="s">
        <v>242</v>
      </c>
      <c r="AK7" s="28" t="s">
        <v>243</v>
      </c>
      <c r="AL7" s="28" t="s">
        <v>244</v>
      </c>
      <c r="AM7" s="28" t="s">
        <v>245</v>
      </c>
    </row>
    <row r="8" customFormat="false" ht="15" hidden="false" customHeight="false" outlineLevel="0" collapsed="false">
      <c r="A8" s="41" t="n">
        <v>0</v>
      </c>
      <c r="B8" s="41" t="n">
        <v>0.6</v>
      </c>
      <c r="C8" s="41" t="n">
        <f aca="false">(A8+B8)/2</f>
        <v>0.3</v>
      </c>
      <c r="D8" s="42" t="n">
        <f aca="false">(SUMPRODUCT((1-(C8))^('7. Cash flow'!$A$7:$A$86/4)*'7. Cash flow'!$C$7:$C$86/(1+(('3. Assumptions'!$B$6+'6. The ladder'!$B$6)))^('7. Cash flow'!$A$7:$A$86/4))+SUMPRODUCT((1-(C8))^(('7. Cash flow'!$A$7:$A$86-1)/4)*(1-(1-(C8))^0.25)*'7. Cash flow'!$D$7:$D$86/(1+(('3. Assumptions'!$B$6+'6. The ladder'!$C$6)))^('7. Cash flow'!$A$7:$A$86/4))+(1-(C8))^'3. Assumptions'!$B$9*'7. Cash flow'!$D$87/(1+(('3. Assumptions'!$B$6+'6. The ladder'!$C$6)))^'3. Assumptions'!$B$9)/(1+'3. Assumptions'!$B$14)-('2. The tape'!$C$17/'3. Assumptions'!$B$4)</f>
        <v>-74964616.0973286</v>
      </c>
      <c r="F8" s="41" t="n">
        <v>0</v>
      </c>
      <c r="G8" s="41" t="n">
        <v>0.6</v>
      </c>
      <c r="H8" s="41" t="n">
        <f aca="false">(F8+G8)/2</f>
        <v>0.3</v>
      </c>
      <c r="I8" s="42" t="n">
        <f aca="false">(SUMPRODUCT((1-(H8))^('7. Cash flow'!$A$7:$A$86/4)*'7. Cash flow'!$C$7:$C$86/(1+(('3. Assumptions'!$B$6+'6. The ladder'!$B$7)))^('7. Cash flow'!$A$7:$A$86/4))+SUMPRODUCT((1-(H8))^(('7. Cash flow'!$A$7:$A$86-1)/4)*(1-(1-(H8))^0.25)*'7. Cash flow'!$D$7:$D$86/(1+(('3. Assumptions'!$B$6+'6. The ladder'!$C$7)))^('7. Cash flow'!$A$7:$A$86/4))+(1-(H8))^'3. Assumptions'!$B$9*'7. Cash flow'!$D$87/(1+(('3. Assumptions'!$B$6+'6. The ladder'!$C$7)))^'3. Assumptions'!$B$9)/(1+'3. Assumptions'!$B$14)-('2. The tape'!$C$17/'3. Assumptions'!$B$4)</f>
        <v>-76003593.7813414</v>
      </c>
      <c r="K8" s="41" t="n">
        <v>0</v>
      </c>
      <c r="L8" s="41" t="n">
        <v>0.6</v>
      </c>
      <c r="M8" s="41" t="n">
        <f aca="false">(K8+L8)/2</f>
        <v>0.3</v>
      </c>
      <c r="N8" s="42" t="n">
        <f aca="false">(SUMPRODUCT((1-(M8))^('7. Cash flow'!$A$7:$A$86/4)*'7. Cash flow'!$C$7:$C$86/(1+(('3. Assumptions'!$B$6+'6. The ladder'!$B$8)))^('7. Cash flow'!$A$7:$A$86/4))+SUMPRODUCT((1-(M8))^(('7. Cash flow'!$A$7:$A$86-1)/4)*(1-(1-(M8))^0.25)*'7. Cash flow'!$D$7:$D$86/(1+(('3. Assumptions'!$B$6+'6. The ladder'!$C$8)))^('7. Cash flow'!$A$7:$A$86/4))+(1-(M8))^'3. Assumptions'!$B$9*'7. Cash flow'!$D$87/(1+(('3. Assumptions'!$B$6+'6. The ladder'!$C$8)))^'3. Assumptions'!$B$9)/(1+'3. Assumptions'!$B$14)-('2. The tape'!$C$17/'3. Assumptions'!$B$4)</f>
        <v>-79682267.7230694</v>
      </c>
      <c r="P8" s="41" t="n">
        <v>0</v>
      </c>
      <c r="Q8" s="41" t="n">
        <v>0.6</v>
      </c>
      <c r="R8" s="41" t="n">
        <f aca="false">(P8+Q8)/2</f>
        <v>0.3</v>
      </c>
      <c r="S8" s="42" t="n">
        <f aca="false">(SUMPRODUCT((1-(R8))^('7. Cash flow'!$A$7:$A$86/4)*'7. Cash flow'!$C$7:$C$86/(1+(('3. Assumptions'!$B$6+'6. The ladder'!$B$9)))^('7. Cash flow'!$A$7:$A$86/4))+SUMPRODUCT((1-(R8))^(('7. Cash flow'!$A$7:$A$86-1)/4)*(1-(1-(R8))^0.25)*'7. Cash flow'!$D$7:$D$86/(1+(('3. Assumptions'!$B$6+'6. The ladder'!$C$9)))^('7. Cash flow'!$A$7:$A$86/4))+(1-(R8))^'3. Assumptions'!$B$9*'7. Cash flow'!$D$87/(1+(('3. Assumptions'!$B$6+'6. The ladder'!$C$9)))^'3. Assumptions'!$B$9)/(1+'3. Assumptions'!$B$14)-('2. The tape'!$C$17/'3. Assumptions'!$B$4)</f>
        <v>-84332069.2777671</v>
      </c>
      <c r="U8" s="41" t="n">
        <v>0</v>
      </c>
      <c r="V8" s="41" t="n">
        <v>0.6</v>
      </c>
      <c r="W8" s="41" t="n">
        <f aca="false">(U8+V8)/2</f>
        <v>0.3</v>
      </c>
      <c r="X8" s="42" t="n">
        <f aca="false">(SUMPRODUCT((1-(W8))^('7. Cash flow'!$A$7:$A$86/4)*'7. Cash flow'!$C$7:$C$86/(1+('3. Assumptions'!$B$28))^('7. Cash flow'!$A$7:$A$86/4))+SUMPRODUCT((1-(W8))^(('7. Cash flow'!$A$7:$A$86-1)/4)*(1-(1-(W8))^0.25)*'7. Cash flow'!$D$7:$D$86/(1+('3. Assumptions'!$B$29))^('7. Cash flow'!$A$7:$A$86/4))+(1-(W8))^'3. Assumptions'!$B$9*'7. Cash flow'!$D$87/(1+('3. Assumptions'!$B$29))^'3. Assumptions'!$B$9)/(1+'3. Assumptions'!$B$14)-('2. The tape'!$C$17/'3. Assumptions'!$B$4)</f>
        <v>-84332069.2777671</v>
      </c>
      <c r="Z8" s="41" t="n">
        <v>-0.05</v>
      </c>
      <c r="AA8" s="41" t="n">
        <v>0.3</v>
      </c>
      <c r="AB8" s="41" t="n">
        <f aca="false">(Z8+AA8)/2</f>
        <v>0.125</v>
      </c>
      <c r="AC8" s="42" t="n">
        <f aca="false">(SUMPRODUCT((1-(('3. Assumptions'!$B$21/(1-'3. Assumptions'!$B$22))))^('7. Cash flow'!$A$7:$A$86/4)*'7. Cash flow'!$C$7:$C$86/(1+('3. Assumptions'!$B$6+AB8))^('7. Cash flow'!$A$7:$A$86/4))+SUMPRODUCT((1-(('3. Assumptions'!$B$21/(1-'3. Assumptions'!$B$22))))^(('7. Cash flow'!$A$7:$A$86-1)/4)*(1-(1-(('3. Assumptions'!$B$21/(1-'3. Assumptions'!$B$22))))^0.25)*'7. Cash flow'!$D$7:$D$86/(1+('3. Assumptions'!$B$6+AB8))^('7. Cash flow'!$A$7:$A$86/4))+(1-(('3. Assumptions'!$B$21/(1-'3. Assumptions'!$B$22))))^'3. Assumptions'!$B$9*'7. Cash flow'!$D$87/(1+('3. Assumptions'!$B$6+AB8))^'3. Assumptions'!$B$9)/(1+'3. Assumptions'!$B$14)-('2. The tape'!$C$17/'3. Assumptions'!$B$4)</f>
        <v>-93943623.5144826</v>
      </c>
      <c r="AE8" s="41" t="n">
        <v>0</v>
      </c>
      <c r="AF8" s="41" t="n">
        <v>0.3</v>
      </c>
      <c r="AG8" s="41" t="n">
        <f aca="false">(AE8+AF8)/2</f>
        <v>0.15</v>
      </c>
      <c r="AH8" s="42" t="n">
        <f aca="false">(SUMPRODUCT((1-(('3. Assumptions'!$B$21/(1-'3. Assumptions'!$B$22))))^('7. Cash flow'!$A$7:$A$86/4)*'7. Cash flow'!$C$7:$C$86/(1+(AG8))^('7. Cash flow'!$A$7:$A$86/4))+SUMPRODUCT((1-(('3. Assumptions'!$B$21/(1-'3. Assumptions'!$B$22))))^(('7. Cash flow'!$A$7:$A$86-1)/4)*(1-(1-(('3. Assumptions'!$B$21/(1-'3. Assumptions'!$B$22))))^0.25)*'7. Cash flow'!$D$7:$D$86/(1+(AG8))^('7. Cash flow'!$A$7:$A$86/4))+(1-(('3. Assumptions'!$B$21/(1-'3. Assumptions'!$B$22))))^'3. Assumptions'!$B$9*'7. Cash flow'!$D$87/(1+(AG8))^'3.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-67091298.0679696</v>
      </c>
      <c r="AJ8" s="41" t="n">
        <v>-0.05</v>
      </c>
      <c r="AK8" s="41" t="n">
        <v>0.3</v>
      </c>
      <c r="AL8" s="41" t="n">
        <f aca="false">(AJ8+AK8)/2</f>
        <v>0.125</v>
      </c>
      <c r="AM8" s="42" t="n">
        <f aca="false">SUMPRODUCT((1-('3. Assumptions'!$B$21/(1-'3. Assumptions'!$B$22)))^('7. Cash flow'!$A$7:$A$26/4)*('3. Assumptions'!$B$6+'3. Assumptions'!$B$21)/4/(1+'3. Assumptions'!$B$6+AL8)^('7. Cash flow'!$A$7:$A$26/4))+SUMPRODUCT((1-('3. Assumptions'!$B$21/(1-'3. Assumptions'!$B$22)))^(('7. Cash flow'!$A$7:$A$26-1)/4)*(1-(1-('3. Assumptions'!$B$21/(1-'3. Assumptions'!$B$22)))^0.25)*'3. Assumptions'!$B$22/(1+'3. Assumptions'!$B$6+AL8)^('7. Cash flow'!$A$7:$A$26/4))+(1-('3. Assumptions'!$B$21/(1-'3. Assumptions'!$B$22)))^5/(1+'3. Assumptions'!$B$6+AL8)^5-1</f>
        <v>-0.367718279056484</v>
      </c>
    </row>
    <row r="9" customFormat="false" ht="15" hidden="false" customHeight="false" outlineLevel="0" collapsed="false">
      <c r="A9" s="41" t="n">
        <f aca="false">IF(D8&gt;0,C8,A8)</f>
        <v>0</v>
      </c>
      <c r="B9" s="41" t="n">
        <f aca="false">IF(D8&gt;0,B8,C8)</f>
        <v>0.3</v>
      </c>
      <c r="C9" s="41" t="n">
        <f aca="false">(A9+B9)/2</f>
        <v>0.15</v>
      </c>
      <c r="D9" s="42" t="n">
        <f aca="false">(SUMPRODUCT((1-(C9))^('7. Cash flow'!$A$7:$A$86/4)*'7. Cash flow'!$C$7:$C$86/(1+(('3. Assumptions'!$B$6+'6. The ladder'!$B$6)))^('7. Cash flow'!$A$7:$A$86/4))+SUMPRODUCT((1-(C9))^(('7. Cash flow'!$A$7:$A$86-1)/4)*(1-(1-(C9))^0.25)*'7. Cash flow'!$D$7:$D$86/(1+(('3. Assumptions'!$B$6+'6. The ladder'!$C$6)))^('7. Cash flow'!$A$7:$A$86/4))+(1-(C9))^'3. Assumptions'!$B$9*'7. Cash flow'!$D$87/(1+(('3. Assumptions'!$B$6+'6. The ladder'!$C$6)))^'3. Assumptions'!$B$9)/(1+'3. Assumptions'!$B$14)-('2. The tape'!$C$17/'3. Assumptions'!$B$4)</f>
        <v>-45521347.3489503</v>
      </c>
      <c r="F9" s="41" t="n">
        <f aca="false">IF(I8&gt;0,H8,F8)</f>
        <v>0</v>
      </c>
      <c r="G9" s="41" t="n">
        <f aca="false">IF(I8&gt;0,G8,H8)</f>
        <v>0.3</v>
      </c>
      <c r="H9" s="41" t="n">
        <f aca="false">(F9+G9)/2</f>
        <v>0.15</v>
      </c>
      <c r="I9" s="42" t="n">
        <f aca="false">(SUMPRODUCT((1-(H9))^('7. Cash flow'!$A$7:$A$86/4)*'7. Cash flow'!$C$7:$C$86/(1+(('3. Assumptions'!$B$6+'6. The ladder'!$B$7)))^('7. Cash flow'!$A$7:$A$86/4))+SUMPRODUCT((1-(H9))^(('7. Cash flow'!$A$7:$A$86-1)/4)*(1-(1-(H9))^0.25)*'7. Cash flow'!$D$7:$D$86/(1+(('3. Assumptions'!$B$6+'6. The ladder'!$C$7)))^('7. Cash flow'!$A$7:$A$86/4))+(1-(H9))^'3. Assumptions'!$B$9*'7. Cash flow'!$D$87/(1+(('3. Assumptions'!$B$6+'6. The ladder'!$C$7)))^'3. Assumptions'!$B$9)/(1+'3. Assumptions'!$B$14)-('2. The tape'!$C$17/'3. Assumptions'!$B$4)</f>
        <v>-49588350.7871481</v>
      </c>
      <c r="K9" s="41" t="n">
        <f aca="false">IF(N8&gt;0,M8,K8)</f>
        <v>0</v>
      </c>
      <c r="L9" s="41" t="n">
        <f aca="false">IF(N8&gt;0,L8,M8)</f>
        <v>0.3</v>
      </c>
      <c r="M9" s="41" t="n">
        <f aca="false">(K9+L9)/2</f>
        <v>0.15</v>
      </c>
      <c r="N9" s="42" t="n">
        <f aca="false">(SUMPRODUCT((1-(M9))^('7. Cash flow'!$A$7:$A$86/4)*'7. Cash flow'!$C$7:$C$86/(1+(('3. Assumptions'!$B$6+'6. The ladder'!$B$8)))^('7. Cash flow'!$A$7:$A$86/4))+SUMPRODUCT((1-(M9))^(('7. Cash flow'!$A$7:$A$86-1)/4)*(1-(1-(M9))^0.25)*'7. Cash flow'!$D$7:$D$86/(1+(('3. Assumptions'!$B$6+'6. The ladder'!$C$8)))^('7. Cash flow'!$A$7:$A$86/4))+(1-(M9))^'3. Assumptions'!$B$9*'7. Cash flow'!$D$87/(1+(('3. Assumptions'!$B$6+'6. The ladder'!$C$8)))^'3. Assumptions'!$B$9)/(1+'3. Assumptions'!$B$14)-('2. The tape'!$C$17/'3. Assumptions'!$B$4)</f>
        <v>-56000583.0393596</v>
      </c>
      <c r="P9" s="41" t="n">
        <f aca="false">IF(S8&gt;0,R8,P8)</f>
        <v>0</v>
      </c>
      <c r="Q9" s="41" t="n">
        <f aca="false">IF(S8&gt;0,Q8,R8)</f>
        <v>0.3</v>
      </c>
      <c r="R9" s="41" t="n">
        <f aca="false">(P9+Q9)/2</f>
        <v>0.15</v>
      </c>
      <c r="S9" s="42" t="n">
        <f aca="false">(SUMPRODUCT((1-(R9))^('7. Cash flow'!$A$7:$A$86/4)*'7. Cash flow'!$C$7:$C$86/(1+(('3. Assumptions'!$B$6+'6. The ladder'!$B$9)))^('7. Cash flow'!$A$7:$A$86/4))+SUMPRODUCT((1-(R9))^(('7. Cash flow'!$A$7:$A$86-1)/4)*(1-(1-(R9))^0.25)*'7. Cash flow'!$D$7:$D$86/(1+(('3. Assumptions'!$B$6+'6. The ladder'!$C$9)))^('7. Cash flow'!$A$7:$A$86/4))+(1-(R9))^'3. Assumptions'!$B$9*'7. Cash flow'!$D$87/(1+(('3. Assumptions'!$B$6+'6. The ladder'!$C$9)))^'3. Assumptions'!$B$9)/(1+'3. Assumptions'!$B$14)-('2. The tape'!$C$17/'3. Assumptions'!$B$4)</f>
        <v>-63341709.1844458</v>
      </c>
      <c r="U9" s="41" t="n">
        <f aca="false">IF(X8&gt;0,W8,U8)</f>
        <v>0</v>
      </c>
      <c r="V9" s="41" t="n">
        <f aca="false">IF(X8&gt;0,V8,W8)</f>
        <v>0.3</v>
      </c>
      <c r="W9" s="41" t="n">
        <f aca="false">(U9+V9)/2</f>
        <v>0.15</v>
      </c>
      <c r="X9" s="42" t="n">
        <f aca="false">(SUMPRODUCT((1-(W9))^('7. Cash flow'!$A$7:$A$86/4)*'7. Cash flow'!$C$7:$C$86/(1+('3. Assumptions'!$B$28))^('7. Cash flow'!$A$7:$A$86/4))+SUMPRODUCT((1-(W9))^(('7. Cash flow'!$A$7:$A$86-1)/4)*(1-(1-(W9))^0.25)*'7. Cash flow'!$D$7:$D$86/(1+('3. Assumptions'!$B$29))^('7. Cash flow'!$A$7:$A$86/4))+(1-(W9))^'3. Assumptions'!$B$9*'7. Cash flow'!$D$87/(1+('3. Assumptions'!$B$29))^'3. Assumptions'!$B$9)/(1+'3. Assumptions'!$B$14)-('2. The tape'!$C$17/'3. Assumptions'!$B$4)</f>
        <v>-63341709.1844458</v>
      </c>
      <c r="Z9" s="41" t="n">
        <f aca="false">IF(AC8&gt;0,AB8,Z8)</f>
        <v>-0.05</v>
      </c>
      <c r="AA9" s="41" t="n">
        <f aca="false">IF(AC8&gt;0,AA8,AB8)</f>
        <v>0.125</v>
      </c>
      <c r="AB9" s="41" t="n">
        <f aca="false">(Z9+AA9)/2</f>
        <v>0.0375</v>
      </c>
      <c r="AC9" s="42" t="n">
        <f aca="false">(SUMPRODUCT((1-(('3. Assumptions'!$B$21/(1-'3. Assumptions'!$B$22))))^('7. Cash flow'!$A$7:$A$86/4)*'7. Cash flow'!$C$7:$C$86/(1+('3. Assumptions'!$B$6+AB9))^('7. Cash flow'!$A$7:$A$86/4))+SUMPRODUCT((1-(('3. Assumptions'!$B$21/(1-'3. Assumptions'!$B$22))))^(('7. Cash flow'!$A$7:$A$86-1)/4)*(1-(1-(('3. Assumptions'!$B$21/(1-'3. Assumptions'!$B$22))))^0.25)*'7. Cash flow'!$D$7:$D$86/(1+('3. Assumptions'!$B$6+AB9))^('7. Cash flow'!$A$7:$A$86/4))+(1-(('3. Assumptions'!$B$21/(1-'3. Assumptions'!$B$22))))^'3. Assumptions'!$B$9*'7. Cash flow'!$D$87/(1+('3. Assumptions'!$B$6+AB9))^'3. Assumptions'!$B$9)/(1+'3. Assumptions'!$B$14)-('2. The tape'!$C$17/'3. Assumptions'!$B$4)</f>
        <v>-40401139.4685423</v>
      </c>
      <c r="AE9" s="41" t="n">
        <f aca="false">IF(AH8&gt;0,AG8,AE8)</f>
        <v>0</v>
      </c>
      <c r="AF9" s="41" t="n">
        <f aca="false">IF(AH8&gt;0,AF8,AG8)</f>
        <v>0.15</v>
      </c>
      <c r="AG9" s="41" t="n">
        <f aca="false">(AE9+AF9)/2</f>
        <v>0.075</v>
      </c>
      <c r="AH9" s="42" t="n">
        <f aca="false">(SUMPRODUCT((1-(('3. Assumptions'!$B$21/(1-'3. Assumptions'!$B$22))))^('7. Cash flow'!$A$7:$A$86/4)*'7. Cash flow'!$C$7:$C$86/(1+(AG9))^('7. Cash flow'!$A$7:$A$86/4))+SUMPRODUCT((1-(('3. Assumptions'!$B$21/(1-'3. Assumptions'!$B$22))))^(('7. Cash flow'!$A$7:$A$86-1)/4)*(1-(1-(('3. Assumptions'!$B$21/(1-'3. Assumptions'!$B$22))))^0.25)*'7. Cash flow'!$D$7:$D$86/(1+(AG9))^('7. Cash flow'!$A$7:$A$86/4))+(1-(('3. Assumptions'!$B$21/(1-'3. Assumptions'!$B$22))))^'3. Assumptions'!$B$9*'7. Cash flow'!$D$87/(1+(AG9))^'3.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-24208685.0453345</v>
      </c>
      <c r="AJ9" s="41" t="n">
        <f aca="false">IF(AM8&gt;0,AL8,AJ8)</f>
        <v>-0.05</v>
      </c>
      <c r="AK9" s="41" t="n">
        <f aca="false">IF(AM8&gt;0,AK8,AL8)</f>
        <v>0.125</v>
      </c>
      <c r="AL9" s="41" t="n">
        <f aca="false">(AJ9+AK9)/2</f>
        <v>0.0375</v>
      </c>
      <c r="AM9" s="42" t="n">
        <f aca="false">SUMPRODUCT((1-('3. Assumptions'!$B$21/(1-'3. Assumptions'!$B$22)))^('7. Cash flow'!$A$7:$A$26/4)*('3. Assumptions'!$B$6+'3. Assumptions'!$B$21)/4/(1+'3. Assumptions'!$B$6+AL9)^('7. Cash flow'!$A$7:$A$26/4))+SUMPRODUCT((1-('3. Assumptions'!$B$21/(1-'3. Assumptions'!$B$22)))^(('7. Cash flow'!$A$7:$A$26-1)/4)*(1-(1-('3. Assumptions'!$B$21/(1-'3. Assumptions'!$B$22)))^0.25)*'3. Assumptions'!$B$22/(1+'3. Assumptions'!$B$6+AL9)^('7. Cash flow'!$A$7:$A$26/4))+(1-('3. Assumptions'!$B$21/(1-'3. Assumptions'!$B$22)))^5/(1+'3. Assumptions'!$B$6+AL9)^5-1</f>
        <v>-0.140688745946805</v>
      </c>
    </row>
    <row r="10" customFormat="false" ht="15" hidden="false" customHeight="false" outlineLevel="0" collapsed="false">
      <c r="A10" s="41" t="n">
        <f aca="false">IF(D9&gt;0,C9,A9)</f>
        <v>0</v>
      </c>
      <c r="B10" s="41" t="n">
        <f aca="false">IF(D9&gt;0,B9,C9)</f>
        <v>0.15</v>
      </c>
      <c r="C10" s="41" t="n">
        <f aca="false">(A10+B10)/2</f>
        <v>0.075</v>
      </c>
      <c r="D10" s="42" t="n">
        <f aca="false">(SUMPRODUCT((1-(C10))^('7. Cash flow'!$A$7:$A$86/4)*'7. Cash flow'!$C$7:$C$86/(1+(('3. Assumptions'!$B$6+'6. The ladder'!$B$6)))^('7. Cash flow'!$A$7:$A$86/4))+SUMPRODUCT((1-(C10))^(('7. Cash flow'!$A$7:$A$86-1)/4)*(1-(1-(C10))^0.25)*'7. Cash flow'!$D$7:$D$86/(1+(('3. Assumptions'!$B$6+'6. The ladder'!$C$6)))^('7. Cash flow'!$A$7:$A$86/4))+(1-(C10))^'3. Assumptions'!$B$9*'7. Cash flow'!$D$87/(1+(('3. Assumptions'!$B$6+'6. The ladder'!$C$6)))^'3. Assumptions'!$B$9)/(1+'3. Assumptions'!$B$14)-('2. The tape'!$C$17/'3. Assumptions'!$B$4)</f>
        <v>-4021586.74083248</v>
      </c>
      <c r="F10" s="41" t="n">
        <f aca="false">IF(I9&gt;0,H9,F9)</f>
        <v>0</v>
      </c>
      <c r="G10" s="41" t="n">
        <f aca="false">IF(I9&gt;0,G9,H9)</f>
        <v>0.15</v>
      </c>
      <c r="H10" s="41" t="n">
        <f aca="false">(F10+G10)/2</f>
        <v>0.075</v>
      </c>
      <c r="I10" s="42" t="n">
        <f aca="false">(SUMPRODUCT((1-(H10))^('7. Cash flow'!$A$7:$A$86/4)*'7. Cash flow'!$C$7:$C$86/(1+(('3. Assumptions'!$B$6+'6. The ladder'!$B$7)))^('7. Cash flow'!$A$7:$A$86/4))+SUMPRODUCT((1-(H10))^(('7. Cash flow'!$A$7:$A$86-1)/4)*(1-(1-(H10))^0.25)*'7. Cash flow'!$D$7:$D$86/(1+(('3. Assumptions'!$B$6+'6. The ladder'!$C$7)))^('7. Cash flow'!$A$7:$A$86/4))+(1-(H10))^'3. Assumptions'!$B$9*'7. Cash flow'!$D$87/(1+(('3. Assumptions'!$B$6+'6. The ladder'!$C$7)))^'3. Assumptions'!$B$9)/(1+'3. Assumptions'!$B$14)-('2. The tape'!$C$17/'3. Assumptions'!$B$4)</f>
        <v>-13622561.7177961</v>
      </c>
      <c r="K10" s="41" t="n">
        <f aca="false">IF(N9&gt;0,M9,K9)</f>
        <v>0</v>
      </c>
      <c r="L10" s="41" t="n">
        <f aca="false">IF(N9&gt;0,L9,M9)</f>
        <v>0.15</v>
      </c>
      <c r="M10" s="41" t="n">
        <f aca="false">(K10+L10)/2</f>
        <v>0.075</v>
      </c>
      <c r="N10" s="42" t="n">
        <f aca="false">(SUMPRODUCT((1-(M10))^('7. Cash flow'!$A$7:$A$86/4)*'7. Cash flow'!$C$7:$C$86/(1+(('3. Assumptions'!$B$6+'6. The ladder'!$B$8)))^('7. Cash flow'!$A$7:$A$86/4))+SUMPRODUCT((1-(M10))^(('7. Cash flow'!$A$7:$A$86-1)/4)*(1-(1-(M10))^0.25)*'7. Cash flow'!$D$7:$D$86/(1+(('3. Assumptions'!$B$6+'6. The ladder'!$C$8)))^('7. Cash flow'!$A$7:$A$86/4))+(1-(M10))^'3. Assumptions'!$B$9*'7. Cash flow'!$D$87/(1+(('3. Assumptions'!$B$6+'6. The ladder'!$C$8)))^'3. Assumptions'!$B$9)/(1+'3. Assumptions'!$B$14)-('2. The tape'!$C$17/'3. Assumptions'!$B$4)</f>
        <v>-23325555.4844475</v>
      </c>
      <c r="P10" s="41" t="n">
        <f aca="false">IF(S9&gt;0,R9,P9)</f>
        <v>0</v>
      </c>
      <c r="Q10" s="41" t="n">
        <f aca="false">IF(S9&gt;0,Q9,R9)</f>
        <v>0.15</v>
      </c>
      <c r="R10" s="41" t="n">
        <f aca="false">(P10+Q10)/2</f>
        <v>0.075</v>
      </c>
      <c r="S10" s="42" t="n">
        <f aca="false">(SUMPRODUCT((1-(R10))^('7. Cash flow'!$A$7:$A$86/4)*'7. Cash flow'!$C$7:$C$86/(1+(('3. Assumptions'!$B$6+'6. The ladder'!$B$9)))^('7. Cash flow'!$A$7:$A$86/4))+SUMPRODUCT((1-(R10))^(('7. Cash flow'!$A$7:$A$86-1)/4)*(1-(1-(R10))^0.25)*'7. Cash flow'!$D$7:$D$86/(1+(('3. Assumptions'!$B$6+'6. The ladder'!$C$9)))^('7. Cash flow'!$A$7:$A$86/4))+(1-(R10))^'3. Assumptions'!$B$9*'7. Cash flow'!$D$87/(1+(('3. Assumptions'!$B$6+'6. The ladder'!$C$9)))^'3. Assumptions'!$B$9)/(1+'3. Assumptions'!$B$14)-('2. The tape'!$C$17/'3. Assumptions'!$B$4)</f>
        <v>-33358579.0942547</v>
      </c>
      <c r="U10" s="41" t="n">
        <f aca="false">IF(X9&gt;0,W9,U9)</f>
        <v>0</v>
      </c>
      <c r="V10" s="41" t="n">
        <f aca="false">IF(X9&gt;0,V9,W9)</f>
        <v>0.15</v>
      </c>
      <c r="W10" s="41" t="n">
        <f aca="false">(U10+V10)/2</f>
        <v>0.075</v>
      </c>
      <c r="X10" s="42" t="n">
        <f aca="false">(SUMPRODUCT((1-(W10))^('7. Cash flow'!$A$7:$A$86/4)*'7. Cash flow'!$C$7:$C$86/(1+('3. Assumptions'!$B$28))^('7. Cash flow'!$A$7:$A$86/4))+SUMPRODUCT((1-(W10))^(('7. Cash flow'!$A$7:$A$86-1)/4)*(1-(1-(W10))^0.25)*'7. Cash flow'!$D$7:$D$86/(1+('3. Assumptions'!$B$29))^('7. Cash flow'!$A$7:$A$86/4))+(1-(W10))^'3. Assumptions'!$B$9*'7. Cash flow'!$D$87/(1+('3. Assumptions'!$B$29))^'3. Assumptions'!$B$9)/(1+'3. Assumptions'!$B$14)-('2. The tape'!$C$17/'3. Assumptions'!$B$4)</f>
        <v>-33358579.0942547</v>
      </c>
      <c r="Z10" s="41" t="n">
        <f aca="false">IF(AC9&gt;0,AB9,Z9)</f>
        <v>-0.05</v>
      </c>
      <c r="AA10" s="41" t="n">
        <f aca="false">IF(AC9&gt;0,AA9,AB9)</f>
        <v>0.0375</v>
      </c>
      <c r="AB10" s="41" t="n">
        <f aca="false">(Z10+AA10)/2</f>
        <v>-0.00625</v>
      </c>
      <c r="AC10" s="42" t="n">
        <f aca="false">(SUMPRODUCT((1-(('3. Assumptions'!$B$21/(1-'3. Assumptions'!$B$22))))^('7. Cash flow'!$A$7:$A$86/4)*'7. Cash flow'!$C$7:$C$86/(1+('3. Assumptions'!$B$6+AB10))^('7. Cash flow'!$A$7:$A$86/4))+SUMPRODUCT((1-(('3. Assumptions'!$B$21/(1-'3. Assumptions'!$B$22))))^(('7. Cash flow'!$A$7:$A$86-1)/4)*(1-(1-(('3. Assumptions'!$B$21/(1-'3. Assumptions'!$B$22))))^0.25)*'7. Cash flow'!$D$7:$D$86/(1+('3. Assumptions'!$B$6+AB10))^('7. Cash flow'!$A$7:$A$86/4))+(1-(('3. Assumptions'!$B$21/(1-'3. Assumptions'!$B$22))))^'3. Assumptions'!$B$9*'7. Cash flow'!$D$87/(1+('3. Assumptions'!$B$6+AB10))^'3. Assumptions'!$B$9)/(1+'3. Assumptions'!$B$14)-('2. The tape'!$C$17/'3. Assumptions'!$B$4)</f>
        <v>15657024.2772436</v>
      </c>
      <c r="AE10" s="41" t="n">
        <f aca="false">IF(AH9&gt;0,AG9,AE9)</f>
        <v>0</v>
      </c>
      <c r="AF10" s="41" t="n">
        <f aca="false">IF(AH9&gt;0,AF9,AG9)</f>
        <v>0.075</v>
      </c>
      <c r="AG10" s="41" t="n">
        <f aca="false">(AE10+AF10)/2</f>
        <v>0.0375</v>
      </c>
      <c r="AH10" s="42" t="n">
        <f aca="false">(SUMPRODUCT((1-(('3. Assumptions'!$B$21/(1-'3. Assumptions'!$B$22))))^('7. Cash flow'!$A$7:$A$86/4)*'7. Cash flow'!$C$7:$C$86/(1+(AG10))^('7. Cash flow'!$A$7:$A$86/4))+SUMPRODUCT((1-(('3. Assumptions'!$B$21/(1-'3. Assumptions'!$B$22))))^(('7. Cash flow'!$A$7:$A$86-1)/4)*(1-(1-(('3. Assumptions'!$B$21/(1-'3. Assumptions'!$B$22))))^0.25)*'7. Cash flow'!$D$7:$D$86/(1+(AG10))^('7. Cash flow'!$A$7:$A$86/4))+(1-(('3. Assumptions'!$B$21/(1-'3. Assumptions'!$B$22))))^'3. Assumptions'!$B$9*'7. Cash flow'!$D$87/(1+(AG10))^'3.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15455970.0579758</v>
      </c>
      <c r="AJ10" s="41" t="n">
        <f aca="false">IF(AM9&gt;0,AL9,AJ9)</f>
        <v>-0.05</v>
      </c>
      <c r="AK10" s="41" t="n">
        <f aca="false">IF(AM9&gt;0,AK9,AL9)</f>
        <v>0.0375</v>
      </c>
      <c r="AL10" s="41" t="n">
        <f aca="false">(AJ10+AK10)/2</f>
        <v>-0.00625</v>
      </c>
      <c r="AM10" s="42" t="n">
        <f aca="false">SUMPRODUCT((1-('3. Assumptions'!$B$21/(1-'3. Assumptions'!$B$22)))^('7. Cash flow'!$A$7:$A$26/4)*('3. Assumptions'!$B$6+'3. Assumptions'!$B$21)/4/(1+'3. Assumptions'!$B$6+AL10)^('7. Cash flow'!$A$7:$A$26/4))+SUMPRODUCT((1-('3. Assumptions'!$B$21/(1-'3. Assumptions'!$B$22)))^(('7. Cash flow'!$A$7:$A$26-1)/4)*(1-(1-('3. Assumptions'!$B$21/(1-'3. Assumptions'!$B$22)))^0.25)*'3. Assumptions'!$B$22/(1+'3. Assumptions'!$B$6+AL10)^('7. Cash flow'!$A$7:$A$26/4))+(1-('3. Assumptions'!$B$21/(1-'3. Assumptions'!$B$22)))^5/(1+'3. Assumptions'!$B$6+AL10)^5-1</f>
        <v>0.017873513579169</v>
      </c>
    </row>
    <row r="11" customFormat="false" ht="15" hidden="false" customHeight="false" outlineLevel="0" collapsed="false">
      <c r="A11" s="41" t="n">
        <f aca="false">IF(D10&gt;0,C10,A10)</f>
        <v>0</v>
      </c>
      <c r="B11" s="41" t="n">
        <f aca="false">IF(D10&gt;0,B10,C10)</f>
        <v>0.075</v>
      </c>
      <c r="C11" s="41" t="n">
        <f aca="false">(A11+B11)/2</f>
        <v>0.0375</v>
      </c>
      <c r="D11" s="42" t="n">
        <f aca="false">(SUMPRODUCT((1-(C11))^('7. Cash flow'!$A$7:$A$86/4)*'7. Cash flow'!$C$7:$C$86/(1+(('3. Assumptions'!$B$6+'6. The ladder'!$B$6)))^('7. Cash flow'!$A$7:$A$86/4))+SUMPRODUCT((1-(C11))^(('7. Cash flow'!$A$7:$A$86-1)/4)*(1-(1-(C11))^0.25)*'7. Cash flow'!$D$7:$D$86/(1+(('3. Assumptions'!$B$6+'6. The ladder'!$C$6)))^('7. Cash flow'!$A$7:$A$86/4))+(1-(C11))^'3. Assumptions'!$B$9*'7. Cash flow'!$D$87/(1+(('3. Assumptions'!$B$6+'6. The ladder'!$C$6)))^'3. Assumptions'!$B$9)/(1+'3. Assumptions'!$B$14)-('2. The tape'!$C$17/'3. Assumptions'!$B$4)</f>
        <v>35206439.0076903</v>
      </c>
      <c r="F11" s="41" t="n">
        <f aca="false">IF(I10&gt;0,H10,F10)</f>
        <v>0</v>
      </c>
      <c r="G11" s="41" t="n">
        <f aca="false">IF(I10&gt;0,G10,H10)</f>
        <v>0.075</v>
      </c>
      <c r="H11" s="41" t="n">
        <f aca="false">(F11+G11)/2</f>
        <v>0.0375</v>
      </c>
      <c r="I11" s="42" t="n">
        <f aca="false">(SUMPRODUCT((1-(H11))^('7. Cash flow'!$A$7:$A$86/4)*'7. Cash flow'!$C$7:$C$86/(1+(('3. Assumptions'!$B$6+'6. The ladder'!$B$7)))^('7. Cash flow'!$A$7:$A$86/4))+SUMPRODUCT((1-(H11))^(('7. Cash flow'!$A$7:$A$86-1)/4)*(1-(1-(H11))^0.25)*'7. Cash flow'!$D$7:$D$86/(1+(('3. Assumptions'!$B$6+'6. The ladder'!$C$7)))^('7. Cash flow'!$A$7:$A$86/4))+(1-(H11))^'3. Assumptions'!$B$9*'7. Cash flow'!$D$87/(1+(('3. Assumptions'!$B$6+'6. The ladder'!$C$7)))^'3. Assumptions'!$B$9)/(1+'3. Assumptions'!$B$14)-('2. The tape'!$C$17/'3. Assumptions'!$B$4)</f>
        <v>19880714.5715477</v>
      </c>
      <c r="K11" s="41" t="n">
        <f aca="false">IF(N10&gt;0,M10,K10)</f>
        <v>0</v>
      </c>
      <c r="L11" s="41" t="n">
        <f aca="false">IF(N10&gt;0,L10,M10)</f>
        <v>0.075</v>
      </c>
      <c r="M11" s="41" t="n">
        <f aca="false">(K11+L11)/2</f>
        <v>0.0375</v>
      </c>
      <c r="N11" s="42" t="n">
        <f aca="false">(SUMPRODUCT((1-(M11))^('7. Cash flow'!$A$7:$A$86/4)*'7. Cash flow'!$C$7:$C$86/(1+(('3. Assumptions'!$B$6+'6. The ladder'!$B$8)))^('7. Cash flow'!$A$7:$A$86/4))+SUMPRODUCT((1-(M11))^(('7. Cash flow'!$A$7:$A$86-1)/4)*(1-(1-(M11))^0.25)*'7. Cash flow'!$D$7:$D$86/(1+(('3. Assumptions'!$B$6+'6. The ladder'!$C$8)))^('7. Cash flow'!$A$7:$A$86/4))+(1-(M11))^'3. Assumptions'!$B$9*'7. Cash flow'!$D$87/(1+(('3. Assumptions'!$B$6+'6. The ladder'!$C$8)))^'3. Assumptions'!$B$9)/(1+'3. Assumptions'!$B$14)-('2. The tape'!$C$17/'3. Assumptions'!$B$4)</f>
        <v>7182031.11517486</v>
      </c>
      <c r="P11" s="41" t="n">
        <f aca="false">IF(S10&gt;0,R10,P10)</f>
        <v>0</v>
      </c>
      <c r="Q11" s="41" t="n">
        <f aca="false">IF(S10&gt;0,Q10,R10)</f>
        <v>0.075</v>
      </c>
      <c r="R11" s="41" t="n">
        <f aca="false">(P11+Q11)/2</f>
        <v>0.0375</v>
      </c>
      <c r="S11" s="42" t="n">
        <f aca="false">(SUMPRODUCT((1-(R11))^('7. Cash flow'!$A$7:$A$86/4)*'7. Cash flow'!$C$7:$C$86/(1+(('3. Assumptions'!$B$6+'6. The ladder'!$B$9)))^('7. Cash flow'!$A$7:$A$86/4))+SUMPRODUCT((1-(R11))^(('7. Cash flow'!$A$7:$A$86-1)/4)*(1-(1-(R11))^0.25)*'7. Cash flow'!$D$7:$D$86/(1+(('3. Assumptions'!$B$6+'6. The ladder'!$C$9)))^('7. Cash flow'!$A$7:$A$86/4))+(1-(R11))^'3. Assumptions'!$B$9*'7. Cash flow'!$D$87/(1+(('3. Assumptions'!$B$6+'6. The ladder'!$C$9)))^'3. Assumptions'!$B$9)/(1+'3. Assumptions'!$B$14)-('2. The tape'!$C$17/'3. Assumptions'!$B$4)</f>
        <v>-5076193.87792578</v>
      </c>
      <c r="U11" s="41" t="n">
        <f aca="false">IF(X10&gt;0,W10,U10)</f>
        <v>0</v>
      </c>
      <c r="V11" s="41" t="n">
        <f aca="false">IF(X10&gt;0,V10,W10)</f>
        <v>0.075</v>
      </c>
      <c r="W11" s="41" t="n">
        <f aca="false">(U11+V11)/2</f>
        <v>0.0375</v>
      </c>
      <c r="X11" s="42" t="n">
        <f aca="false">(SUMPRODUCT((1-(W11))^('7. Cash flow'!$A$7:$A$86/4)*'7. Cash flow'!$C$7:$C$86/(1+('3. Assumptions'!$B$28))^('7. Cash flow'!$A$7:$A$86/4))+SUMPRODUCT((1-(W11))^(('7. Cash flow'!$A$7:$A$86-1)/4)*(1-(1-(W11))^0.25)*'7. Cash flow'!$D$7:$D$86/(1+('3. Assumptions'!$B$29))^('7. Cash flow'!$A$7:$A$86/4))+(1-(W11))^'3. Assumptions'!$B$9*'7. Cash flow'!$D$87/(1+('3. Assumptions'!$B$29))^'3. Assumptions'!$B$9)/(1+'3. Assumptions'!$B$14)-('2. The tape'!$C$17/'3. Assumptions'!$B$4)</f>
        <v>-5076193.87792578</v>
      </c>
      <c r="Z11" s="41" t="n">
        <f aca="false">IF(AC10&gt;0,AB10,Z10)</f>
        <v>-0.00625</v>
      </c>
      <c r="AA11" s="41" t="n">
        <f aca="false">IF(AC10&gt;0,AA10,AB10)</f>
        <v>0.0375</v>
      </c>
      <c r="AB11" s="41" t="n">
        <f aca="false">(Z11+AA11)/2</f>
        <v>0.015625</v>
      </c>
      <c r="AC11" s="42" t="n">
        <f aca="false">(SUMPRODUCT((1-(('3. Assumptions'!$B$21/(1-'3. Assumptions'!$B$22))))^('7. Cash flow'!$A$7:$A$86/4)*'7. Cash flow'!$C$7:$C$86/(1+('3. Assumptions'!$B$6+AB11))^('7. Cash flow'!$A$7:$A$86/4))+SUMPRODUCT((1-(('3. Assumptions'!$B$21/(1-'3. Assumptions'!$B$22))))^(('7. Cash flow'!$A$7:$A$86-1)/4)*(1-(1-(('3. Assumptions'!$B$21/(1-'3. Assumptions'!$B$22))))^0.25)*'7. Cash flow'!$D$7:$D$86/(1+('3. Assumptions'!$B$6+AB11))^('7. Cash flow'!$A$7:$A$86/4))+(1-(('3. Assumptions'!$B$21/(1-'3. Assumptions'!$B$22))))^'3. Assumptions'!$B$9*'7. Cash flow'!$D$87/(1+('3. Assumptions'!$B$6+AB11))^'3. Assumptions'!$B$9)/(1+'3. Assumptions'!$B$14)-('2. The tape'!$C$17/'3. Assumptions'!$B$4)</f>
        <v>-16352144.3248701</v>
      </c>
      <c r="AE11" s="41" t="n">
        <f aca="false">IF(AH10&gt;0,AG10,AE10)</f>
        <v>0.0375</v>
      </c>
      <c r="AF11" s="41" t="n">
        <f aca="false">IF(AH10&gt;0,AF10,AG10)</f>
        <v>0.075</v>
      </c>
      <c r="AG11" s="41" t="n">
        <f aca="false">(AE11+AF11)/2</f>
        <v>0.05625</v>
      </c>
      <c r="AH11" s="42" t="n">
        <f aca="false">(SUMPRODUCT((1-(('3. Assumptions'!$B$21/(1-'3. Assumptions'!$B$22))))^('7. Cash flow'!$A$7:$A$86/4)*'7. Cash flow'!$C$7:$C$86/(1+(AG11))^('7. Cash flow'!$A$7:$A$86/4))+SUMPRODUCT((1-(('3. Assumptions'!$B$21/(1-'3. Assumptions'!$B$22))))^(('7. Cash flow'!$A$7:$A$86-1)/4)*(1-(1-(('3. Assumptions'!$B$21/(1-'3. Assumptions'!$B$22))))^0.25)*'7. Cash flow'!$D$7:$D$86/(1+(AG11))^('7. Cash flow'!$A$7:$A$86/4))+(1-(('3. Assumptions'!$B$21/(1-'3. Assumptions'!$B$22))))^'3. Assumptions'!$B$9*'7. Cash flow'!$D$87/(1+(AG11))^'3.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-6680689.5992322</v>
      </c>
      <c r="AJ11" s="41" t="n">
        <f aca="false">IF(AM10&gt;0,AL10,AJ10)</f>
        <v>-0.00625</v>
      </c>
      <c r="AK11" s="41" t="n">
        <f aca="false">IF(AM10&gt;0,AK10,AL10)</f>
        <v>0.0375</v>
      </c>
      <c r="AL11" s="41" t="n">
        <f aca="false">(AJ11+AK11)/2</f>
        <v>0.015625</v>
      </c>
      <c r="AM11" s="42" t="n">
        <f aca="false">SUMPRODUCT((1-('3. Assumptions'!$B$21/(1-'3. Assumptions'!$B$22)))^('7. Cash flow'!$A$7:$A$26/4)*('3. Assumptions'!$B$6+'3. Assumptions'!$B$21)/4/(1+'3. Assumptions'!$B$6+AL11)^('7. Cash flow'!$A$7:$A$26/4))+SUMPRODUCT((1-('3. Assumptions'!$B$21/(1-'3. Assumptions'!$B$22)))^(('7. Cash flow'!$A$7:$A$26-1)/4)*(1-(1-('3. Assumptions'!$B$21/(1-'3. Assumptions'!$B$22)))^0.25)*'3. Assumptions'!$B$22/(1+'3. Assumptions'!$B$6+AL11)^('7. Cash flow'!$A$7:$A$26/4))+(1-('3. Assumptions'!$B$21/(1-'3. Assumptions'!$B$22)))^5/(1+'3. Assumptions'!$B$6+AL11)^5-1</f>
        <v>-0.0660754858361269</v>
      </c>
    </row>
    <row r="12" customFormat="false" ht="15" hidden="false" customHeight="false" outlineLevel="0" collapsed="false">
      <c r="A12" s="41" t="n">
        <f aca="false">IF(D11&gt;0,C11,A11)</f>
        <v>0.0375</v>
      </c>
      <c r="B12" s="41" t="n">
        <f aca="false">IF(D11&gt;0,B11,C11)</f>
        <v>0.075</v>
      </c>
      <c r="C12" s="41" t="n">
        <f aca="false">(A12+B12)/2</f>
        <v>0.05625</v>
      </c>
      <c r="D12" s="42" t="n">
        <f aca="false">(SUMPRODUCT((1-(C12))^('7. Cash flow'!$A$7:$A$86/4)*'7. Cash flow'!$C$7:$C$86/(1+(('3. Assumptions'!$B$6+'6. The ladder'!$B$6)))^('7. Cash flow'!$A$7:$A$86/4))+SUMPRODUCT((1-(C12))^(('7. Cash flow'!$A$7:$A$86-1)/4)*(1-(1-(C12))^0.25)*'7. Cash flow'!$D$7:$D$86/(1+(('3. Assumptions'!$B$6+'6. The ladder'!$C$6)))^('7. Cash flow'!$A$7:$A$86/4))+(1-(C12))^'3. Assumptions'!$B$9*'7. Cash flow'!$D$87/(1+(('3. Assumptions'!$B$6+'6. The ladder'!$C$6)))^'3. Assumptions'!$B$9)/(1+'3. Assumptions'!$B$14)-('2. The tape'!$C$17/'3. Assumptions'!$B$4)</f>
        <v>13334929.958907</v>
      </c>
      <c r="F12" s="41" t="n">
        <f aca="false">IF(I11&gt;0,H11,F11)</f>
        <v>0.0375</v>
      </c>
      <c r="G12" s="41" t="n">
        <f aca="false">IF(I11&gt;0,G11,H11)</f>
        <v>0.075</v>
      </c>
      <c r="H12" s="41" t="n">
        <f aca="false">(F12+G12)/2</f>
        <v>0.05625</v>
      </c>
      <c r="I12" s="42" t="n">
        <f aca="false">(SUMPRODUCT((1-(H12))^('7. Cash flow'!$A$7:$A$86/4)*'7. Cash flow'!$C$7:$C$86/(1+(('3. Assumptions'!$B$6+'6. The ladder'!$B$7)))^('7. Cash flow'!$A$7:$A$86/4))+SUMPRODUCT((1-(H12))^(('7. Cash flow'!$A$7:$A$86-1)/4)*(1-(1-(H12))^0.25)*'7. Cash flow'!$D$7:$D$86/(1+(('3. Assumptions'!$B$6+'6. The ladder'!$C$7)))^('7. Cash flow'!$A$7:$A$86/4))+(1-(H12))^'3. Assumptions'!$B$9*'7. Cash flow'!$D$87/(1+(('3. Assumptions'!$B$6+'6. The ladder'!$C$7)))^'3. Assumptions'!$B$9)/(1+'3. Assumptions'!$B$14)-('2. The tape'!$C$17/'3. Assumptions'!$B$4)</f>
        <v>1237737.99907821</v>
      </c>
      <c r="K12" s="41" t="n">
        <f aca="false">IF(N11&gt;0,M11,K11)</f>
        <v>0.0375</v>
      </c>
      <c r="L12" s="41" t="n">
        <f aca="false">IF(N11&gt;0,L11,M11)</f>
        <v>0.075</v>
      </c>
      <c r="M12" s="41" t="n">
        <f aca="false">(K12+L12)/2</f>
        <v>0.05625</v>
      </c>
      <c r="N12" s="42" t="n">
        <f aca="false">(SUMPRODUCT((1-(M12))^('7. Cash flow'!$A$7:$A$86/4)*'7. Cash flow'!$C$7:$C$86/(1+(('3. Assumptions'!$B$6+'6. The ladder'!$B$8)))^('7. Cash flow'!$A$7:$A$86/4))+SUMPRODUCT((1-(M12))^(('7. Cash flow'!$A$7:$A$86-1)/4)*(1-(1-(M12))^0.25)*'7. Cash flow'!$D$7:$D$86/(1+(('3. Assumptions'!$B$6+'6. The ladder'!$C$8)))^('7. Cash flow'!$A$7:$A$86/4))+(1-(M12))^'3. Assumptions'!$B$9*'7. Cash flow'!$D$87/(1+(('3. Assumptions'!$B$6+'6. The ladder'!$C$8)))^'3. Assumptions'!$B$9)/(1+'3. Assumptions'!$B$14)-('2. The tape'!$C$17/'3. Assumptions'!$B$4)</f>
        <v>-9794669.5201067</v>
      </c>
      <c r="P12" s="41" t="n">
        <f aca="false">IF(S11&gt;0,R11,P11)</f>
        <v>0</v>
      </c>
      <c r="Q12" s="41" t="n">
        <f aca="false">IF(S11&gt;0,Q11,R11)</f>
        <v>0.0375</v>
      </c>
      <c r="R12" s="41" t="n">
        <f aca="false">(P12+Q12)/2</f>
        <v>0.01875</v>
      </c>
      <c r="S12" s="42" t="n">
        <f aca="false">(SUMPRODUCT((1-(R12))^('7. Cash flow'!$A$7:$A$86/4)*'7. Cash flow'!$C$7:$C$86/(1+(('3. Assumptions'!$B$6+'6. The ladder'!$B$9)))^('7. Cash flow'!$A$7:$A$86/4))+SUMPRODUCT((1-(R12))^(('7. Cash flow'!$A$7:$A$86-1)/4)*(1-(1-(R12))^0.25)*'7. Cash flow'!$D$7:$D$86/(1+(('3. Assumptions'!$B$6+'6. The ladder'!$C$9)))^('7. Cash flow'!$A$7:$A$86/4))+(1-(R12))^'3. Assumptions'!$B$9*'7. Cash flow'!$D$87/(1+(('3. Assumptions'!$B$6+'6. The ladder'!$C$9)))^'3. Assumptions'!$B$9)/(1+'3. Assumptions'!$B$14)-('2. The tape'!$C$17/'3. Assumptions'!$B$4)</f>
        <v>14844479.9070963</v>
      </c>
      <c r="U12" s="41" t="n">
        <f aca="false">IF(X11&gt;0,W11,U11)</f>
        <v>0</v>
      </c>
      <c r="V12" s="41" t="n">
        <f aca="false">IF(X11&gt;0,V11,W11)</f>
        <v>0.0375</v>
      </c>
      <c r="W12" s="41" t="n">
        <f aca="false">(U12+V12)/2</f>
        <v>0.01875</v>
      </c>
      <c r="X12" s="42" t="n">
        <f aca="false">(SUMPRODUCT((1-(W12))^('7. Cash flow'!$A$7:$A$86/4)*'7. Cash flow'!$C$7:$C$86/(1+('3. Assumptions'!$B$28))^('7. Cash flow'!$A$7:$A$86/4))+SUMPRODUCT((1-(W12))^(('7. Cash flow'!$A$7:$A$86-1)/4)*(1-(1-(W12))^0.25)*'7. Cash flow'!$D$7:$D$86/(1+('3. Assumptions'!$B$29))^('7. Cash flow'!$A$7:$A$86/4))+(1-(W12))^'3. Assumptions'!$B$9*'7. Cash flow'!$D$87/(1+('3. Assumptions'!$B$29))^'3. Assumptions'!$B$9)/(1+'3. Assumptions'!$B$14)-('2. The tape'!$C$17/'3. Assumptions'!$B$4)</f>
        <v>14844479.9070963</v>
      </c>
      <c r="Z12" s="41" t="n">
        <f aca="false">IF(AC11&gt;0,AB11,Z11)</f>
        <v>-0.00625</v>
      </c>
      <c r="AA12" s="41" t="n">
        <f aca="false">IF(AC11&gt;0,AA11,AB11)</f>
        <v>0.015625</v>
      </c>
      <c r="AB12" s="41" t="n">
        <f aca="false">(Z12+AA12)/2</f>
        <v>0.0046875</v>
      </c>
      <c r="AC12" s="42" t="n">
        <f aca="false">(SUMPRODUCT((1-(('3. Assumptions'!$B$21/(1-'3. Assumptions'!$B$22))))^('7. Cash flow'!$A$7:$A$86/4)*'7. Cash flow'!$C$7:$C$86/(1+('3. Assumptions'!$B$6+AB12))^('7. Cash flow'!$A$7:$A$86/4))+SUMPRODUCT((1-(('3. Assumptions'!$B$21/(1-'3. Assumptions'!$B$22))))^(('7. Cash flow'!$A$7:$A$86-1)/4)*(1-(1-(('3. Assumptions'!$B$21/(1-'3. Assumptions'!$B$22))))^0.25)*'7. Cash flow'!$D$7:$D$86/(1+('3. Assumptions'!$B$6+AB12))^('7. Cash flow'!$A$7:$A$86/4))+(1-(('3. Assumptions'!$B$21/(1-'3. Assumptions'!$B$22))))^'3. Assumptions'!$B$9*'7. Cash flow'!$D$87/(1+('3. Assumptions'!$B$6+AB12))^'3. Assumptions'!$B$9)/(1+'3. Assumptions'!$B$14)-('2. The tape'!$C$17/'3. Assumptions'!$B$4)</f>
        <v>-1528921.92761689</v>
      </c>
      <c r="AE12" s="41" t="n">
        <f aca="false">IF(AH11&gt;0,AG11,AE11)</f>
        <v>0.0375</v>
      </c>
      <c r="AF12" s="41" t="n">
        <f aca="false">IF(AH11&gt;0,AF11,AG11)</f>
        <v>0.05625</v>
      </c>
      <c r="AG12" s="41" t="n">
        <f aca="false">(AE12+AF12)/2</f>
        <v>0.046875</v>
      </c>
      <c r="AH12" s="42" t="n">
        <f aca="false">(SUMPRODUCT((1-(('3. Assumptions'!$B$21/(1-'3. Assumptions'!$B$22))))^('7. Cash flow'!$A$7:$A$86/4)*'7. Cash flow'!$C$7:$C$86/(1+(AG12))^('7. Cash flow'!$A$7:$A$86/4))+SUMPRODUCT((1-(('3. Assumptions'!$B$21/(1-'3. Assumptions'!$B$22))))^(('7. Cash flow'!$A$7:$A$86-1)/4)*(1-(1-(('3. Assumptions'!$B$21/(1-'3. Assumptions'!$B$22))))^0.25)*'7. Cash flow'!$D$7:$D$86/(1+(AG12))^('7. Cash flow'!$A$7:$A$86/4))+(1-(('3. Assumptions'!$B$21/(1-'3. Assumptions'!$B$22))))^'3. Assumptions'!$B$9*'7. Cash flow'!$D$87/(1+(AG12))^'3.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3722878.33212569</v>
      </c>
      <c r="AJ12" s="41" t="n">
        <f aca="false">IF(AM11&gt;0,AL11,AJ11)</f>
        <v>-0.00625</v>
      </c>
      <c r="AK12" s="41" t="n">
        <f aca="false">IF(AM11&gt;0,AK11,AL11)</f>
        <v>0.015625</v>
      </c>
      <c r="AL12" s="41" t="n">
        <f aca="false">(AJ12+AK12)/2</f>
        <v>0.0046875</v>
      </c>
      <c r="AM12" s="42" t="n">
        <f aca="false">SUMPRODUCT((1-('3. Assumptions'!$B$21/(1-'3. Assumptions'!$B$22)))^('7. Cash flow'!$A$7:$A$26/4)*('3. Assumptions'!$B$6+'3. Assumptions'!$B$21)/4/(1+'3. Assumptions'!$B$6+AL12)^('7. Cash flow'!$A$7:$A$26/4))+SUMPRODUCT((1-('3. Assumptions'!$B$21/(1-'3. Assumptions'!$B$22)))^(('7. Cash flow'!$A$7:$A$26-1)/4)*(1-(1-('3. Assumptions'!$B$21/(1-'3. Assumptions'!$B$22)))^0.25)*'3. Assumptions'!$B$22/(1+'3. Assumptions'!$B$6+AL12)^('7. Cash flow'!$A$7:$A$26/4))+(1-('3. Assumptions'!$B$21/(1-'3. Assumptions'!$B$22)))^5/(1+'3. Assumptions'!$B$6+AL12)^5-1</f>
        <v>-0.0253525777265476</v>
      </c>
    </row>
    <row r="13" customFormat="false" ht="15" hidden="false" customHeight="false" outlineLevel="0" collapsed="false">
      <c r="A13" s="41" t="n">
        <f aca="false">IF(D12&gt;0,C12,A12)</f>
        <v>0.05625</v>
      </c>
      <c r="B13" s="41" t="n">
        <f aca="false">IF(D12&gt;0,B12,C12)</f>
        <v>0.075</v>
      </c>
      <c r="C13" s="41" t="n">
        <f aca="false">(A13+B13)/2</f>
        <v>0.065625</v>
      </c>
      <c r="D13" s="42" t="n">
        <f aca="false">(SUMPRODUCT((1-(C13))^('7. Cash flow'!$A$7:$A$86/4)*'7. Cash flow'!$C$7:$C$86/(1+(('3. Assumptions'!$B$6+'6. The ladder'!$B$6)))^('7. Cash flow'!$A$7:$A$86/4))+SUMPRODUCT((1-(C13))^(('7. Cash flow'!$A$7:$A$86-1)/4)*(1-(1-(C13))^0.25)*'7. Cash flow'!$D$7:$D$86/(1+(('3. Assumptions'!$B$6+'6. The ladder'!$C$6)))^('7. Cash flow'!$A$7:$A$86/4))+(1-(C13))^'3. Assumptions'!$B$9*'7. Cash flow'!$D$87/(1+(('3. Assumptions'!$B$6+'6. The ladder'!$C$6)))^'3. Assumptions'!$B$9)/(1+'3. Assumptions'!$B$14)-('2. The tape'!$C$17/'3. Assumptions'!$B$4)</f>
        <v>4162755.3326318</v>
      </c>
      <c r="F13" s="41" t="n">
        <f aca="false">IF(I12&gt;0,H12,F12)</f>
        <v>0.05625</v>
      </c>
      <c r="G13" s="41" t="n">
        <f aca="false">IF(I12&gt;0,G12,H12)</f>
        <v>0.075</v>
      </c>
      <c r="H13" s="41" t="n">
        <f aca="false">(F13+G13)/2</f>
        <v>0.065625</v>
      </c>
      <c r="I13" s="42" t="n">
        <f aca="false">(SUMPRODUCT((1-(H13))^('7. Cash flow'!$A$7:$A$86/4)*'7. Cash flow'!$C$7:$C$86/(1+(('3. Assumptions'!$B$6+'6. The ladder'!$B$7)))^('7. Cash flow'!$A$7:$A$86/4))+SUMPRODUCT((1-(H13))^(('7. Cash flow'!$A$7:$A$86-1)/4)*(1-(1-(H13))^0.25)*'7. Cash flow'!$D$7:$D$86/(1+(('3. Assumptions'!$B$6+'6. The ladder'!$C$7)))^('7. Cash flow'!$A$7:$A$86/4))+(1-(H13))^'3. Assumptions'!$B$9*'7. Cash flow'!$D$87/(1+(('3. Assumptions'!$B$6+'6. The ladder'!$C$7)))^'3. Assumptions'!$B$9)/(1+'3. Assumptions'!$B$14)-('2. The tape'!$C$17/'3. Assumptions'!$B$4)</f>
        <v>-6606535.26202503</v>
      </c>
      <c r="K13" s="41" t="n">
        <f aca="false">IF(N12&gt;0,M12,K12)</f>
        <v>0.0375</v>
      </c>
      <c r="L13" s="41" t="n">
        <f aca="false">IF(N12&gt;0,L12,M12)</f>
        <v>0.05625</v>
      </c>
      <c r="M13" s="41" t="n">
        <f aca="false">(K13+L13)/2</f>
        <v>0.046875</v>
      </c>
      <c r="N13" s="42" t="n">
        <f aca="false">(SUMPRODUCT((1-(M13))^('7. Cash flow'!$A$7:$A$86/4)*'7. Cash flow'!$C$7:$C$86/(1+(('3. Assumptions'!$B$6+'6. The ladder'!$B$8)))^('7. Cash flow'!$A$7:$A$86/4))+SUMPRODUCT((1-(M13))^(('7. Cash flow'!$A$7:$A$86-1)/4)*(1-(1-(M13))^0.25)*'7. Cash flow'!$D$7:$D$86/(1+(('3. Assumptions'!$B$6+'6. The ladder'!$C$8)))^('7. Cash flow'!$A$7:$A$86/4))+(1-(M13))^'3. Assumptions'!$B$9*'7. Cash flow'!$D$87/(1+(('3. Assumptions'!$B$6+'6. The ladder'!$C$8)))^'3. Assumptions'!$B$9)/(1+'3. Assumptions'!$B$14)-('2. The tape'!$C$17/'3. Assumptions'!$B$4)</f>
        <v>-1793752.32973808</v>
      </c>
      <c r="P13" s="41" t="n">
        <f aca="false">IF(S12&gt;0,R12,P12)</f>
        <v>0.01875</v>
      </c>
      <c r="Q13" s="41" t="n">
        <f aca="false">IF(S12&gt;0,Q12,R12)</f>
        <v>0.0375</v>
      </c>
      <c r="R13" s="41" t="n">
        <f aca="false">(P13+Q13)/2</f>
        <v>0.028125</v>
      </c>
      <c r="S13" s="42" t="n">
        <f aca="false">(SUMPRODUCT((1-(R13))^('7. Cash flow'!$A$7:$A$86/4)*'7. Cash flow'!$C$7:$C$86/(1+(('3. Assumptions'!$B$6+'6. The ladder'!$B$9)))^('7. Cash flow'!$A$7:$A$86/4))+SUMPRODUCT((1-(R13))^(('7. Cash flow'!$A$7:$A$86-1)/4)*(1-(1-(R13))^0.25)*'7. Cash flow'!$D$7:$D$86/(1+(('3. Assumptions'!$B$6+'6. The ladder'!$C$9)))^('7. Cash flow'!$A$7:$A$86/4))+(1-(R13))^'3. Assumptions'!$B$9*'7. Cash flow'!$D$87/(1+(('3. Assumptions'!$B$6+'6. The ladder'!$C$9)))^'3. Assumptions'!$B$9)/(1+'3. Assumptions'!$B$14)-('2. The tape'!$C$17/'3. Assumptions'!$B$4)</f>
        <v>4294924.98962313</v>
      </c>
      <c r="U13" s="41" t="n">
        <f aca="false">IF(X12&gt;0,W12,U12)</f>
        <v>0.01875</v>
      </c>
      <c r="V13" s="41" t="n">
        <f aca="false">IF(X12&gt;0,V12,W12)</f>
        <v>0.0375</v>
      </c>
      <c r="W13" s="41" t="n">
        <f aca="false">(U13+V13)/2</f>
        <v>0.028125</v>
      </c>
      <c r="X13" s="42" t="n">
        <f aca="false">(SUMPRODUCT((1-(W13))^('7. Cash flow'!$A$7:$A$86/4)*'7. Cash flow'!$C$7:$C$86/(1+('3. Assumptions'!$B$28))^('7. Cash flow'!$A$7:$A$86/4))+SUMPRODUCT((1-(W13))^(('7. Cash flow'!$A$7:$A$86-1)/4)*(1-(1-(W13))^0.25)*'7. Cash flow'!$D$7:$D$86/(1+('3. Assumptions'!$B$29))^('7. Cash flow'!$A$7:$A$86/4))+(1-(W13))^'3. Assumptions'!$B$9*'7. Cash flow'!$D$87/(1+('3. Assumptions'!$B$29))^'3. Assumptions'!$B$9)/(1+'3. Assumptions'!$B$14)-('2. The tape'!$C$17/'3. Assumptions'!$B$4)</f>
        <v>4294924.98962313</v>
      </c>
      <c r="Z13" s="41" t="n">
        <f aca="false">IF(AC12&gt;0,AB12,Z12)</f>
        <v>-0.00625</v>
      </c>
      <c r="AA13" s="41" t="n">
        <f aca="false">IF(AC12&gt;0,AA12,AB12)</f>
        <v>0.0046875</v>
      </c>
      <c r="AB13" s="41" t="n">
        <f aca="false">(Z13+AA13)/2</f>
        <v>-0.000781250000000002</v>
      </c>
      <c r="AC13" s="42" t="n">
        <f aca="false">(SUMPRODUCT((1-(('3. Assumptions'!$B$21/(1-'3. Assumptions'!$B$22))))^('7. Cash flow'!$A$7:$A$86/4)*'7. Cash flow'!$C$7:$C$86/(1+('3. Assumptions'!$B$6+AB13))^('7. Cash flow'!$A$7:$A$86/4))+SUMPRODUCT((1-(('3. Assumptions'!$B$21/(1-'3. Assumptions'!$B$22))))^(('7. Cash flow'!$A$7:$A$86-1)/4)*(1-(1-(('3. Assumptions'!$B$21/(1-'3. Assumptions'!$B$22))))^0.25)*'7. Cash flow'!$D$7:$D$86/(1+('3. Assumptions'!$B$6+AB13))^('7. Cash flow'!$A$7:$A$86/4))+(1-(('3. Assumptions'!$B$21/(1-'3. Assumptions'!$B$22))))^'3. Assumptions'!$B$9*'7. Cash flow'!$D$87/(1+('3. Assumptions'!$B$6+AB13))^'3. Assumptions'!$B$9)/(1+'3. Assumptions'!$B$14)-('2. The tape'!$C$17/'3. Assumptions'!$B$4)</f>
        <v>6741011.16206485</v>
      </c>
      <c r="AE13" s="41" t="n">
        <f aca="false">IF(AH12&gt;0,AG12,AE12)</f>
        <v>0.046875</v>
      </c>
      <c r="AF13" s="41" t="n">
        <f aca="false">IF(AH12&gt;0,AF12,AG12)</f>
        <v>0.05625</v>
      </c>
      <c r="AG13" s="41" t="n">
        <f aca="false">(AE13+AF13)/2</f>
        <v>0.0515625</v>
      </c>
      <c r="AH13" s="42" t="n">
        <f aca="false">(SUMPRODUCT((1-(('3. Assumptions'!$B$21/(1-'3. Assumptions'!$B$22))))^('7. Cash flow'!$A$7:$A$86/4)*'7. Cash flow'!$C$7:$C$86/(1+(AG13))^('7. Cash flow'!$A$7:$A$86/4))+SUMPRODUCT((1-(('3. Assumptions'!$B$21/(1-'3. Assumptions'!$B$22))))^(('7. Cash flow'!$A$7:$A$86-1)/4)*(1-(1-(('3. Assumptions'!$B$21/(1-'3. Assumptions'!$B$22))))^0.25)*'7. Cash flow'!$D$7:$D$86/(1+(AG13))^('7. Cash flow'!$A$7:$A$86/4))+(1-(('3. Assumptions'!$B$21/(1-'3. Assumptions'!$B$22))))^'3. Assumptions'!$B$9*'7. Cash flow'!$D$87/(1+(AG13))^'3.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-1632819.34194189</v>
      </c>
      <c r="AJ13" s="41" t="n">
        <f aca="false">IF(AM12&gt;0,AL12,AJ12)</f>
        <v>-0.00625</v>
      </c>
      <c r="AK13" s="41" t="n">
        <f aca="false">IF(AM12&gt;0,AK12,AL12)</f>
        <v>0.0046875</v>
      </c>
      <c r="AL13" s="41" t="n">
        <f aca="false">(AJ13+AK13)/2</f>
        <v>-0.000781250000000002</v>
      </c>
      <c r="AM13" s="42" t="n">
        <f aca="false">SUMPRODUCT((1-('3. Assumptions'!$B$21/(1-'3. Assumptions'!$B$22)))^('7. Cash flow'!$A$7:$A$26/4)*('3. Assumptions'!$B$6+'3. Assumptions'!$B$21)/4/(1+'3. Assumptions'!$B$6+AL13)^('7. Cash flow'!$A$7:$A$26/4))+SUMPRODUCT((1-('3. Assumptions'!$B$21/(1-'3. Assumptions'!$B$22)))^(('7. Cash flow'!$A$7:$A$26-1)/4)*(1-(1-('3. Assumptions'!$B$21/(1-'3. Assumptions'!$B$22)))^0.25)*'3. Assumptions'!$B$22/(1+'3. Assumptions'!$B$6+AL13)^('7. Cash flow'!$A$7:$A$26/4))+(1-('3. Assumptions'!$B$21/(1-'3. Assumptions'!$B$22)))^5/(1+'3. Assumptions'!$B$6+AL13)^5-1</f>
        <v>-0.00406378979168331</v>
      </c>
    </row>
    <row r="14" customFormat="false" ht="15" hidden="false" customHeight="false" outlineLevel="0" collapsed="false">
      <c r="A14" s="41" t="n">
        <f aca="false">IF(D13&gt;0,C13,A13)</f>
        <v>0.065625</v>
      </c>
      <c r="B14" s="41" t="n">
        <f aca="false">IF(D13&gt;0,B13,C13)</f>
        <v>0.075</v>
      </c>
      <c r="C14" s="41" t="n">
        <f aca="false">(A14+B14)/2</f>
        <v>0.0703125</v>
      </c>
      <c r="D14" s="42" t="n">
        <f aca="false">(SUMPRODUCT((1-(C14))^('7. Cash flow'!$A$7:$A$86/4)*'7. Cash flow'!$C$7:$C$86/(1+(('3. Assumptions'!$B$6+'6. The ladder'!$B$6)))^('7. Cash flow'!$A$7:$A$86/4))+SUMPRODUCT((1-(C14))^(('7. Cash flow'!$A$7:$A$86-1)/4)*(1-(1-(C14))^0.25)*'7. Cash flow'!$D$7:$D$86/(1+(('3. Assumptions'!$B$6+'6. The ladder'!$C$6)))^('7. Cash flow'!$A$7:$A$86/4))+(1-(C14))^'3. Assumptions'!$B$9*'7. Cash flow'!$D$87/(1+(('3. Assumptions'!$B$6+'6. The ladder'!$C$6)))^'3. Assumptions'!$B$9)/(1+'3. Assumptions'!$B$14)-('2. The tape'!$C$17/'3. Assumptions'!$B$4)</f>
        <v>-45081.0445498824</v>
      </c>
      <c r="F14" s="41" t="n">
        <f aca="false">IF(I13&gt;0,H13,F13)</f>
        <v>0.05625</v>
      </c>
      <c r="G14" s="41" t="n">
        <f aca="false">IF(I13&gt;0,G13,H13)</f>
        <v>0.065625</v>
      </c>
      <c r="H14" s="41" t="n">
        <f aca="false">(F14+G14)/2</f>
        <v>0.0609375</v>
      </c>
      <c r="I14" s="42" t="n">
        <f aca="false">(SUMPRODUCT((1-(H14))^('7. Cash flow'!$A$7:$A$86/4)*'7. Cash flow'!$C$7:$C$86/(1+(('3. Assumptions'!$B$6+'6. The ladder'!$B$7)))^('7. Cash flow'!$A$7:$A$86/4))+SUMPRODUCT((1-(H14))^(('7. Cash flow'!$A$7:$A$86-1)/4)*(1-(1-(H14))^0.25)*'7. Cash flow'!$D$7:$D$86/(1+(('3. Assumptions'!$B$6+'6. The ladder'!$C$7)))^('7. Cash flow'!$A$7:$A$86/4))+(1-(H14))^'3. Assumptions'!$B$9*'7. Cash flow'!$D$87/(1+(('3. Assumptions'!$B$6+'6. The ladder'!$C$7)))^'3. Assumptions'!$B$9)/(1+'3. Assumptions'!$B$14)-('2. The tape'!$C$17/'3. Assumptions'!$B$4)</f>
        <v>-2794660.73958513</v>
      </c>
      <c r="K14" s="41" t="n">
        <f aca="false">IF(N13&gt;0,M13,K13)</f>
        <v>0.0375</v>
      </c>
      <c r="L14" s="41" t="n">
        <f aca="false">IF(N13&gt;0,L13,M13)</f>
        <v>0.046875</v>
      </c>
      <c r="M14" s="41" t="n">
        <f aca="false">(K14+L14)/2</f>
        <v>0.0421875</v>
      </c>
      <c r="N14" s="42" t="n">
        <f aca="false">(SUMPRODUCT((1-(M14))^('7. Cash flow'!$A$7:$A$86/4)*'7. Cash flow'!$C$7:$C$86/(1+(('3. Assumptions'!$B$6+'6. The ladder'!$B$8)))^('7. Cash flow'!$A$7:$A$86/4))+SUMPRODUCT((1-(M14))^(('7. Cash flow'!$A$7:$A$86-1)/4)*(1-(1-(M14))^0.25)*'7. Cash flow'!$D$7:$D$86/(1+(('3. Assumptions'!$B$6+'6. The ladder'!$C$8)))^('7. Cash flow'!$A$7:$A$86/4))+(1-(M14))^'3. Assumptions'!$B$9*'7. Cash flow'!$D$87/(1+(('3. Assumptions'!$B$6+'6. The ladder'!$C$8)))^'3. Assumptions'!$B$9)/(1+'3. Assumptions'!$B$14)-('2. The tape'!$C$17/'3. Assumptions'!$B$4)</f>
        <v>2564347.37523773</v>
      </c>
      <c r="P14" s="41" t="n">
        <f aca="false">IF(S13&gt;0,R13,P13)</f>
        <v>0.028125</v>
      </c>
      <c r="Q14" s="41" t="n">
        <f aca="false">IF(S13&gt;0,Q13,R13)</f>
        <v>0.0375</v>
      </c>
      <c r="R14" s="41" t="n">
        <f aca="false">(P14+Q14)/2</f>
        <v>0.0328125</v>
      </c>
      <c r="S14" s="42" t="n">
        <f aca="false">(SUMPRODUCT((1-(R14))^('7. Cash flow'!$A$7:$A$86/4)*'7. Cash flow'!$C$7:$C$86/(1+(('3. Assumptions'!$B$6+'6. The ladder'!$B$9)))^('7. Cash flow'!$A$7:$A$86/4))+SUMPRODUCT((1-(R14))^(('7. Cash flow'!$A$7:$A$86-1)/4)*(1-(1-(R14))^0.25)*'7. Cash flow'!$D$7:$D$86/(1+(('3. Assumptions'!$B$6+'6. The ladder'!$C$9)))^('7. Cash flow'!$A$7:$A$86/4))+(1-(R14))^'3. Assumptions'!$B$9*'7. Cash flow'!$D$87/(1+(('3. Assumptions'!$B$6+'6. The ladder'!$C$9)))^'3. Assumptions'!$B$9)/(1+'3. Assumptions'!$B$14)-('2. The tape'!$C$17/'3. Assumptions'!$B$4)</f>
        <v>-528667.221663058</v>
      </c>
      <c r="U14" s="41" t="n">
        <f aca="false">IF(X13&gt;0,W13,U13)</f>
        <v>0.028125</v>
      </c>
      <c r="V14" s="41" t="n">
        <f aca="false">IF(X13&gt;0,V13,W13)</f>
        <v>0.0375</v>
      </c>
      <c r="W14" s="41" t="n">
        <f aca="false">(U14+V14)/2</f>
        <v>0.0328125</v>
      </c>
      <c r="X14" s="42" t="n">
        <f aca="false">(SUMPRODUCT((1-(W14))^('7. Cash flow'!$A$7:$A$86/4)*'7. Cash flow'!$C$7:$C$86/(1+('3. Assumptions'!$B$28))^('7. Cash flow'!$A$7:$A$86/4))+SUMPRODUCT((1-(W14))^(('7. Cash flow'!$A$7:$A$86-1)/4)*(1-(1-(W14))^0.25)*'7. Cash flow'!$D$7:$D$86/(1+('3. Assumptions'!$B$29))^('7. Cash flow'!$A$7:$A$86/4))+(1-(W14))^'3. Assumptions'!$B$9*'7. Cash flow'!$D$87/(1+('3. Assumptions'!$B$29))^'3. Assumptions'!$B$9)/(1+'3. Assumptions'!$B$14)-('2. The tape'!$C$17/'3. Assumptions'!$B$4)</f>
        <v>-528667.221663058</v>
      </c>
      <c r="Z14" s="41" t="n">
        <f aca="false">IF(AC13&gt;0,AB13,Z13)</f>
        <v>-0.000781250000000002</v>
      </c>
      <c r="AA14" s="41" t="n">
        <f aca="false">IF(AC13&gt;0,AA13,AB13)</f>
        <v>0.0046875</v>
      </c>
      <c r="AB14" s="41" t="n">
        <f aca="false">(Z14+AA14)/2</f>
        <v>0.001953125</v>
      </c>
      <c r="AC14" s="42" t="n">
        <f aca="false">(SUMPRODUCT((1-(('3. Assumptions'!$B$21/(1-'3. Assumptions'!$B$22))))^('7. Cash flow'!$A$7:$A$86/4)*'7. Cash flow'!$C$7:$C$86/(1+('3. Assumptions'!$B$6+AB14))^('7. Cash flow'!$A$7:$A$86/4))+SUMPRODUCT((1-(('3. Assumptions'!$B$21/(1-'3. Assumptions'!$B$22))))^(('7. Cash flow'!$A$7:$A$86-1)/4)*(1-(1-(('3. Assumptions'!$B$21/(1-'3. Assumptions'!$B$22))))^0.25)*'7. Cash flow'!$D$7:$D$86/(1+('3. Assumptions'!$B$6+AB14))^('7. Cash flow'!$A$7:$A$86/4))+(1-(('3. Assumptions'!$B$21/(1-'3. Assumptions'!$B$22))))^'3. Assumptions'!$B$9*'7. Cash flow'!$D$87/(1+('3. Assumptions'!$B$6+AB14))^'3. Assumptions'!$B$9)/(1+'3. Assumptions'!$B$14)-('2. The tape'!$C$17/'3. Assumptions'!$B$4)</f>
        <v>2528973.44574347</v>
      </c>
      <c r="AE14" s="41" t="n">
        <f aca="false">IF(AH13&gt;0,AG13,AE13)</f>
        <v>0.046875</v>
      </c>
      <c r="AF14" s="41" t="n">
        <f aca="false">IF(AH13&gt;0,AF13,AG13)</f>
        <v>0.0515625</v>
      </c>
      <c r="AG14" s="41" t="n">
        <f aca="false">(AE14+AF14)/2</f>
        <v>0.04921875</v>
      </c>
      <c r="AH14" s="42" t="n">
        <f aca="false">(SUMPRODUCT((1-(('3. Assumptions'!$B$21/(1-'3. Assumptions'!$B$22))))^('7. Cash flow'!$A$7:$A$86/4)*'7. Cash flow'!$C$7:$C$86/(1+(AG14))^('7. Cash flow'!$A$7:$A$86/4))+SUMPRODUCT((1-(('3. Assumptions'!$B$21/(1-'3. Assumptions'!$B$22))))^(('7. Cash flow'!$A$7:$A$86-1)/4)*(1-(1-(('3. Assumptions'!$B$21/(1-'3. Assumptions'!$B$22))))^0.25)*'7. Cash flow'!$D$7:$D$86/(1+(AG14))^('7. Cash flow'!$A$7:$A$86/4))+(1-(('3. Assumptions'!$B$21/(1-'3. Assumptions'!$B$22))))^'3. Assumptions'!$B$9*'7. Cash flow'!$D$87/(1+(AG14))^'3.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1005098.78122166</v>
      </c>
      <c r="AJ14" s="41" t="n">
        <f aca="false">IF(AM13&gt;0,AL13,AJ13)</f>
        <v>-0.00625</v>
      </c>
      <c r="AK14" s="41" t="n">
        <f aca="false">IF(AM13&gt;0,AK13,AL13)</f>
        <v>-0.000781250000000002</v>
      </c>
      <c r="AL14" s="41" t="n">
        <f aca="false">(AJ14+AK14)/2</f>
        <v>-0.003515625</v>
      </c>
      <c r="AM14" s="42" t="n">
        <f aca="false">SUMPRODUCT((1-('3. Assumptions'!$B$21/(1-'3. Assumptions'!$B$22)))^('7. Cash flow'!$A$7:$A$26/4)*('3. Assumptions'!$B$6+'3. Assumptions'!$B$21)/4/(1+'3. Assumptions'!$B$6+AL14)^('7. Cash flow'!$A$7:$A$26/4))+SUMPRODUCT((1-('3. Assumptions'!$B$21/(1-'3. Assumptions'!$B$22)))^(('7. Cash flow'!$A$7:$A$26-1)/4)*(1-(1-('3. Assumptions'!$B$21/(1-'3. Assumptions'!$B$22)))^0.25)*'3. Assumptions'!$B$22/(1+'3. Assumptions'!$B$6+AL14)^('7. Cash flow'!$A$7:$A$26/4))+(1-('3. Assumptions'!$B$21/(1-'3. Assumptions'!$B$22)))^5/(1+'3. Assumptions'!$B$6+AL14)^5-1</f>
        <v>0.00682232511515468</v>
      </c>
    </row>
    <row r="15" customFormat="false" ht="15" hidden="false" customHeight="false" outlineLevel="0" collapsed="false">
      <c r="A15" s="41" t="n">
        <f aca="false">IF(D14&gt;0,C14,A14)</f>
        <v>0.065625</v>
      </c>
      <c r="B15" s="41" t="n">
        <f aca="false">IF(D14&gt;0,B14,C14)</f>
        <v>0.0703125</v>
      </c>
      <c r="C15" s="41" t="n">
        <f aca="false">(A15+B15)/2</f>
        <v>0.06796875</v>
      </c>
      <c r="D15" s="42" t="n">
        <f aca="false">(SUMPRODUCT((1-(C15))^('7. Cash flow'!$A$7:$A$86/4)*'7. Cash flow'!$C$7:$C$86/(1+(('3. Assumptions'!$B$6+'6. The ladder'!$B$6)))^('7. Cash flow'!$A$7:$A$86/4))+SUMPRODUCT((1-(C15))^(('7. Cash flow'!$A$7:$A$86-1)/4)*(1-(1-(C15))^0.25)*'7. Cash flow'!$D$7:$D$86/(1+(('3. Assumptions'!$B$6+'6. The ladder'!$C$6)))^('7. Cash flow'!$A$7:$A$86/4))+(1-(C15))^'3. Assumptions'!$B$9*'7. Cash flow'!$D$87/(1+(('3. Assumptions'!$B$6+'6. The ladder'!$C$6)))^'3. Assumptions'!$B$9)/(1+'3. Assumptions'!$B$14)-('2. The tape'!$C$17/'3. Assumptions'!$B$4)</f>
        <v>2028984.68416876</v>
      </c>
      <c r="F15" s="41" t="n">
        <f aca="false">IF(I14&gt;0,H14,F14)</f>
        <v>0.05625</v>
      </c>
      <c r="G15" s="41" t="n">
        <f aca="false">IF(I14&gt;0,G14,H14)</f>
        <v>0.0609375</v>
      </c>
      <c r="H15" s="41" t="n">
        <f aca="false">(F15+G15)/2</f>
        <v>0.05859375</v>
      </c>
      <c r="I15" s="42" t="n">
        <f aca="false">(SUMPRODUCT((1-(H15))^('7. Cash flow'!$A$7:$A$86/4)*'7. Cash flow'!$C$7:$C$86/(1+(('3. Assumptions'!$B$6+'6. The ladder'!$B$7)))^('7. Cash flow'!$A$7:$A$86/4))+SUMPRODUCT((1-(H15))^(('7. Cash flow'!$A$7:$A$86-1)/4)*(1-(1-(H15))^0.25)*'7. Cash flow'!$D$7:$D$86/(1+(('3. Assumptions'!$B$6+'6. The ladder'!$C$7)))^('7. Cash flow'!$A$7:$A$86/4))+(1-(H15))^'3. Assumptions'!$B$9*'7. Cash flow'!$D$87/(1+(('3. Assumptions'!$B$6+'6. The ladder'!$C$7)))^'3. Assumptions'!$B$9)/(1+'3. Assumptions'!$B$14)-('2. The tape'!$C$17/'3. Assumptions'!$B$4)</f>
        <v>-806918.285828769</v>
      </c>
      <c r="K15" s="41" t="n">
        <f aca="false">IF(N14&gt;0,M14,K14)</f>
        <v>0.0421875</v>
      </c>
      <c r="L15" s="41" t="n">
        <f aca="false">IF(N14&gt;0,L14,M14)</f>
        <v>0.046875</v>
      </c>
      <c r="M15" s="41" t="n">
        <f aca="false">(K15+L15)/2</f>
        <v>0.04453125</v>
      </c>
      <c r="N15" s="42" t="n">
        <f aca="false">(SUMPRODUCT((1-(M15))^('7. Cash flow'!$A$7:$A$86/4)*'7. Cash flow'!$C$7:$C$86/(1+(('3. Assumptions'!$B$6+'6. The ladder'!$B$8)))^('7. Cash flow'!$A$7:$A$86/4))+SUMPRODUCT((1-(M15))^(('7. Cash flow'!$A$7:$A$86-1)/4)*(1-(1-(M15))^0.25)*'7. Cash flow'!$D$7:$D$86/(1+(('3. Assumptions'!$B$6+'6. The ladder'!$C$8)))^('7. Cash flow'!$A$7:$A$86/4))+(1-(M15))^'3. Assumptions'!$B$9*'7. Cash flow'!$D$87/(1+(('3. Assumptions'!$B$6+'6. The ladder'!$C$8)))^'3. Assumptions'!$B$9)/(1+'3. Assumptions'!$B$14)-('2. The tape'!$C$17/'3. Assumptions'!$B$4)</f>
        <v>353882.246320426</v>
      </c>
      <c r="P15" s="41" t="n">
        <f aca="false">IF(S14&gt;0,R14,P14)</f>
        <v>0.028125</v>
      </c>
      <c r="Q15" s="41" t="n">
        <f aca="false">IF(S14&gt;0,Q14,R14)</f>
        <v>0.0328125</v>
      </c>
      <c r="R15" s="41" t="n">
        <f aca="false">(P15+Q15)/2</f>
        <v>0.03046875</v>
      </c>
      <c r="S15" s="42" t="n">
        <f aca="false">(SUMPRODUCT((1-(R15))^('7. Cash flow'!$A$7:$A$86/4)*'7. Cash flow'!$C$7:$C$86/(1+(('3. Assumptions'!$B$6+'6. The ladder'!$B$9)))^('7. Cash flow'!$A$7:$A$86/4))+SUMPRODUCT((1-(R15))^(('7. Cash flow'!$A$7:$A$86-1)/4)*(1-(1-(R15))^0.25)*'7. Cash flow'!$D$7:$D$86/(1+(('3. Assumptions'!$B$6+'6. The ladder'!$C$9)))^('7. Cash flow'!$A$7:$A$86/4))+(1-(R15))^'3. Assumptions'!$B$9*'7. Cash flow'!$D$87/(1+(('3. Assumptions'!$B$6+'6. The ladder'!$C$9)))^'3. Assumptions'!$B$9)/(1+'3. Assumptions'!$B$14)-('2. The tape'!$C$17/'3. Assumptions'!$B$4)</f>
        <v>1847508.64712936</v>
      </c>
      <c r="U15" s="41" t="n">
        <f aca="false">IF(X14&gt;0,W14,U14)</f>
        <v>0.028125</v>
      </c>
      <c r="V15" s="41" t="n">
        <f aca="false">IF(X14&gt;0,V14,W14)</f>
        <v>0.0328125</v>
      </c>
      <c r="W15" s="41" t="n">
        <f aca="false">(U15+V15)/2</f>
        <v>0.03046875</v>
      </c>
      <c r="X15" s="42" t="n">
        <f aca="false">(SUMPRODUCT((1-(W15))^('7. Cash flow'!$A$7:$A$86/4)*'7. Cash flow'!$C$7:$C$86/(1+('3. Assumptions'!$B$28))^('7. Cash flow'!$A$7:$A$86/4))+SUMPRODUCT((1-(W15))^(('7. Cash flow'!$A$7:$A$86-1)/4)*(1-(1-(W15))^0.25)*'7. Cash flow'!$D$7:$D$86/(1+('3. Assumptions'!$B$29))^('7. Cash flow'!$A$7:$A$86/4))+(1-(W15))^'3. Assumptions'!$B$9*'7. Cash flow'!$D$87/(1+('3. Assumptions'!$B$29))^'3. Assumptions'!$B$9)/(1+'3. Assumptions'!$B$14)-('2. The tape'!$C$17/'3. Assumptions'!$B$4)</f>
        <v>1847508.64712936</v>
      </c>
      <c r="Z15" s="41" t="n">
        <f aca="false">IF(AC14&gt;0,AB14,Z14)</f>
        <v>0.001953125</v>
      </c>
      <c r="AA15" s="41" t="n">
        <f aca="false">IF(AC14&gt;0,AA14,AB14)</f>
        <v>0.0046875</v>
      </c>
      <c r="AB15" s="41" t="n">
        <f aca="false">(Z15+AA15)/2</f>
        <v>0.0033203125</v>
      </c>
      <c r="AC15" s="42" t="n">
        <f aca="false">(SUMPRODUCT((1-(('3. Assumptions'!$B$21/(1-'3. Assumptions'!$B$22))))^('7. Cash flow'!$A$7:$A$86/4)*'7. Cash flow'!$C$7:$C$86/(1+('3. Assumptions'!$B$6+AB15))^('7. Cash flow'!$A$7:$A$86/4))+SUMPRODUCT((1-(('3. Assumptions'!$B$21/(1-'3. Assumptions'!$B$22))))^(('7. Cash flow'!$A$7:$A$86-1)/4)*(1-(1-(('3. Assumptions'!$B$21/(1-'3. Assumptions'!$B$22))))^0.25)*'7. Cash flow'!$D$7:$D$86/(1+('3. Assumptions'!$B$6+AB15))^('7. Cash flow'!$A$7:$A$86/4))+(1-(('3. Assumptions'!$B$21/(1-'3. Assumptions'!$B$22))))^'3. Assumptions'!$B$9*'7. Cash flow'!$D$87/(1+('3. Assumptions'!$B$6+AB15))^'3. Assumptions'!$B$9)/(1+'3. Assumptions'!$B$14)-('2. The tape'!$C$17/'3. Assumptions'!$B$4)</f>
        <v>481198.247812122</v>
      </c>
      <c r="AE15" s="41" t="n">
        <f aca="false">IF(AH14&gt;0,AG14,AE14)</f>
        <v>0.04921875</v>
      </c>
      <c r="AF15" s="41" t="n">
        <f aca="false">IF(AH14&gt;0,AF14,AG14)</f>
        <v>0.0515625</v>
      </c>
      <c r="AG15" s="41" t="n">
        <f aca="false">(AE15+AF15)/2</f>
        <v>0.050390625</v>
      </c>
      <c r="AH15" s="42" t="n">
        <f aca="false">(SUMPRODUCT((1-(('3. Assumptions'!$B$21/(1-'3. Assumptions'!$B$22))))^('7. Cash flow'!$A$7:$A$86/4)*'7. Cash flow'!$C$7:$C$86/(1+(AG15))^('7. Cash flow'!$A$7:$A$86/4))+SUMPRODUCT((1-(('3. Assumptions'!$B$21/(1-'3. Assumptions'!$B$22))))^(('7. Cash flow'!$A$7:$A$86-1)/4)*(1-(1-(('3. Assumptions'!$B$21/(1-'3. Assumptions'!$B$22))))^0.25)*'7. Cash flow'!$D$7:$D$86/(1+(AG15))^('7. Cash flow'!$A$7:$A$86/4))+(1-(('3. Assumptions'!$B$21/(1-'3. Assumptions'!$B$22))))^'3. Assumptions'!$B$9*'7. Cash flow'!$D$87/(1+(AG15))^'3.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-323656.5446845</v>
      </c>
      <c r="AJ15" s="41" t="n">
        <f aca="false">IF(AM14&gt;0,AL14,AJ14)</f>
        <v>-0.003515625</v>
      </c>
      <c r="AK15" s="41" t="n">
        <f aca="false">IF(AM14&gt;0,AK14,AL14)</f>
        <v>-0.000781250000000002</v>
      </c>
      <c r="AL15" s="41" t="n">
        <f aca="false">(AJ15+AK15)/2</f>
        <v>-0.0021484375</v>
      </c>
      <c r="AM15" s="42" t="n">
        <f aca="false">SUMPRODUCT((1-('3. Assumptions'!$B$21/(1-'3. Assumptions'!$B$22)))^('7. Cash flow'!$A$7:$A$26/4)*('3. Assumptions'!$B$6+'3. Assumptions'!$B$21)/4/(1+'3. Assumptions'!$B$6+AL15)^('7. Cash flow'!$A$7:$A$26/4))+SUMPRODUCT((1-('3. Assumptions'!$B$21/(1-'3. Assumptions'!$B$22)))^(('7. Cash flow'!$A$7:$A$26-1)/4)*(1-(1-('3. Assumptions'!$B$21/(1-'3. Assumptions'!$B$22)))^0.25)*'3. Assumptions'!$B$22/(1+'3. Assumptions'!$B$6+AL15)^('7. Cash flow'!$A$7:$A$26/4))+(1-('3. Assumptions'!$B$21/(1-'3. Assumptions'!$B$22)))^5/(1+'3. Assumptions'!$B$6+AL15)^5-1</f>
        <v>0.00135881992100639</v>
      </c>
    </row>
    <row r="16" customFormat="false" ht="15" hidden="false" customHeight="false" outlineLevel="0" collapsed="false">
      <c r="A16" s="41" t="n">
        <f aca="false">IF(D15&gt;0,C15,A15)</f>
        <v>0.06796875</v>
      </c>
      <c r="B16" s="41" t="n">
        <f aca="false">IF(D15&gt;0,B15,C15)</f>
        <v>0.0703125</v>
      </c>
      <c r="C16" s="41" t="n">
        <f aca="false">(A16+B16)/2</f>
        <v>0.069140625</v>
      </c>
      <c r="D16" s="42" t="n">
        <f aca="false">(SUMPRODUCT((1-(C16))^('7. Cash flow'!$A$7:$A$86/4)*'7. Cash flow'!$C$7:$C$86/(1+(('3. Assumptions'!$B$6+'6. The ladder'!$B$6)))^('7. Cash flow'!$A$7:$A$86/4))+SUMPRODUCT((1-(C16))^(('7. Cash flow'!$A$7:$A$86-1)/4)*(1-(1-(C16))^0.25)*'7. Cash flow'!$D$7:$D$86/(1+(('3. Assumptions'!$B$6+'6. The ladder'!$C$6)))^('7. Cash flow'!$A$7:$A$86/4))+(1-(C16))^'3. Assumptions'!$B$9*'7. Cash flow'!$D$87/(1+(('3. Assumptions'!$B$6+'6. The ladder'!$C$6)))^'3. Assumptions'!$B$9)/(1+'3. Assumptions'!$B$14)-('2. The tape'!$C$17/'3. Assumptions'!$B$4)</f>
        <v>984608.165067673</v>
      </c>
      <c r="F16" s="41" t="n">
        <f aca="false">IF(I15&gt;0,H15,F15)</f>
        <v>0.05625</v>
      </c>
      <c r="G16" s="41" t="n">
        <f aca="false">IF(I15&gt;0,G15,H15)</f>
        <v>0.05859375</v>
      </c>
      <c r="H16" s="41" t="n">
        <f aca="false">(F16+G16)/2</f>
        <v>0.057421875</v>
      </c>
      <c r="I16" s="42" t="n">
        <f aca="false">(SUMPRODUCT((1-(H16))^('7. Cash flow'!$A$7:$A$86/4)*'7. Cash flow'!$C$7:$C$86/(1+(('3. Assumptions'!$B$6+'6. The ladder'!$B$7)))^('7. Cash flow'!$A$7:$A$86/4))+SUMPRODUCT((1-(H16))^(('7. Cash flow'!$A$7:$A$86-1)/4)*(1-(1-(H16))^0.25)*'7. Cash flow'!$D$7:$D$86/(1+(('3. Assumptions'!$B$6+'6. The ladder'!$C$7)))^('7. Cash flow'!$A$7:$A$86/4))+(1-(H16))^'3. Assumptions'!$B$9*'7. Cash flow'!$D$87/(1+(('3. Assumptions'!$B$6+'6. The ladder'!$C$7)))^'3. Assumptions'!$B$9)/(1+'3. Assumptions'!$B$14)-('2. The tape'!$C$17/'3. Assumptions'!$B$4)</f>
        <v>208180.92195946</v>
      </c>
      <c r="K16" s="41" t="n">
        <f aca="false">IF(N15&gt;0,M15,K15)</f>
        <v>0.04453125</v>
      </c>
      <c r="L16" s="41" t="n">
        <f aca="false">IF(N15&gt;0,L15,M15)</f>
        <v>0.046875</v>
      </c>
      <c r="M16" s="41" t="n">
        <f aca="false">(K16+L16)/2</f>
        <v>0.045703125</v>
      </c>
      <c r="N16" s="42" t="n">
        <f aca="false">(SUMPRODUCT((1-(M16))^('7. Cash flow'!$A$7:$A$86/4)*'7. Cash flow'!$C$7:$C$86/(1+(('3. Assumptions'!$B$6+'6. The ladder'!$B$8)))^('7. Cash flow'!$A$7:$A$86/4))+SUMPRODUCT((1-(M16))^(('7. Cash flow'!$A$7:$A$86-1)/4)*(1-(1-(M16))^0.25)*'7. Cash flow'!$D$7:$D$86/(1+(('3. Assumptions'!$B$6+'6. The ladder'!$C$8)))^('7. Cash flow'!$A$7:$A$86/4))+(1-(M16))^'3. Assumptions'!$B$9*'7. Cash flow'!$D$87/(1+(('3. Assumptions'!$B$6+'6. The ladder'!$C$8)))^'3. Assumptions'!$B$9)/(1+'3. Assumptions'!$B$14)-('2. The tape'!$C$17/'3. Assumptions'!$B$4)</f>
        <v>-727663.463881999</v>
      </c>
      <c r="P16" s="41" t="n">
        <f aca="false">IF(S15&gt;0,R15,P15)</f>
        <v>0.03046875</v>
      </c>
      <c r="Q16" s="41" t="n">
        <f aca="false">IF(S15&gt;0,Q15,R15)</f>
        <v>0.0328125</v>
      </c>
      <c r="R16" s="41" t="n">
        <f aca="false">(P16+Q16)/2</f>
        <v>0.031640625</v>
      </c>
      <c r="S16" s="42" t="n">
        <f aca="false">(SUMPRODUCT((1-(R16))^('7. Cash flow'!$A$7:$A$86/4)*'7. Cash flow'!$C$7:$C$86/(1+(('3. Assumptions'!$B$6+'6. The ladder'!$B$9)))^('7. Cash flow'!$A$7:$A$86/4))+SUMPRODUCT((1-(R16))^(('7. Cash flow'!$A$7:$A$86-1)/4)*(1-(1-(R16))^0.25)*'7. Cash flow'!$D$7:$D$86/(1+(('3. Assumptions'!$B$6+'6. The ladder'!$C$9)))^('7. Cash flow'!$A$7:$A$86/4))+(1-(R16))^'3. Assumptions'!$B$9*'7. Cash flow'!$D$87/(1+(('3. Assumptions'!$B$6+'6. The ladder'!$C$9)))^'3. Assumptions'!$B$9)/(1+'3. Assumptions'!$B$14)-('2. The tape'!$C$17/'3. Assumptions'!$B$4)</f>
        <v>650657.488707095</v>
      </c>
      <c r="U16" s="41" t="n">
        <f aca="false">IF(X15&gt;0,W15,U15)</f>
        <v>0.03046875</v>
      </c>
      <c r="V16" s="41" t="n">
        <f aca="false">IF(X15&gt;0,V15,W15)</f>
        <v>0.0328125</v>
      </c>
      <c r="W16" s="41" t="n">
        <f aca="false">(U16+V16)/2</f>
        <v>0.031640625</v>
      </c>
      <c r="X16" s="42" t="n">
        <f aca="false">(SUMPRODUCT((1-(W16))^('7. Cash flow'!$A$7:$A$86/4)*'7. Cash flow'!$C$7:$C$86/(1+('3. Assumptions'!$B$28))^('7. Cash flow'!$A$7:$A$86/4))+SUMPRODUCT((1-(W16))^(('7. Cash flow'!$A$7:$A$86-1)/4)*(1-(1-(W16))^0.25)*'7. Cash flow'!$D$7:$D$86/(1+('3. Assumptions'!$B$29))^('7. Cash flow'!$A$7:$A$86/4))+(1-(W16))^'3. Assumptions'!$B$9*'7. Cash flow'!$D$87/(1+('3. Assumptions'!$B$29))^'3. Assumptions'!$B$9)/(1+'3. Assumptions'!$B$14)-('2. The tape'!$C$17/'3. Assumptions'!$B$4)</f>
        <v>650657.488707095</v>
      </c>
      <c r="Z16" s="41" t="n">
        <f aca="false">IF(AC15&gt;0,AB15,Z15)</f>
        <v>0.0033203125</v>
      </c>
      <c r="AA16" s="41" t="n">
        <f aca="false">IF(AC15&gt;0,AA15,AB15)</f>
        <v>0.0046875</v>
      </c>
      <c r="AB16" s="41" t="n">
        <f aca="false">(Z16+AA16)/2</f>
        <v>0.00400390625</v>
      </c>
      <c r="AC16" s="42" t="n">
        <f aca="false">(SUMPRODUCT((1-(('3. Assumptions'!$B$21/(1-'3. Assumptions'!$B$22))))^('7. Cash flow'!$A$7:$A$86/4)*'7. Cash flow'!$C$7:$C$86/(1+('3. Assumptions'!$B$6+AB16))^('7. Cash flow'!$A$7:$A$86/4))+SUMPRODUCT((1-(('3. Assumptions'!$B$21/(1-'3. Assumptions'!$B$22))))^(('7. Cash flow'!$A$7:$A$86-1)/4)*(1-(1-(('3. Assumptions'!$B$21/(1-'3. Assumptions'!$B$22))))^0.25)*'7. Cash flow'!$D$7:$D$86/(1+('3. Assumptions'!$B$6+AB16))^('7. Cash flow'!$A$7:$A$86/4))+(1-(('3. Assumptions'!$B$21/(1-'3. Assumptions'!$B$22))))^'3. Assumptions'!$B$9*'7. Cash flow'!$D$87/(1+('3. Assumptions'!$B$6+AB16))^'3. Assumptions'!$B$9)/(1+'3. Assumptions'!$B$14)-('2. The tape'!$C$17/'3. Assumptions'!$B$4)</f>
        <v>-528514.928862453</v>
      </c>
      <c r="AE16" s="41" t="n">
        <f aca="false">IF(AH15&gt;0,AG15,AE15)</f>
        <v>0.04921875</v>
      </c>
      <c r="AF16" s="41" t="n">
        <f aca="false">IF(AH15&gt;0,AF15,AG15)</f>
        <v>0.050390625</v>
      </c>
      <c r="AG16" s="41" t="n">
        <f aca="false">(AE16+AF16)/2</f>
        <v>0.0498046875</v>
      </c>
      <c r="AH16" s="42" t="n">
        <f aca="false">(SUMPRODUCT((1-(('3. Assumptions'!$B$21/(1-'3. Assumptions'!$B$22))))^('7. Cash flow'!$A$7:$A$86/4)*'7. Cash flow'!$C$7:$C$86/(1+(AG16))^('7. Cash flow'!$A$7:$A$86/4))+SUMPRODUCT((1-(('3. Assumptions'!$B$21/(1-'3. Assumptions'!$B$22))))^(('7. Cash flow'!$A$7:$A$86-1)/4)*(1-(1-(('3. Assumptions'!$B$21/(1-'3. Assumptions'!$B$22))))^0.25)*'7. Cash flow'!$D$7:$D$86/(1+(AG16))^('7. Cash flow'!$A$7:$A$86/4))+(1-(('3. Assumptions'!$B$21/(1-'3. Assumptions'!$B$22))))^'3. Assumptions'!$B$9*'7. Cash flow'!$D$87/(1+(AG16))^'3.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338249.063257009</v>
      </c>
      <c r="AJ16" s="41" t="n">
        <f aca="false">IF(AM15&gt;0,AL15,AJ15)</f>
        <v>-0.0021484375</v>
      </c>
      <c r="AK16" s="41" t="n">
        <f aca="false">IF(AM15&gt;0,AK15,AL15)</f>
        <v>-0.000781250000000002</v>
      </c>
      <c r="AL16" s="41" t="n">
        <f aca="false">(AJ16+AK16)/2</f>
        <v>-0.00146484375</v>
      </c>
      <c r="AM16" s="42" t="n">
        <f aca="false">SUMPRODUCT((1-('3. Assumptions'!$B$21/(1-'3. Assumptions'!$B$22)))^('7. Cash flow'!$A$7:$A$26/4)*('3. Assumptions'!$B$6+'3. Assumptions'!$B$21)/4/(1+'3. Assumptions'!$B$6+AL16)^('7. Cash flow'!$A$7:$A$26/4))+SUMPRODUCT((1-('3. Assumptions'!$B$21/(1-'3. Assumptions'!$B$22)))^(('7. Cash flow'!$A$7:$A$26-1)/4)*(1-(1-('3. Assumptions'!$B$21/(1-'3. Assumptions'!$B$22)))^0.25)*'3. Assumptions'!$B$22/(1+'3. Assumptions'!$B$6+AL16)^('7. Cash flow'!$A$7:$A$26/4))+(1-('3. Assumptions'!$B$21/(1-'3. Assumptions'!$B$22)))^5/(1+'3. Assumptions'!$B$6+AL16)^5-1</f>
        <v>-0.00135757377692936</v>
      </c>
    </row>
    <row r="17" customFormat="false" ht="15" hidden="false" customHeight="false" outlineLevel="0" collapsed="false">
      <c r="A17" s="41" t="n">
        <f aca="false">IF(D16&gt;0,C16,A16)</f>
        <v>0.069140625</v>
      </c>
      <c r="B17" s="41" t="n">
        <f aca="false">IF(D16&gt;0,B16,C16)</f>
        <v>0.0703125</v>
      </c>
      <c r="C17" s="41" t="n">
        <f aca="false">(A17+B17)/2</f>
        <v>0.0697265625</v>
      </c>
      <c r="D17" s="42" t="n">
        <f aca="false">(SUMPRODUCT((1-(C17))^('7. Cash flow'!$A$7:$A$86/4)*'7. Cash flow'!$C$7:$C$86/(1+(('3. Assumptions'!$B$6+'6. The ladder'!$B$6)))^('7. Cash flow'!$A$7:$A$86/4))+SUMPRODUCT((1-(C17))^(('7. Cash flow'!$A$7:$A$86-1)/4)*(1-(1-(C17))^0.25)*'7. Cash flow'!$D$7:$D$86/(1+(('3. Assumptions'!$B$6+'6. The ladder'!$C$6)))^('7. Cash flow'!$A$7:$A$86/4))+(1-(C17))^'3. Assumptions'!$B$9*'7. Cash flow'!$D$87/(1+(('3. Assumptions'!$B$6+'6. The ladder'!$C$6)))^'3. Assumptions'!$B$9)/(1+'3. Assumptions'!$B$14)-('2. The tape'!$C$17/'3. Assumptions'!$B$4)</f>
        <v>467942.361993879</v>
      </c>
      <c r="F17" s="41" t="n">
        <f aca="false">IF(I16&gt;0,H16,F16)</f>
        <v>0.057421875</v>
      </c>
      <c r="G17" s="41" t="n">
        <f aca="false">IF(I16&gt;0,G16,H16)</f>
        <v>0.05859375</v>
      </c>
      <c r="H17" s="41" t="n">
        <f aca="false">(F17+G17)/2</f>
        <v>0.0580078125</v>
      </c>
      <c r="I17" s="42" t="n">
        <f aca="false">(SUMPRODUCT((1-(H17))^('7. Cash flow'!$A$7:$A$86/4)*'7. Cash flow'!$C$7:$C$86/(1+(('3. Assumptions'!$B$6+'6. The ladder'!$B$7)))^('7. Cash flow'!$A$7:$A$86/4))+SUMPRODUCT((1-(H17))^(('7. Cash flow'!$A$7:$A$86-1)/4)*(1-(1-(H17))^0.25)*'7. Cash flow'!$D$7:$D$86/(1+(('3. Assumptions'!$B$6+'6. The ladder'!$C$7)))^('7. Cash flow'!$A$7:$A$86/4))+(1-(H17))^'3. Assumptions'!$B$9*'7. Cash flow'!$D$87/(1+(('3. Assumptions'!$B$6+'6. The ladder'!$C$7)))^'3. Assumptions'!$B$9)/(1+'3. Assumptions'!$B$14)-('2. The tape'!$C$17/'3. Assumptions'!$B$4)</f>
        <v>-301161.427667797</v>
      </c>
      <c r="K17" s="41" t="n">
        <f aca="false">IF(N16&gt;0,M16,K16)</f>
        <v>0.04453125</v>
      </c>
      <c r="L17" s="41" t="n">
        <f aca="false">IF(N16&gt;0,L16,M16)</f>
        <v>0.045703125</v>
      </c>
      <c r="M17" s="41" t="n">
        <f aca="false">(K17+L17)/2</f>
        <v>0.0451171875</v>
      </c>
      <c r="N17" s="42" t="n">
        <f aca="false">(SUMPRODUCT((1-(M17))^('7. Cash flow'!$A$7:$A$86/4)*'7. Cash flow'!$C$7:$C$86/(1+(('3. Assumptions'!$B$6+'6. The ladder'!$B$8)))^('7. Cash flow'!$A$7:$A$86/4))+SUMPRODUCT((1-(M17))^(('7. Cash flow'!$A$7:$A$86-1)/4)*(1-(1-(M17))^0.25)*'7. Cash flow'!$D$7:$D$86/(1+(('3. Assumptions'!$B$6+'6. The ladder'!$C$8)))^('7. Cash flow'!$A$7:$A$86/4))+(1-(M17))^'3. Assumptions'!$B$9*'7. Cash flow'!$D$87/(1+(('3. Assumptions'!$B$6+'6. The ladder'!$C$8)))^'3. Assumptions'!$B$9)/(1+'3. Assumptions'!$B$14)-('2. The tape'!$C$17/'3. Assumptions'!$B$4)</f>
        <v>-188838.227517962</v>
      </c>
      <c r="P17" s="41" t="n">
        <f aca="false">IF(S16&gt;0,R16,P16)</f>
        <v>0.031640625</v>
      </c>
      <c r="Q17" s="41" t="n">
        <f aca="false">IF(S16&gt;0,Q16,R16)</f>
        <v>0.0328125</v>
      </c>
      <c r="R17" s="41" t="n">
        <f aca="false">(P17+Q17)/2</f>
        <v>0.0322265625</v>
      </c>
      <c r="S17" s="42" t="n">
        <f aca="false">(SUMPRODUCT((1-(R17))^('7. Cash flow'!$A$7:$A$86/4)*'7. Cash flow'!$C$7:$C$86/(1+(('3. Assumptions'!$B$6+'6. The ladder'!$B$9)))^('7. Cash flow'!$A$7:$A$86/4))+SUMPRODUCT((1-(R17))^(('7. Cash flow'!$A$7:$A$86-1)/4)*(1-(1-(R17))^0.25)*'7. Cash flow'!$D$7:$D$86/(1+(('3. Assumptions'!$B$6+'6. The ladder'!$C$9)))^('7. Cash flow'!$A$7:$A$86/4))+(1-(R17))^'3. Assumptions'!$B$9*'7. Cash flow'!$D$87/(1+(('3. Assumptions'!$B$6+'6. The ladder'!$C$9)))^'3. Assumptions'!$B$9)/(1+'3. Assumptions'!$B$14)-('2. The tape'!$C$17/'3. Assumptions'!$B$4)</f>
        <v>58821.8057270348</v>
      </c>
      <c r="U17" s="41" t="n">
        <f aca="false">IF(X16&gt;0,W16,U16)</f>
        <v>0.031640625</v>
      </c>
      <c r="V17" s="41" t="n">
        <f aca="false">IF(X16&gt;0,V16,W16)</f>
        <v>0.0328125</v>
      </c>
      <c r="W17" s="41" t="n">
        <f aca="false">(U17+V17)/2</f>
        <v>0.0322265625</v>
      </c>
      <c r="X17" s="42" t="n">
        <f aca="false">(SUMPRODUCT((1-(W17))^('7. Cash flow'!$A$7:$A$86/4)*'7. Cash flow'!$C$7:$C$86/(1+('3. Assumptions'!$B$28))^('7. Cash flow'!$A$7:$A$86/4))+SUMPRODUCT((1-(W17))^(('7. Cash flow'!$A$7:$A$86-1)/4)*(1-(1-(W17))^0.25)*'7. Cash flow'!$D$7:$D$86/(1+('3. Assumptions'!$B$29))^('7. Cash flow'!$A$7:$A$86/4))+(1-(W17))^'3. Assumptions'!$B$9*'7. Cash flow'!$D$87/(1+('3. Assumptions'!$B$29))^'3. Assumptions'!$B$9)/(1+'3. Assumptions'!$B$14)-('2. The tape'!$C$17/'3. Assumptions'!$B$4)</f>
        <v>58821.8057270348</v>
      </c>
      <c r="Z17" s="41" t="n">
        <f aca="false">IF(AC16&gt;0,AB16,Z16)</f>
        <v>0.0033203125</v>
      </c>
      <c r="AA17" s="41" t="n">
        <f aca="false">IF(AC16&gt;0,AA16,AB16)</f>
        <v>0.00400390625</v>
      </c>
      <c r="AB17" s="41" t="n">
        <f aca="false">(Z17+AA17)/2</f>
        <v>0.003662109375</v>
      </c>
      <c r="AC17" s="42" t="n">
        <f aca="false">(SUMPRODUCT((1-(('3. Assumptions'!$B$21/(1-'3. Assumptions'!$B$22))))^('7. Cash flow'!$A$7:$A$86/4)*'7. Cash flow'!$C$7:$C$86/(1+('3. Assumptions'!$B$6+AB17))^('7. Cash flow'!$A$7:$A$86/4))+SUMPRODUCT((1-(('3. Assumptions'!$B$21/(1-'3. Assumptions'!$B$22))))^(('7. Cash flow'!$A$7:$A$86-1)/4)*(1-(1-(('3. Assumptions'!$B$21/(1-'3. Assumptions'!$B$22))))^0.25)*'7. Cash flow'!$D$7:$D$86/(1+('3. Assumptions'!$B$6+AB17))^('7. Cash flow'!$A$7:$A$86/4))+(1-(('3. Assumptions'!$B$21/(1-'3. Assumptions'!$B$22))))^'3. Assumptions'!$B$9*'7. Cash flow'!$D$87/(1+('3. Assumptions'!$B$6+AB17))^'3. Assumptions'!$B$9)/(1+'3. Assumptions'!$B$14)-('2. The tape'!$C$17/'3. Assumptions'!$B$4)</f>
        <v>-24828.2817572057</v>
      </c>
      <c r="AE17" s="41" t="n">
        <f aca="false">IF(AH16&gt;0,AG16,AE16)</f>
        <v>0.0498046875</v>
      </c>
      <c r="AF17" s="41" t="n">
        <f aca="false">IF(AH16&gt;0,AF16,AG16)</f>
        <v>0.050390625</v>
      </c>
      <c r="AG17" s="41" t="n">
        <f aca="false">(AE17+AF17)/2</f>
        <v>0.05009765625</v>
      </c>
      <c r="AH17" s="42" t="n">
        <f aca="false">(SUMPRODUCT((1-(('3. Assumptions'!$B$21/(1-'3. Assumptions'!$B$22))))^('7. Cash flow'!$A$7:$A$86/4)*'7. Cash flow'!$C$7:$C$86/(1+(AG17))^('7. Cash flow'!$A$7:$A$86/4))+SUMPRODUCT((1-(('3. Assumptions'!$B$21/(1-'3. Assumptions'!$B$22))))^(('7. Cash flow'!$A$7:$A$86-1)/4)*(1-(1-(('3. Assumptions'!$B$21/(1-'3. Assumptions'!$B$22))))^0.25)*'7. Cash flow'!$D$7:$D$86/(1+(AG17))^('7. Cash flow'!$A$7:$A$86/4))+(1-(('3. Assumptions'!$B$21/(1-'3. Assumptions'!$B$22))))^'3. Assumptions'!$B$9*'7. Cash flow'!$D$87/(1+(AG17))^'3.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6681.13844823837</v>
      </c>
      <c r="AJ17" s="41" t="n">
        <f aca="false">IF(AM16&gt;0,AL16,AJ16)</f>
        <v>-0.0021484375</v>
      </c>
      <c r="AK17" s="41" t="n">
        <f aca="false">IF(AM16&gt;0,AK16,AL16)</f>
        <v>-0.00146484375</v>
      </c>
      <c r="AL17" s="41" t="n">
        <f aca="false">(AJ17+AK17)/2</f>
        <v>-0.001806640625</v>
      </c>
      <c r="AM17" s="42" t="n">
        <f aca="false">SUMPRODUCT((1-('3. Assumptions'!$B$21/(1-'3. Assumptions'!$B$22)))^('7. Cash flow'!$A$7:$A$26/4)*('3. Assumptions'!$B$6+'3. Assumptions'!$B$21)/4/(1+'3. Assumptions'!$B$6+AL17)^('7. Cash flow'!$A$7:$A$26/4))+SUMPRODUCT((1-('3. Assumptions'!$B$21/(1-'3. Assumptions'!$B$22)))^(('7. Cash flow'!$A$7:$A$26-1)/4)*(1-(1-('3. Assumptions'!$B$21/(1-'3. Assumptions'!$B$22)))^0.25)*'3. Assumptions'!$B$22/(1+'3. Assumptions'!$B$6+AL17)^('7. Cash flow'!$A$7:$A$26/4))+(1-('3. Assumptions'!$B$21/(1-'3. Assumptions'!$B$22)))^5/(1+'3. Assumptions'!$B$6+AL17)^5-1</f>
        <v>-6.52015616386947E-007</v>
      </c>
    </row>
    <row r="18" customFormat="false" ht="15" hidden="false" customHeight="false" outlineLevel="0" collapsed="false">
      <c r="A18" s="41" t="n">
        <f aca="false">IF(D17&gt;0,C17,A17)</f>
        <v>0.0697265625</v>
      </c>
      <c r="B18" s="41" t="n">
        <f aca="false">IF(D17&gt;0,B17,C17)</f>
        <v>0.0703125</v>
      </c>
      <c r="C18" s="41" t="n">
        <f aca="false">(A18+B18)/2</f>
        <v>0.07001953125</v>
      </c>
      <c r="D18" s="42" t="n">
        <f aca="false">(SUMPRODUCT((1-(C18))^('7. Cash flow'!$A$7:$A$86/4)*'7. Cash flow'!$C$7:$C$86/(1+(('3. Assumptions'!$B$6+'6. The ladder'!$B$6)))^('7. Cash flow'!$A$7:$A$86/4))+SUMPRODUCT((1-(C18))^(('7. Cash flow'!$A$7:$A$86-1)/4)*(1-(1-(C18))^0.25)*'7. Cash flow'!$D$7:$D$86/(1+(('3. Assumptions'!$B$6+'6. The ladder'!$C$6)))^('7. Cash flow'!$A$7:$A$86/4))+(1-(C18))^'3. Assumptions'!$B$9*'7. Cash flow'!$D$87/(1+(('3. Assumptions'!$B$6+'6. The ladder'!$C$6)))^'3. Assumptions'!$B$9)/(1+'3. Assumptions'!$B$14)-('2. The tape'!$C$17/'3. Assumptions'!$B$4)</f>
        <v>210977.185182542</v>
      </c>
      <c r="F18" s="41" t="n">
        <f aca="false">IF(I17&gt;0,H17,F17)</f>
        <v>0.057421875</v>
      </c>
      <c r="G18" s="41" t="n">
        <f aca="false">IF(I17&gt;0,G17,H17)</f>
        <v>0.0580078125</v>
      </c>
      <c r="H18" s="41" t="n">
        <f aca="false">(F18+G18)/2</f>
        <v>0.05771484375</v>
      </c>
      <c r="I18" s="42" t="n">
        <f aca="false">(SUMPRODUCT((1-(H18))^('7. Cash flow'!$A$7:$A$86/4)*'7. Cash flow'!$C$7:$C$86/(1+(('3. Assumptions'!$B$6+'6. The ladder'!$B$7)))^('7. Cash flow'!$A$7:$A$86/4))+SUMPRODUCT((1-(H18))^(('7. Cash flow'!$A$7:$A$86-1)/4)*(1-(1-(H18))^0.25)*'7. Cash flow'!$D$7:$D$86/(1+(('3. Assumptions'!$B$6+'6. The ladder'!$C$7)))^('7. Cash flow'!$A$7:$A$86/4))+(1-(H18))^'3. Assumptions'!$B$9*'7. Cash flow'!$D$87/(1+(('3. Assumptions'!$B$6+'6. The ladder'!$C$7)))^'3. Assumptions'!$B$9)/(1+'3. Assumptions'!$B$14)-('2. The tape'!$C$17/'3. Assumptions'!$B$4)</f>
        <v>-46940.2408363819</v>
      </c>
      <c r="K18" s="41" t="n">
        <f aca="false">IF(N17&gt;0,M17,K17)</f>
        <v>0.04453125</v>
      </c>
      <c r="L18" s="41" t="n">
        <f aca="false">IF(N17&gt;0,L17,M17)</f>
        <v>0.0451171875</v>
      </c>
      <c r="M18" s="41" t="n">
        <f aca="false">(K18+L18)/2</f>
        <v>0.04482421875</v>
      </c>
      <c r="N18" s="42" t="n">
        <f aca="false">(SUMPRODUCT((1-(M18))^('7. Cash flow'!$A$7:$A$86/4)*'7. Cash flow'!$C$7:$C$86/(1+(('3. Assumptions'!$B$6+'6. The ladder'!$B$8)))^('7. Cash flow'!$A$7:$A$86/4))+SUMPRODUCT((1-(M18))^(('7. Cash flow'!$A$7:$A$86-1)/4)*(1-(1-(M18))^0.25)*'7. Cash flow'!$D$7:$D$86/(1+(('3. Assumptions'!$B$6+'6. The ladder'!$C$8)))^('7. Cash flow'!$A$7:$A$86/4))+(1-(M18))^'3. Assumptions'!$B$9*'7. Cash flow'!$D$87/(1+(('3. Assumptions'!$B$6+'6. The ladder'!$C$8)))^'3. Assumptions'!$B$9)/(1+'3. Assumptions'!$B$14)-('2. The tape'!$C$17/'3. Assumptions'!$B$4)</f>
        <v>82033.1515472233</v>
      </c>
      <c r="P18" s="41" t="n">
        <f aca="false">IF(S17&gt;0,R17,P17)</f>
        <v>0.0322265625</v>
      </c>
      <c r="Q18" s="41" t="n">
        <f aca="false">IF(S17&gt;0,Q17,R17)</f>
        <v>0.0328125</v>
      </c>
      <c r="R18" s="41" t="n">
        <f aca="false">(P18+Q18)/2</f>
        <v>0.03251953125</v>
      </c>
      <c r="S18" s="42" t="n">
        <f aca="false">(SUMPRODUCT((1-(R18))^('7. Cash flow'!$A$7:$A$86/4)*'7. Cash flow'!$C$7:$C$86/(1+(('3. Assumptions'!$B$6+'6. The ladder'!$B$9)))^('7. Cash flow'!$A$7:$A$86/4))+SUMPRODUCT((1-(R18))^(('7. Cash flow'!$A$7:$A$86-1)/4)*(1-(1-(R18))^0.25)*'7. Cash flow'!$D$7:$D$86/(1+(('3. Assumptions'!$B$6+'6. The ladder'!$C$9)))^('7. Cash flow'!$A$7:$A$86/4))+(1-(R18))^'3. Assumptions'!$B$9*'7. Cash flow'!$D$87/(1+(('3. Assumptions'!$B$6+'6. The ladder'!$C$9)))^'3. Assumptions'!$B$9)/(1+'3. Assumptions'!$B$14)-('2. The tape'!$C$17/'3. Assumptions'!$B$4)</f>
        <v>-235463.870651335</v>
      </c>
      <c r="U18" s="41" t="n">
        <f aca="false">IF(X17&gt;0,W17,U17)</f>
        <v>0.0322265625</v>
      </c>
      <c r="V18" s="41" t="n">
        <f aca="false">IF(X17&gt;0,V17,W17)</f>
        <v>0.0328125</v>
      </c>
      <c r="W18" s="41" t="n">
        <f aca="false">(U18+V18)/2</f>
        <v>0.03251953125</v>
      </c>
      <c r="X18" s="42" t="n">
        <f aca="false">(SUMPRODUCT((1-(W18))^('7. Cash flow'!$A$7:$A$86/4)*'7. Cash flow'!$C$7:$C$86/(1+('3. Assumptions'!$B$28))^('7. Cash flow'!$A$7:$A$86/4))+SUMPRODUCT((1-(W18))^(('7. Cash flow'!$A$7:$A$86-1)/4)*(1-(1-(W18))^0.25)*'7. Cash flow'!$D$7:$D$86/(1+('3. Assumptions'!$B$29))^('7. Cash flow'!$A$7:$A$86/4))+(1-(W18))^'3. Assumptions'!$B$9*'7. Cash flow'!$D$87/(1+('3. Assumptions'!$B$29))^'3. Assumptions'!$B$9)/(1+'3. Assumptions'!$B$14)-('2. The tape'!$C$17/'3. Assumptions'!$B$4)</f>
        <v>-235463.870651335</v>
      </c>
      <c r="Z18" s="41" t="n">
        <f aca="false">IF(AC17&gt;0,AB17,Z17)</f>
        <v>0.0033203125</v>
      </c>
      <c r="AA18" s="41" t="n">
        <f aca="false">IF(AC17&gt;0,AA17,AB17)</f>
        <v>0.003662109375</v>
      </c>
      <c r="AB18" s="41" t="n">
        <f aca="false">(Z18+AA18)/2</f>
        <v>0.0034912109375</v>
      </c>
      <c r="AC18" s="42" t="n">
        <f aca="false">(SUMPRODUCT((1-(('3. Assumptions'!$B$21/(1-'3. Assumptions'!$B$22))))^('7. Cash flow'!$A$7:$A$86/4)*'7. Cash flow'!$C$7:$C$86/(1+('3. Assumptions'!$B$6+AB18))^('7. Cash flow'!$A$7:$A$86/4))+SUMPRODUCT((1-(('3. Assumptions'!$B$21/(1-'3. Assumptions'!$B$22))))^(('7. Cash flow'!$A$7:$A$86-1)/4)*(1-(1-(('3. Assumptions'!$B$21/(1-'3. Assumptions'!$B$22))))^0.25)*'7. Cash flow'!$D$7:$D$86/(1+('3. Assumptions'!$B$6+AB18))^('7. Cash flow'!$A$7:$A$86/4))+(1-(('3. Assumptions'!$B$21/(1-'3. Assumptions'!$B$22))))^'3. Assumptions'!$B$9*'7. Cash flow'!$D$87/(1+('3. Assumptions'!$B$6+AB18))^'3. Assumptions'!$B$9)/(1+'3. Assumptions'!$B$14)-('2. The tape'!$C$17/'3. Assumptions'!$B$4)</f>
        <v>227891.659347147</v>
      </c>
      <c r="AE18" s="41" t="n">
        <f aca="false">IF(AH17&gt;0,AG17,AE17)</f>
        <v>0.05009765625</v>
      </c>
      <c r="AF18" s="41" t="n">
        <f aca="false">IF(AH17&gt;0,AF17,AG17)</f>
        <v>0.050390625</v>
      </c>
      <c r="AG18" s="41" t="n">
        <f aca="false">(AE18+AF18)/2</f>
        <v>0.050244140625</v>
      </c>
      <c r="AH18" s="42" t="n">
        <f aca="false">(SUMPRODUCT((1-(('3. Assumptions'!$B$21/(1-'3. Assumptions'!$B$22))))^('7. Cash flow'!$A$7:$A$86/4)*'7. Cash flow'!$C$7:$C$86/(1+(AG18))^('7. Cash flow'!$A$7:$A$86/4))+SUMPRODUCT((1-(('3. Assumptions'!$B$21/(1-'3. Assumptions'!$B$22))))^(('7. Cash flow'!$A$7:$A$86-1)/4)*(1-(1-(('3. Assumptions'!$B$21/(1-'3. Assumptions'!$B$22))))^0.25)*'7. Cash flow'!$D$7:$D$86/(1+(AG18))^('7. Cash flow'!$A$7:$A$86/4))+(1-(('3. Assumptions'!$B$21/(1-'3. Assumptions'!$B$22))))^'3. Assumptions'!$B$9*'7. Cash flow'!$D$87/(1+(AG18))^'3.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-158641.12341097</v>
      </c>
      <c r="AJ18" s="41" t="n">
        <f aca="false">IF(AM17&gt;0,AL17,AJ17)</f>
        <v>-0.0021484375</v>
      </c>
      <c r="AK18" s="41" t="n">
        <f aca="false">IF(AM17&gt;0,AK17,AL17)</f>
        <v>-0.001806640625</v>
      </c>
      <c r="AL18" s="41" t="n">
        <f aca="false">(AJ18+AK18)/2</f>
        <v>-0.0019775390625</v>
      </c>
      <c r="AM18" s="42" t="n">
        <f aca="false">SUMPRODUCT((1-('3. Assumptions'!$B$21/(1-'3. Assumptions'!$B$22)))^('7. Cash flow'!$A$7:$A$26/4)*('3. Assumptions'!$B$6+'3. Assumptions'!$B$21)/4/(1+'3. Assumptions'!$B$6+AL18)^('7. Cash flow'!$A$7:$A$26/4))+SUMPRODUCT((1-('3. Assumptions'!$B$21/(1-'3. Assumptions'!$B$22)))^(('7. Cash flow'!$A$7:$A$26-1)/4)*(1-(1-('3. Assumptions'!$B$21/(1-'3. Assumptions'!$B$22)))^0.25)*'3. Assumptions'!$B$22/(1+'3. Assumptions'!$B$6+AL18)^('7. Cash flow'!$A$7:$A$26/4))+(1-('3. Assumptions'!$B$21/(1-'3. Assumptions'!$B$22)))^5/(1+'3. Assumptions'!$B$6+AL18)^5-1</f>
        <v>0.000678764820301048</v>
      </c>
    </row>
    <row r="19" customFormat="false" ht="15" hidden="false" customHeight="false" outlineLevel="0" collapsed="false">
      <c r="A19" s="41" t="n">
        <f aca="false">IF(D18&gt;0,C18,A18)</f>
        <v>0.07001953125</v>
      </c>
      <c r="B19" s="41" t="n">
        <f aca="false">IF(D18&gt;0,B18,C18)</f>
        <v>0.0703125</v>
      </c>
      <c r="C19" s="41" t="n">
        <f aca="false">(A19+B19)/2</f>
        <v>0.070166015625</v>
      </c>
      <c r="D19" s="42" t="n">
        <f aca="false">(SUMPRODUCT((1-(C19))^('7. Cash flow'!$A$7:$A$86/4)*'7. Cash flow'!$C$7:$C$86/(1+(('3. Assumptions'!$B$6+'6. The ladder'!$B$6)))^('7. Cash flow'!$A$7:$A$86/4))+SUMPRODUCT((1-(C19))^(('7. Cash flow'!$A$7:$A$86-1)/4)*(1-(1-(C19))^0.25)*'7. Cash flow'!$D$7:$D$86/(1+(('3. Assumptions'!$B$6+'6. The ladder'!$C$6)))^('7. Cash flow'!$A$7:$A$86/4))+(1-(C19))^'3. Assumptions'!$B$9*'7. Cash flow'!$D$87/(1+(('3. Assumptions'!$B$6+'6. The ladder'!$C$6)))^'3. Assumptions'!$B$9)/(1+'3. Assumptions'!$B$14)-('2. The tape'!$C$17/'3. Assumptions'!$B$4)</f>
        <v>82834.9293526113</v>
      </c>
      <c r="F19" s="41" t="n">
        <f aca="false">IF(I18&gt;0,H18,F18)</f>
        <v>0.057421875</v>
      </c>
      <c r="G19" s="41" t="n">
        <f aca="false">IF(I18&gt;0,G18,H18)</f>
        <v>0.05771484375</v>
      </c>
      <c r="H19" s="41" t="n">
        <f aca="false">(F19+G19)/2</f>
        <v>0.057568359375</v>
      </c>
      <c r="I19" s="42" t="n">
        <f aca="false">(SUMPRODUCT((1-(H19))^('7. Cash flow'!$A$7:$A$86/4)*'7. Cash flow'!$C$7:$C$86/(1+(('3. Assumptions'!$B$6+'6. The ladder'!$B$7)))^('7. Cash flow'!$A$7:$A$86/4))+SUMPRODUCT((1-(H19))^(('7. Cash flow'!$A$7:$A$86-1)/4)*(1-(1-(H19))^0.25)*'7. Cash flow'!$D$7:$D$86/(1+(('3. Assumptions'!$B$6+'6. The ladder'!$C$7)))^('7. Cash flow'!$A$7:$A$86/4))+(1-(H19))^'3. Assumptions'!$B$9*'7. Cash flow'!$D$87/(1+(('3. Assumptions'!$B$6+'6. The ladder'!$C$7)))^'3. Assumptions'!$B$9)/(1+'3. Assumptions'!$B$14)-('2. The tape'!$C$17/'3. Assumptions'!$B$4)</f>
        <v>80507.6175491512</v>
      </c>
      <c r="K19" s="41" t="n">
        <f aca="false">IF(N18&gt;0,M18,K18)</f>
        <v>0.04482421875</v>
      </c>
      <c r="L19" s="41" t="n">
        <f aca="false">IF(N18&gt;0,L18,M18)</f>
        <v>0.0451171875</v>
      </c>
      <c r="M19" s="41" t="n">
        <f aca="false">(K19+L19)/2</f>
        <v>0.044970703125</v>
      </c>
      <c r="N19" s="42" t="n">
        <f aca="false">(SUMPRODUCT((1-(M19))^('7. Cash flow'!$A$7:$A$86/4)*'7. Cash flow'!$C$7:$C$86/(1+(('3. Assumptions'!$B$6+'6. The ladder'!$B$8)))^('7. Cash flow'!$A$7:$A$86/4))+SUMPRODUCT((1-(M19))^(('7. Cash flow'!$A$7:$A$86-1)/4)*(1-(1-(M19))^0.25)*'7. Cash flow'!$D$7:$D$86/(1+(('3. Assumptions'!$B$6+'6. The ladder'!$C$8)))^('7. Cash flow'!$A$7:$A$86/4))+(1-(M19))^'3. Assumptions'!$B$9*'7. Cash flow'!$D$87/(1+(('3. Assumptions'!$B$6+'6. The ladder'!$C$8)))^'3. Assumptions'!$B$9)/(1+'3. Assumptions'!$B$14)-('2. The tape'!$C$17/'3. Assumptions'!$B$4)</f>
        <v>-53524.5076734722</v>
      </c>
      <c r="P19" s="41" t="n">
        <f aca="false">IF(S18&gt;0,R18,P18)</f>
        <v>0.0322265625</v>
      </c>
      <c r="Q19" s="41" t="n">
        <f aca="false">IF(S18&gt;0,Q18,R18)</f>
        <v>0.03251953125</v>
      </c>
      <c r="R19" s="41" t="n">
        <f aca="false">(P19+Q19)/2</f>
        <v>0.032373046875</v>
      </c>
      <c r="S19" s="42" t="n">
        <f aca="false">(SUMPRODUCT((1-(R19))^('7. Cash flow'!$A$7:$A$86/4)*'7. Cash flow'!$C$7:$C$86/(1+(('3. Assumptions'!$B$6+'6. The ladder'!$B$9)))^('7. Cash flow'!$A$7:$A$86/4))+SUMPRODUCT((1-(R19))^(('7. Cash flow'!$A$7:$A$86-1)/4)*(1-(1-(R19))^0.25)*'7. Cash flow'!$D$7:$D$86/(1+(('3. Assumptions'!$B$6+'6. The ladder'!$C$9)))^('7. Cash flow'!$A$7:$A$86/4))+(1-(R19))^'3. Assumptions'!$B$9*'7. Cash flow'!$D$87/(1+(('3. Assumptions'!$B$6+'6. The ladder'!$C$9)))^'3. Assumptions'!$B$9)/(1+'3. Assumptions'!$B$14)-('2. The tape'!$C$17/'3. Assumptions'!$B$4)</f>
        <v>-88456.5936023295</v>
      </c>
      <c r="U19" s="41" t="n">
        <f aca="false">IF(X18&gt;0,W18,U18)</f>
        <v>0.0322265625</v>
      </c>
      <c r="V19" s="41" t="n">
        <f aca="false">IF(X18&gt;0,V18,W18)</f>
        <v>0.03251953125</v>
      </c>
      <c r="W19" s="41" t="n">
        <f aca="false">(U19+V19)/2</f>
        <v>0.032373046875</v>
      </c>
      <c r="X19" s="42" t="n">
        <f aca="false">(SUMPRODUCT((1-(W19))^('7. Cash flow'!$A$7:$A$86/4)*'7. Cash flow'!$C$7:$C$86/(1+('3. Assumptions'!$B$28))^('7. Cash flow'!$A$7:$A$86/4))+SUMPRODUCT((1-(W19))^(('7. Cash flow'!$A$7:$A$86-1)/4)*(1-(1-(W19))^0.25)*'7. Cash flow'!$D$7:$D$86/(1+('3. Assumptions'!$B$29))^('7. Cash flow'!$A$7:$A$86/4))+(1-(W19))^'3. Assumptions'!$B$9*'7. Cash flow'!$D$87/(1+('3. Assumptions'!$B$29))^'3. Assumptions'!$B$9)/(1+'3. Assumptions'!$B$14)-('2. The tape'!$C$17/'3. Assumptions'!$B$4)</f>
        <v>-88456.5936023295</v>
      </c>
      <c r="Z19" s="41" t="n">
        <f aca="false">IF(AC18&gt;0,AB18,Z18)</f>
        <v>0.0034912109375</v>
      </c>
      <c r="AA19" s="41" t="n">
        <f aca="false">IF(AC18&gt;0,AA18,AB18)</f>
        <v>0.003662109375</v>
      </c>
      <c r="AB19" s="41" t="n">
        <f aca="false">(Z19+AA19)/2</f>
        <v>0.00357666015625</v>
      </c>
      <c r="AC19" s="42" t="n">
        <f aca="false">(SUMPRODUCT((1-(('3. Assumptions'!$B$21/(1-'3. Assumptions'!$B$22))))^('7. Cash flow'!$A$7:$A$86/4)*'7. Cash flow'!$C$7:$C$86/(1+('3. Assumptions'!$B$6+AB19))^('7. Cash flow'!$A$7:$A$86/4))+SUMPRODUCT((1-(('3. Assumptions'!$B$21/(1-'3. Assumptions'!$B$22))))^(('7. Cash flow'!$A$7:$A$86-1)/4)*(1-(1-(('3. Assumptions'!$B$21/(1-'3. Assumptions'!$B$22))))^0.25)*'7. Cash flow'!$D$7:$D$86/(1+('3. Assumptions'!$B$6+AB19))^('7. Cash flow'!$A$7:$A$86/4))+(1-(('3. Assumptions'!$B$21/(1-'3. Assumptions'!$B$22))))^'3. Assumptions'!$B$9*'7. Cash flow'!$D$87/(1+('3. Assumptions'!$B$6+AB19))^'3. Assumptions'!$B$9)/(1+'3. Assumptions'!$B$14)-('2. The tape'!$C$17/'3. Assumptions'!$B$4)</f>
        <v>101458.462884575</v>
      </c>
      <c r="AE19" s="41" t="n">
        <f aca="false">IF(AH18&gt;0,AG18,AE18)</f>
        <v>0.05009765625</v>
      </c>
      <c r="AF19" s="41" t="n">
        <f aca="false">IF(AH18&gt;0,AF18,AG18)</f>
        <v>0.050244140625</v>
      </c>
      <c r="AG19" s="41" t="n">
        <f aca="false">(AE19+AF19)/2</f>
        <v>0.0501708984375</v>
      </c>
      <c r="AH19" s="42" t="n">
        <f aca="false">(SUMPRODUCT((1-(('3. Assumptions'!$B$21/(1-'3. Assumptions'!$B$22))))^('7. Cash flow'!$A$7:$A$86/4)*'7. Cash flow'!$C$7:$C$86/(1+(AG19))^('7. Cash flow'!$A$7:$A$86/4))+SUMPRODUCT((1-(('3. Assumptions'!$B$21/(1-'3. Assumptions'!$B$22))))^(('7. Cash flow'!$A$7:$A$86-1)/4)*(1-(1-(('3. Assumptions'!$B$21/(1-'3. Assumptions'!$B$22))))^0.25)*'7. Cash flow'!$D$7:$D$86/(1+(AG19))^('7. Cash flow'!$A$7:$A$86/4))+(1-(('3. Assumptions'!$B$21/(1-'3. Assumptions'!$B$22))))^'3. Assumptions'!$B$9*'7. Cash flow'!$D$87/(1+(AG19))^'3.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-76018.3924686611</v>
      </c>
      <c r="AJ19" s="41" t="n">
        <f aca="false">IF(AM18&gt;0,AL18,AJ18)</f>
        <v>-0.0019775390625</v>
      </c>
      <c r="AK19" s="41" t="n">
        <f aca="false">IF(AM18&gt;0,AK18,AL18)</f>
        <v>-0.001806640625</v>
      </c>
      <c r="AL19" s="41" t="n">
        <f aca="false">(AJ19+AK19)/2</f>
        <v>-0.00189208984375</v>
      </c>
      <c r="AM19" s="42" t="n">
        <f aca="false">SUMPRODUCT((1-('3. Assumptions'!$B$21/(1-'3. Assumptions'!$B$22)))^('7. Cash flow'!$A$7:$A$26/4)*('3. Assumptions'!$B$6+'3. Assumptions'!$B$21)/4/(1+'3. Assumptions'!$B$6+AL19)^('7. Cash flow'!$A$7:$A$26/4))+SUMPRODUCT((1-('3. Assumptions'!$B$21/(1-'3. Assumptions'!$B$22)))^(('7. Cash flow'!$A$7:$A$26-1)/4)*(1-(1-('3. Assumptions'!$B$21/(1-'3. Assumptions'!$B$22)))^0.25)*'3. Assumptions'!$B$22/(1+'3. Assumptions'!$B$6+AL19)^('7. Cash flow'!$A$7:$A$26/4))+(1-('3. Assumptions'!$B$21/(1-'3. Assumptions'!$B$22)))^5/(1+'3. Assumptions'!$B$6+AL19)^5-1</f>
        <v>0.000338976664340684</v>
      </c>
    </row>
    <row r="20" customFormat="false" ht="15" hidden="false" customHeight="false" outlineLevel="0" collapsed="false">
      <c r="A20" s="41" t="n">
        <f aca="false">IF(D19&gt;0,C19,A19)</f>
        <v>0.070166015625</v>
      </c>
      <c r="B20" s="41" t="n">
        <f aca="false">IF(D19&gt;0,B19,C19)</f>
        <v>0.0703125</v>
      </c>
      <c r="C20" s="41" t="n">
        <f aca="false">(A20+B20)/2</f>
        <v>0.0702392578125</v>
      </c>
      <c r="D20" s="42" t="n">
        <f aca="false">(SUMPRODUCT((1-(C20))^('7. Cash flow'!$A$7:$A$86/4)*'7. Cash flow'!$C$7:$C$86/(1+(('3. Assumptions'!$B$6+'6. The ladder'!$B$6)))^('7. Cash flow'!$A$7:$A$86/4))+SUMPRODUCT((1-(C20))^(('7. Cash flow'!$A$7:$A$86-1)/4)*(1-(1-(C20))^0.25)*'7. Cash flow'!$D$7:$D$86/(1+(('3. Assumptions'!$B$6+'6. The ladder'!$C$6)))^('7. Cash flow'!$A$7:$A$86/4))+(1-(C20))^'3. Assumptions'!$B$9*'7. Cash flow'!$D$87/(1+(('3. Assumptions'!$B$6+'6. The ladder'!$C$6)))^'3. Assumptions'!$B$9)/(1+'3. Assumptions'!$B$14)-('2. The tape'!$C$17/'3. Assumptions'!$B$4)</f>
        <v>18848.6855362058</v>
      </c>
      <c r="F20" s="41" t="n">
        <f aca="false">IF(I19&gt;0,H19,F19)</f>
        <v>0.057568359375</v>
      </c>
      <c r="G20" s="41" t="n">
        <f aca="false">IF(I19&gt;0,G19,H19)</f>
        <v>0.05771484375</v>
      </c>
      <c r="H20" s="41" t="n">
        <f aca="false">(F20+G20)/2</f>
        <v>0.0576416015625</v>
      </c>
      <c r="I20" s="42" t="n">
        <f aca="false">(SUMPRODUCT((1-(H20))^('7. Cash flow'!$A$7:$A$86/4)*'7. Cash flow'!$C$7:$C$86/(1+(('3. Assumptions'!$B$6+'6. The ladder'!$B$7)))^('7. Cash flow'!$A$7:$A$86/4))+SUMPRODUCT((1-(H20))^(('7. Cash flow'!$A$7:$A$86-1)/4)*(1-(1-(H20))^0.25)*'7. Cash flow'!$D$7:$D$86/(1+(('3. Assumptions'!$B$6+'6. The ladder'!$C$7)))^('7. Cash flow'!$A$7:$A$86/4))+(1-(H20))^'3. Assumptions'!$B$9*'7. Cash flow'!$D$87/(1+(('3. Assumptions'!$B$6+'6. The ladder'!$C$7)))^'3. Assumptions'!$B$9)/(1+'3. Assumptions'!$B$14)-('2. The tape'!$C$17/'3. Assumptions'!$B$4)</f>
        <v>16755.5358923972</v>
      </c>
      <c r="K20" s="41" t="n">
        <f aca="false">IF(N19&gt;0,M19,K19)</f>
        <v>0.04482421875</v>
      </c>
      <c r="L20" s="41" t="n">
        <f aca="false">IF(N19&gt;0,L19,M19)</f>
        <v>0.044970703125</v>
      </c>
      <c r="M20" s="41" t="n">
        <f aca="false">(K20+L20)/2</f>
        <v>0.0448974609375</v>
      </c>
      <c r="N20" s="42" t="n">
        <f aca="false">(SUMPRODUCT((1-(M20))^('7. Cash flow'!$A$7:$A$86/4)*'7. Cash flow'!$C$7:$C$86/(1+(('3. Assumptions'!$B$6+'6. The ladder'!$B$8)))^('7. Cash flow'!$A$7:$A$86/4))+SUMPRODUCT((1-(M20))^(('7. Cash flow'!$A$7:$A$86-1)/4)*(1-(1-(M20))^0.25)*'7. Cash flow'!$D$7:$D$86/(1+(('3. Assumptions'!$B$6+'6. The ladder'!$C$8)))^('7. Cash flow'!$A$7:$A$86/4))+(1-(M20))^'3. Assumptions'!$B$9*'7. Cash flow'!$D$87/(1+(('3. Assumptions'!$B$6+'6. The ladder'!$C$8)))^'3. Assumptions'!$B$9)/(1+'3. Assumptions'!$B$14)-('2. The tape'!$C$17/'3. Assumptions'!$B$4)</f>
        <v>14223.7989573777</v>
      </c>
      <c r="P20" s="41" t="n">
        <f aca="false">IF(S19&gt;0,R19,P19)</f>
        <v>0.0322265625</v>
      </c>
      <c r="Q20" s="41" t="n">
        <f aca="false">IF(S19&gt;0,Q19,R19)</f>
        <v>0.032373046875</v>
      </c>
      <c r="R20" s="41" t="n">
        <f aca="false">(P20+Q20)/2</f>
        <v>0.0322998046875</v>
      </c>
      <c r="S20" s="42" t="n">
        <f aca="false">(SUMPRODUCT((1-(R20))^('7. Cash flow'!$A$7:$A$86/4)*'7. Cash flow'!$C$7:$C$86/(1+(('3. Assumptions'!$B$6+'6. The ladder'!$B$9)))^('7. Cash flow'!$A$7:$A$86/4))+SUMPRODUCT((1-(R20))^(('7. Cash flow'!$A$7:$A$86-1)/4)*(1-(1-(R20))^0.25)*'7. Cash flow'!$D$7:$D$86/(1+(('3. Assumptions'!$B$6+'6. The ladder'!$C$9)))^('7. Cash flow'!$A$7:$A$86/4))+(1-(R20))^'3. Assumptions'!$B$9*'7. Cash flow'!$D$87/(1+(('3. Assumptions'!$B$6+'6. The ladder'!$C$9)))^'3. Assumptions'!$B$9)/(1+'3. Assumptions'!$B$14)-('2. The tape'!$C$17/'3. Assumptions'!$B$4)</f>
        <v>-14851.3180917203</v>
      </c>
      <c r="U20" s="41" t="n">
        <f aca="false">IF(X19&gt;0,W19,U19)</f>
        <v>0.0322265625</v>
      </c>
      <c r="V20" s="41" t="n">
        <f aca="false">IF(X19&gt;0,V19,W19)</f>
        <v>0.032373046875</v>
      </c>
      <c r="W20" s="41" t="n">
        <f aca="false">(U20+V20)/2</f>
        <v>0.0322998046875</v>
      </c>
      <c r="X20" s="42" t="n">
        <f aca="false">(SUMPRODUCT((1-(W20))^('7. Cash flow'!$A$7:$A$86/4)*'7. Cash flow'!$C$7:$C$86/(1+('3. Assumptions'!$B$28))^('7. Cash flow'!$A$7:$A$86/4))+SUMPRODUCT((1-(W20))^(('7. Cash flow'!$A$7:$A$86-1)/4)*(1-(1-(W20))^0.25)*'7. Cash flow'!$D$7:$D$86/(1+('3. Assumptions'!$B$29))^('7. Cash flow'!$A$7:$A$86/4))+(1-(W20))^'3. Assumptions'!$B$9*'7. Cash flow'!$D$87/(1+('3. Assumptions'!$B$29))^'3. Assumptions'!$B$9)/(1+'3. Assumptions'!$B$14)-('2. The tape'!$C$17/'3. Assumptions'!$B$4)</f>
        <v>-14851.3180917203</v>
      </c>
      <c r="Z20" s="41" t="n">
        <f aca="false">IF(AC19&gt;0,AB19,Z19)</f>
        <v>0.00357666015625</v>
      </c>
      <c r="AA20" s="41" t="n">
        <f aca="false">IF(AC19&gt;0,AA19,AB19)</f>
        <v>0.003662109375</v>
      </c>
      <c r="AB20" s="41" t="n">
        <f aca="false">(Z20+AA20)/2</f>
        <v>0.003619384765625</v>
      </c>
      <c r="AC20" s="42" t="n">
        <f aca="false">(SUMPRODUCT((1-(('3. Assumptions'!$B$21/(1-'3. Assumptions'!$B$22))))^('7. Cash flow'!$A$7:$A$86/4)*'7. Cash flow'!$C$7:$C$86/(1+('3. Assumptions'!$B$6+AB20))^('7. Cash flow'!$A$7:$A$86/4))+SUMPRODUCT((1-(('3. Assumptions'!$B$21/(1-'3. Assumptions'!$B$22))))^(('7. Cash flow'!$A$7:$A$86-1)/4)*(1-(1-(('3. Assumptions'!$B$21/(1-'3. Assumptions'!$B$22))))^0.25)*'7. Cash flow'!$D$7:$D$86/(1+('3. Assumptions'!$B$6+AB20))^('7. Cash flow'!$A$7:$A$86/4))+(1-(('3. Assumptions'!$B$21/(1-'3. Assumptions'!$B$22))))^'3. Assumptions'!$B$9*'7. Cash flow'!$D$87/(1+('3. Assumptions'!$B$6+AB20))^'3. Assumptions'!$B$9)/(1+'3. Assumptions'!$B$14)-('2. The tape'!$C$17/'3. Assumptions'!$B$4)</f>
        <v>38296.797193557</v>
      </c>
      <c r="AE20" s="41" t="n">
        <f aca="false">IF(AH19&gt;0,AG19,AE19)</f>
        <v>0.05009765625</v>
      </c>
      <c r="AF20" s="41" t="n">
        <f aca="false">IF(AH19&gt;0,AF19,AG19)</f>
        <v>0.0501708984375</v>
      </c>
      <c r="AG20" s="41" t="n">
        <f aca="false">(AE20+AF20)/2</f>
        <v>0.05013427734375</v>
      </c>
      <c r="AH20" s="42" t="n">
        <f aca="false">(SUMPRODUCT((1-(('3. Assumptions'!$B$21/(1-'3. Assumptions'!$B$22))))^('7. Cash flow'!$A$7:$A$86/4)*'7. Cash flow'!$C$7:$C$86/(1+(AG20))^('7. Cash flow'!$A$7:$A$86/4))+SUMPRODUCT((1-(('3. Assumptions'!$B$21/(1-'3. Assumptions'!$B$22))))^(('7. Cash flow'!$A$7:$A$86-1)/4)*(1-(1-(('3. Assumptions'!$B$21/(1-'3. Assumptions'!$B$22))))^0.25)*'7. Cash flow'!$D$7:$D$86/(1+(AG20))^('7. Cash flow'!$A$7:$A$86/4))+(1-(('3. Assumptions'!$B$21/(1-'3. Assumptions'!$B$22))))^'3. Assumptions'!$B$9*'7. Cash flow'!$D$87/(1+(AG20))^'3.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-34678.2326280177</v>
      </c>
      <c r="AJ20" s="41" t="n">
        <f aca="false">IF(AM19&gt;0,AL19,AJ19)</f>
        <v>-0.00189208984375</v>
      </c>
      <c r="AK20" s="41" t="n">
        <f aca="false">IF(AM19&gt;0,AK19,AL19)</f>
        <v>-0.001806640625</v>
      </c>
      <c r="AL20" s="41" t="n">
        <f aca="false">(AJ20+AK20)/2</f>
        <v>-0.001849365234375</v>
      </c>
      <c r="AM20" s="42" t="n">
        <f aca="false">SUMPRODUCT((1-('3. Assumptions'!$B$21/(1-'3. Assumptions'!$B$22)))^('7. Cash flow'!$A$7:$A$26/4)*('3. Assumptions'!$B$6+'3. Assumptions'!$B$21)/4/(1+'3. Assumptions'!$B$6+AL20)^('7. Cash flow'!$A$7:$A$26/4))+SUMPRODUCT((1-('3. Assumptions'!$B$21/(1-'3. Assumptions'!$B$22)))^(('7. Cash flow'!$A$7:$A$26-1)/4)*(1-(1-('3. Assumptions'!$B$21/(1-'3. Assumptions'!$B$22)))^0.25)*'3. Assumptions'!$B$22/(1+'3. Assumptions'!$B$6+AL20)^('7. Cash flow'!$A$7:$A$26/4))+(1-('3. Assumptions'!$B$21/(1-'3. Assumptions'!$B$22)))^5/(1+'3. Assumptions'!$B$6+AL20)^5-1</f>
        <v>0.000169142395495481</v>
      </c>
    </row>
    <row r="21" customFormat="false" ht="15" hidden="false" customHeight="false" outlineLevel="0" collapsed="false">
      <c r="A21" s="41" t="n">
        <f aca="false">IF(D20&gt;0,C20,A20)</f>
        <v>0.0702392578125</v>
      </c>
      <c r="B21" s="41" t="n">
        <f aca="false">IF(D20&gt;0,B20,C20)</f>
        <v>0.0703125</v>
      </c>
      <c r="C21" s="41" t="n">
        <f aca="false">(A21+B21)/2</f>
        <v>0.07027587890625</v>
      </c>
      <c r="D21" s="42" t="n">
        <f aca="false">(SUMPRODUCT((1-(C21))^('7. Cash flow'!$A$7:$A$86/4)*'7. Cash flow'!$C$7:$C$86/(1+(('3. Assumptions'!$B$6+'6. The ladder'!$B$6)))^('7. Cash flow'!$A$7:$A$86/4))+SUMPRODUCT((1-(C21))^(('7. Cash flow'!$A$7:$A$86-1)/4)*(1-(1-(C21))^0.25)*'7. Cash flow'!$D$7:$D$86/(1+(('3. Assumptions'!$B$6+'6. The ladder'!$C$6)))^('7. Cash flow'!$A$7:$A$86/4))+(1-(C21))^'3. Assumptions'!$B$9*'7. Cash flow'!$D$87/(1+(('3. Assumptions'!$B$6+'6. The ladder'!$C$6)))^'3. Assumptions'!$B$9)/(1+'3. Assumptions'!$B$14)-('2. The tape'!$C$17/'3. Assumptions'!$B$4)</f>
        <v>-13123.2401791811</v>
      </c>
      <c r="F21" s="41" t="n">
        <f aca="false">IF(I20&gt;0,H20,F20)</f>
        <v>0.0576416015625</v>
      </c>
      <c r="G21" s="41" t="n">
        <f aca="false">IF(I20&gt;0,G20,H20)</f>
        <v>0.05771484375</v>
      </c>
      <c r="H21" s="41" t="n">
        <f aca="false">(F21+G21)/2</f>
        <v>0.05767822265625</v>
      </c>
      <c r="I21" s="42" t="n">
        <f aca="false">(SUMPRODUCT((1-(H21))^('7. Cash flow'!$A$7:$A$86/4)*'7. Cash flow'!$C$7:$C$86/(1+(('3. Assumptions'!$B$6+'6. The ladder'!$B$7)))^('7. Cash flow'!$A$7:$A$86/4))+SUMPRODUCT((1-(H21))^(('7. Cash flow'!$A$7:$A$86-1)/4)*(1-(1-(H21))^0.25)*'7. Cash flow'!$D$7:$D$86/(1+(('3. Assumptions'!$B$6+'6. The ladder'!$C$7)))^('7. Cash flow'!$A$7:$A$86/4))+(1-(H21))^'3. Assumptions'!$B$9*'7. Cash flow'!$D$87/(1+(('3. Assumptions'!$B$6+'6. The ladder'!$C$7)))^'3. Assumptions'!$B$9)/(1+'3. Assumptions'!$B$14)-('2. The tape'!$C$17/'3. Assumptions'!$B$4)</f>
        <v>-15099.3870550394</v>
      </c>
      <c r="K21" s="41" t="n">
        <f aca="false">IF(N20&gt;0,M20,K20)</f>
        <v>0.0448974609375</v>
      </c>
      <c r="L21" s="41" t="n">
        <f aca="false">IF(N20&gt;0,L20,M20)</f>
        <v>0.044970703125</v>
      </c>
      <c r="M21" s="41" t="n">
        <f aca="false">(K21+L21)/2</f>
        <v>0.04493408203125</v>
      </c>
      <c r="N21" s="42" t="n">
        <f aca="false">(SUMPRODUCT((1-(M21))^('7. Cash flow'!$A$7:$A$86/4)*'7. Cash flow'!$C$7:$C$86/(1+(('3. Assumptions'!$B$6+'6. The ladder'!$B$8)))^('7. Cash flow'!$A$7:$A$86/4))+SUMPRODUCT((1-(M21))^(('7. Cash flow'!$A$7:$A$86-1)/4)*(1-(1-(M21))^0.25)*'7. Cash flow'!$D$7:$D$86/(1+(('3. Assumptions'!$B$6+'6. The ladder'!$C$8)))^('7. Cash flow'!$A$7:$A$86/4))+(1-(M21))^'3. Assumptions'!$B$9*'7. Cash flow'!$D$87/(1+(('3. Assumptions'!$B$6+'6. The ladder'!$C$8)))^'3. Assumptions'!$B$9)/(1+'3. Assumptions'!$B$14)-('2. The tape'!$C$17/'3. Assumptions'!$B$4)</f>
        <v>-19657.9812809229</v>
      </c>
      <c r="P21" s="41" t="n">
        <f aca="false">IF(S20&gt;0,R20,P20)</f>
        <v>0.0322265625</v>
      </c>
      <c r="Q21" s="41" t="n">
        <f aca="false">IF(S20&gt;0,Q20,R20)</f>
        <v>0.0322998046875</v>
      </c>
      <c r="R21" s="41" t="n">
        <f aca="false">(P21+Q21)/2</f>
        <v>0.03226318359375</v>
      </c>
      <c r="S21" s="42" t="n">
        <f aca="false">(SUMPRODUCT((1-(R21))^('7. Cash flow'!$A$7:$A$86/4)*'7. Cash flow'!$C$7:$C$86/(1+(('3. Assumptions'!$B$6+'6. The ladder'!$B$9)))^('7. Cash flow'!$A$7:$A$86/4))+SUMPRODUCT((1-(R21))^(('7. Cash flow'!$A$7:$A$86-1)/4)*(1-(1-(R21))^0.25)*'7. Cash flow'!$D$7:$D$86/(1+(('3. Assumptions'!$B$6+'6. The ladder'!$C$9)))^('7. Cash flow'!$A$7:$A$86/4))+(1-(R21))^'3. Assumptions'!$B$9*'7. Cash flow'!$D$87/(1+(('3. Assumptions'!$B$6+'6. The ladder'!$C$9)))^'3. Assumptions'!$B$9)/(1+'3. Assumptions'!$B$14)-('2. The tape'!$C$17/'3. Assumptions'!$B$4)</f>
        <v>21976.7585416734</v>
      </c>
      <c r="U21" s="41" t="n">
        <f aca="false">IF(X20&gt;0,W20,U20)</f>
        <v>0.0322265625</v>
      </c>
      <c r="V21" s="41" t="n">
        <f aca="false">IF(X20&gt;0,V20,W20)</f>
        <v>0.0322998046875</v>
      </c>
      <c r="W21" s="41" t="n">
        <f aca="false">(U21+V21)/2</f>
        <v>0.03226318359375</v>
      </c>
      <c r="X21" s="42" t="n">
        <f aca="false">(SUMPRODUCT((1-(W21))^('7. Cash flow'!$A$7:$A$86/4)*'7. Cash flow'!$C$7:$C$86/(1+('3. Assumptions'!$B$28))^('7. Cash flow'!$A$7:$A$86/4))+SUMPRODUCT((1-(W21))^(('7. Cash flow'!$A$7:$A$86-1)/4)*(1-(1-(W21))^0.25)*'7. Cash flow'!$D$7:$D$86/(1+('3. Assumptions'!$B$29))^('7. Cash flow'!$A$7:$A$86/4))+(1-(W21))^'3. Assumptions'!$B$9*'7. Cash flow'!$D$87/(1+('3. Assumptions'!$B$29))^'3. Assumptions'!$B$9)/(1+'3. Assumptions'!$B$14)-('2. The tape'!$C$17/'3. Assumptions'!$B$4)</f>
        <v>21976.7585416734</v>
      </c>
      <c r="Z21" s="41" t="n">
        <f aca="false">IF(AC20&gt;0,AB20,Z20)</f>
        <v>0.003619384765625</v>
      </c>
      <c r="AA21" s="41" t="n">
        <f aca="false">IF(AC20&gt;0,AA20,AB20)</f>
        <v>0.003662109375</v>
      </c>
      <c r="AB21" s="41" t="n">
        <f aca="false">(Z21+AA21)/2</f>
        <v>0.0036407470703125</v>
      </c>
      <c r="AC21" s="42" t="n">
        <f aca="false">(SUMPRODUCT((1-(('3. Assumptions'!$B$21/(1-'3. Assumptions'!$B$22))))^('7. Cash flow'!$A$7:$A$86/4)*'7. Cash flow'!$C$7:$C$86/(1+('3. Assumptions'!$B$6+AB21))^('7. Cash flow'!$A$7:$A$86/4))+SUMPRODUCT((1-(('3. Assumptions'!$B$21/(1-'3. Assumptions'!$B$22))))^(('7. Cash flow'!$A$7:$A$86-1)/4)*(1-(1-(('3. Assumptions'!$B$21/(1-'3. Assumptions'!$B$22))))^0.25)*'7. Cash flow'!$D$7:$D$86/(1+('3. Assumptions'!$B$6+AB21))^('7. Cash flow'!$A$7:$A$86/4))+(1-(('3. Assumptions'!$B$21/(1-'3. Assumptions'!$B$22))))^'3. Assumptions'!$B$9*'7. Cash flow'!$D$87/(1+('3. Assumptions'!$B$6+AB21))^'3. Assumptions'!$B$9)/(1+'3. Assumptions'!$B$14)-('2. The tape'!$C$17/'3. Assumptions'!$B$4)</f>
        <v>6729.68601310253</v>
      </c>
      <c r="AE21" s="41" t="n">
        <f aca="false">IF(AH20&gt;0,AG20,AE20)</f>
        <v>0.05009765625</v>
      </c>
      <c r="AF21" s="41" t="n">
        <f aca="false">IF(AH20&gt;0,AF20,AG20)</f>
        <v>0.05013427734375</v>
      </c>
      <c r="AG21" s="41" t="n">
        <f aca="false">(AE21+AF21)/2</f>
        <v>0.050115966796875</v>
      </c>
      <c r="AH21" s="42" t="n">
        <f aca="false">(SUMPRODUCT((1-(('3. Assumptions'!$B$21/(1-'3. Assumptions'!$B$22))))^('7. Cash flow'!$A$7:$A$86/4)*'7. Cash flow'!$C$7:$C$86/(1+(AG21))^('7. Cash flow'!$A$7:$A$86/4))+SUMPRODUCT((1-(('3. Assumptions'!$B$21/(1-'3. Assumptions'!$B$22))))^(('7. Cash flow'!$A$7:$A$86-1)/4)*(1-(1-(('3. Assumptions'!$B$21/(1-'3. Assumptions'!$B$22))))^0.25)*'7. Cash flow'!$D$7:$D$86/(1+(AG21))^('7. Cash flow'!$A$7:$A$86/4))+(1-(('3. Assumptions'!$B$21/(1-'3. Assumptions'!$B$22))))^'3. Assumptions'!$B$9*'7. Cash flow'!$D$87/(1+(AG21))^'3.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-14000.9491972327</v>
      </c>
      <c r="AJ21" s="41" t="n">
        <f aca="false">IF(AM20&gt;0,AL20,AJ20)</f>
        <v>-0.001849365234375</v>
      </c>
      <c r="AK21" s="41" t="n">
        <f aca="false">IF(AM20&gt;0,AK20,AL20)</f>
        <v>-0.001806640625</v>
      </c>
      <c r="AL21" s="41" t="n">
        <f aca="false">(AJ21+AK21)/2</f>
        <v>-0.0018280029296875</v>
      </c>
      <c r="AM21" s="42" t="n">
        <f aca="false">SUMPRODUCT((1-('3. Assumptions'!$B$21/(1-'3. Assumptions'!$B$22)))^('7. Cash flow'!$A$7:$A$26/4)*('3. Assumptions'!$B$6+'3. Assumptions'!$B$21)/4/(1+'3. Assumptions'!$B$6+AL21)^('7. Cash flow'!$A$7:$A$26/4))+SUMPRODUCT((1-('3. Assumptions'!$B$21/(1-'3. Assumptions'!$B$22)))^(('7. Cash flow'!$A$7:$A$26-1)/4)*(1-(1-('3. Assumptions'!$B$21/(1-'3. Assumptions'!$B$22)))^0.25)*'3. Assumptions'!$B$22/(1+'3. Assumptions'!$B$6+AL21)^('7. Cash flow'!$A$7:$A$26/4))+(1-('3. Assumptions'!$B$21/(1-'3. Assumptions'!$B$22)))^5/(1+'3. Assumptions'!$B$6+AL21)^5-1</f>
        <v>8.42402084275662E-005</v>
      </c>
    </row>
    <row r="22" customFormat="false" ht="15" hidden="false" customHeight="false" outlineLevel="0" collapsed="false">
      <c r="A22" s="41" t="n">
        <f aca="false">IF(D21&gt;0,C21,A21)</f>
        <v>0.0702392578125</v>
      </c>
      <c r="B22" s="41" t="n">
        <f aca="false">IF(D21&gt;0,B21,C21)</f>
        <v>0.07027587890625</v>
      </c>
      <c r="C22" s="41" t="n">
        <f aca="false">(A22+B22)/2</f>
        <v>0.070257568359375</v>
      </c>
      <c r="D22" s="42" t="n">
        <f aca="false">(SUMPRODUCT((1-(C22))^('7. Cash flow'!$A$7:$A$86/4)*'7. Cash flow'!$C$7:$C$86/(1+(('3. Assumptions'!$B$6+'6. The ladder'!$B$6)))^('7. Cash flow'!$A$7:$A$86/4))+SUMPRODUCT((1-(C22))^(('7. Cash flow'!$A$7:$A$86-1)/4)*(1-(1-(C22))^0.25)*'7. Cash flow'!$D$7:$D$86/(1+(('3. Assumptions'!$B$6+'6. The ladder'!$C$6)))^('7. Cash flow'!$A$7:$A$86/4))+(1-(C22))^'3. Assumptions'!$B$9*'7. Cash flow'!$D$87/(1+(('3. Assumptions'!$B$6+'6. The ladder'!$C$6)))^'3. Assumptions'!$B$9)/(1+'3. Assumptions'!$B$14)-('2. The tape'!$C$17/'3. Assumptions'!$B$4)</f>
        <v>2860.95706751943</v>
      </c>
      <c r="F22" s="41" t="n">
        <f aca="false">IF(I21&gt;0,H21,F21)</f>
        <v>0.0576416015625</v>
      </c>
      <c r="G22" s="41" t="n">
        <f aca="false">IF(I21&gt;0,G21,H21)</f>
        <v>0.05767822265625</v>
      </c>
      <c r="H22" s="41" t="n">
        <f aca="false">(F22+G22)/2</f>
        <v>0.057659912109375</v>
      </c>
      <c r="I22" s="42" t="n">
        <f aca="false">(SUMPRODUCT((1-(H22))^('7. Cash flow'!$A$7:$A$86/4)*'7. Cash flow'!$C$7:$C$86/(1+(('3. Assumptions'!$B$6+'6. The ladder'!$B$7)))^('7. Cash flow'!$A$7:$A$86/4))+SUMPRODUCT((1-(H22))^(('7. Cash flow'!$A$7:$A$86-1)/4)*(1-(1-(H22))^0.25)*'7. Cash flow'!$D$7:$D$86/(1+(('3. Assumptions'!$B$6+'6. The ladder'!$C$7)))^('7. Cash flow'!$A$7:$A$86/4))+(1-(H22))^'3. Assumptions'!$B$9*'7. Cash flow'!$D$87/(1+(('3. Assumptions'!$B$6+'6. The ladder'!$C$7)))^'3. Assumptions'!$B$9)/(1+'3. Assumptions'!$B$14)-('2. The tape'!$C$17/'3. Assumptions'!$B$4)</f>
        <v>826.315331250429</v>
      </c>
      <c r="K22" s="41" t="n">
        <f aca="false">IF(N21&gt;0,M21,K21)</f>
        <v>0.0448974609375</v>
      </c>
      <c r="L22" s="41" t="n">
        <f aca="false">IF(N21&gt;0,L21,M21)</f>
        <v>0.04493408203125</v>
      </c>
      <c r="M22" s="41" t="n">
        <f aca="false">(K22+L22)/2</f>
        <v>0.044915771484375</v>
      </c>
      <c r="N22" s="42" t="n">
        <f aca="false">(SUMPRODUCT((1-(M22))^('7. Cash flow'!$A$7:$A$86/4)*'7. Cash flow'!$C$7:$C$86/(1+(('3. Assumptions'!$B$6+'6. The ladder'!$B$8)))^('7. Cash flow'!$A$7:$A$86/4))+SUMPRODUCT((1-(M22))^(('7. Cash flow'!$A$7:$A$86-1)/4)*(1-(1-(M22))^0.25)*'7. Cash flow'!$D$7:$D$86/(1+(('3. Assumptions'!$B$6+'6. The ladder'!$C$8)))^('7. Cash flow'!$A$7:$A$86/4))+(1-(M22))^'3. Assumptions'!$B$9*'7. Cash flow'!$D$87/(1+(('3. Assumptions'!$B$6+'6. The ladder'!$C$8)))^'3. Assumptions'!$B$9)/(1+'3. Assumptions'!$B$14)-('2. The tape'!$C$17/'3. Assumptions'!$B$4)</f>
        <v>-2718.99836999178</v>
      </c>
      <c r="P22" s="41" t="n">
        <f aca="false">IF(S21&gt;0,R21,P21)</f>
        <v>0.03226318359375</v>
      </c>
      <c r="Q22" s="41" t="n">
        <f aca="false">IF(S21&gt;0,Q21,R21)</f>
        <v>0.0322998046875</v>
      </c>
      <c r="R22" s="41" t="n">
        <f aca="false">(P22+Q22)/2</f>
        <v>0.032281494140625</v>
      </c>
      <c r="S22" s="42" t="n">
        <f aca="false">(SUMPRODUCT((1-(R22))^('7. Cash flow'!$A$7:$A$86/4)*'7. Cash flow'!$C$7:$C$86/(1+(('3. Assumptions'!$B$6+'6. The ladder'!$B$9)))^('7. Cash flow'!$A$7:$A$86/4))+SUMPRODUCT((1-(R22))^(('7. Cash flow'!$A$7:$A$86-1)/4)*(1-(1-(R22))^0.25)*'7. Cash flow'!$D$7:$D$86/(1+(('3. Assumptions'!$B$6+'6. The ladder'!$C$9)))^('7. Cash flow'!$A$7:$A$86/4))+(1-(R22))^'3. Assumptions'!$B$9*'7. Cash flow'!$D$87/(1+(('3. Assumptions'!$B$6+'6. The ladder'!$C$9)))^'3. Assumptions'!$B$9)/(1+'3. Assumptions'!$B$14)-('2. The tape'!$C$17/'3. Assumptions'!$B$4)</f>
        <v>3560.59943601489</v>
      </c>
      <c r="U22" s="41" t="n">
        <f aca="false">IF(X21&gt;0,W21,U21)</f>
        <v>0.03226318359375</v>
      </c>
      <c r="V22" s="41" t="n">
        <f aca="false">IF(X21&gt;0,V21,W21)</f>
        <v>0.0322998046875</v>
      </c>
      <c r="W22" s="41" t="n">
        <f aca="false">(U22+V22)/2</f>
        <v>0.032281494140625</v>
      </c>
      <c r="X22" s="42" t="n">
        <f aca="false">(SUMPRODUCT((1-(W22))^('7. Cash flow'!$A$7:$A$86/4)*'7. Cash flow'!$C$7:$C$86/(1+('3. Assumptions'!$B$28))^('7. Cash flow'!$A$7:$A$86/4))+SUMPRODUCT((1-(W22))^(('7. Cash flow'!$A$7:$A$86-1)/4)*(1-(1-(W22))^0.25)*'7. Cash flow'!$D$7:$D$86/(1+('3. Assumptions'!$B$29))^('7. Cash flow'!$A$7:$A$86/4))+(1-(W22))^'3. Assumptions'!$B$9*'7. Cash flow'!$D$87/(1+('3. Assumptions'!$B$29))^'3. Assumptions'!$B$9)/(1+'3. Assumptions'!$B$14)-('2. The tape'!$C$17/'3. Assumptions'!$B$4)</f>
        <v>3560.59943601489</v>
      </c>
      <c r="Z22" s="41" t="n">
        <f aca="false">IF(AC21&gt;0,AB21,Z21)</f>
        <v>0.0036407470703125</v>
      </c>
      <c r="AA22" s="41" t="n">
        <f aca="false">IF(AC21&gt;0,AA21,AB21)</f>
        <v>0.003662109375</v>
      </c>
      <c r="AB22" s="41" t="n">
        <f aca="false">(Z22+AA22)/2</f>
        <v>0.00365142822265625</v>
      </c>
      <c r="AC22" s="42" t="n">
        <f aca="false">(SUMPRODUCT((1-(('3. Assumptions'!$B$21/(1-'3. Assumptions'!$B$22))))^('7. Cash flow'!$A$7:$A$86/4)*'7. Cash flow'!$C$7:$C$86/(1+('3. Assumptions'!$B$6+AB22))^('7. Cash flow'!$A$7:$A$86/4))+SUMPRODUCT((1-(('3. Assumptions'!$B$21/(1-'3. Assumptions'!$B$22))))^(('7. Cash flow'!$A$7:$A$86-1)/4)*(1-(1-(('3. Assumptions'!$B$21/(1-'3. Assumptions'!$B$22))))^0.25)*'7. Cash flow'!$D$7:$D$86/(1+('3. Assumptions'!$B$6+AB22))^('7. Cash flow'!$A$7:$A$86/4))+(1-(('3. Assumptions'!$B$21/(1-'3. Assumptions'!$B$22))))^'3. Assumptions'!$B$9*'7. Cash flow'!$D$87/(1+('3. Assumptions'!$B$6+AB22))^'3. Assumptions'!$B$9)/(1+'3. Assumptions'!$B$14)-('2. The tape'!$C$17/'3. Assumptions'!$B$4)</f>
        <v>-9050.4405939579</v>
      </c>
      <c r="AE22" s="41" t="n">
        <f aca="false">IF(AH21&gt;0,AG21,AE21)</f>
        <v>0.05009765625</v>
      </c>
      <c r="AF22" s="41" t="n">
        <f aca="false">IF(AH21&gt;0,AF21,AG21)</f>
        <v>0.050115966796875</v>
      </c>
      <c r="AG22" s="41" t="n">
        <f aca="false">(AE22+AF22)/2</f>
        <v>0.0501068115234375</v>
      </c>
      <c r="AH22" s="42" t="n">
        <f aca="false">(SUMPRODUCT((1-(('3. Assumptions'!$B$21/(1-'3. Assumptions'!$B$22))))^('7. Cash flow'!$A$7:$A$86/4)*'7. Cash flow'!$C$7:$C$86/(1+(AG22))^('7. Cash flow'!$A$7:$A$86/4))+SUMPRODUCT((1-(('3. Assumptions'!$B$21/(1-'3. Assumptions'!$B$22))))^(('7. Cash flow'!$A$7:$A$86-1)/4)*(1-(1-(('3. Assumptions'!$B$21/(1-'3. Assumptions'!$B$22))))^0.25)*'7. Cash flow'!$D$7:$D$86/(1+(AG22))^('7. Cash flow'!$A$7:$A$86/4))+(1-(('3. Assumptions'!$B$21/(1-'3. Assumptions'!$B$22))))^'3. Assumptions'!$B$9*'7. Cash flow'!$D$87/(1+(AG22))^'3.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-3660.50598937273</v>
      </c>
      <c r="AJ22" s="41" t="n">
        <f aca="false">IF(AM21&gt;0,AL21,AJ21)</f>
        <v>-0.0018280029296875</v>
      </c>
      <c r="AK22" s="41" t="n">
        <f aca="false">IF(AM21&gt;0,AK21,AL21)</f>
        <v>-0.001806640625</v>
      </c>
      <c r="AL22" s="41" t="n">
        <f aca="false">(AJ22+AK22)/2</f>
        <v>-0.00181732177734375</v>
      </c>
      <c r="AM22" s="42" t="n">
        <f aca="false">SUMPRODUCT((1-('3. Assumptions'!$B$21/(1-'3. Assumptions'!$B$22)))^('7. Cash flow'!$A$7:$A$26/4)*('3. Assumptions'!$B$6+'3. Assumptions'!$B$21)/4/(1+'3. Assumptions'!$B$6+AL22)^('7. Cash flow'!$A$7:$A$26/4))+SUMPRODUCT((1-('3. Assumptions'!$B$21/(1-'3. Assumptions'!$B$22)))^(('7. Cash flow'!$A$7:$A$26-1)/4)*(1-(1-('3. Assumptions'!$B$21/(1-'3. Assumptions'!$B$22)))^0.25)*'3. Assumptions'!$B$22/(1+'3. Assumptions'!$B$6+AL22)^('7. Cash flow'!$A$7:$A$26/4))+(1-('3. Assumptions'!$B$21/(1-'3. Assumptions'!$B$22)))^5/(1+'3. Assumptions'!$B$6+AL22)^5-1</f>
        <v>4.17928511158294E-005</v>
      </c>
    </row>
    <row r="23" customFormat="false" ht="15" hidden="false" customHeight="false" outlineLevel="0" collapsed="false">
      <c r="A23" s="41" t="n">
        <f aca="false">IF(D22&gt;0,C22,A22)</f>
        <v>0.070257568359375</v>
      </c>
      <c r="B23" s="41" t="n">
        <f aca="false">IF(D22&gt;0,B22,C22)</f>
        <v>0.07027587890625</v>
      </c>
      <c r="C23" s="41" t="n">
        <f aca="false">(A23+B23)/2</f>
        <v>0.0702667236328125</v>
      </c>
      <c r="D23" s="42" t="n">
        <f aca="false">(SUMPRODUCT((1-(C23))^('7. Cash flow'!$A$7:$A$86/4)*'7. Cash flow'!$C$7:$C$86/(1+(('3. Assumptions'!$B$6+'6. The ladder'!$B$6)))^('7. Cash flow'!$A$7:$A$86/4))+SUMPRODUCT((1-(C23))^(('7. Cash flow'!$A$7:$A$86-1)/4)*(1-(1-(C23))^0.25)*'7. Cash flow'!$D$7:$D$86/(1+(('3. Assumptions'!$B$6+'6. The ladder'!$C$6)))^('7. Cash flow'!$A$7:$A$86/4))+(1-(C23))^'3. Assumptions'!$B$9*'7. Cash flow'!$D$87/(1+(('3. Assumptions'!$B$6+'6. The ladder'!$C$6)))^'3. Assumptions'!$B$9)/(1+'3. Assumptions'!$B$14)-('2. The tape'!$C$17/'3. Assumptions'!$B$4)</f>
        <v>-5131.58290326595</v>
      </c>
      <c r="F23" s="41" t="n">
        <f aca="false">IF(I22&gt;0,H22,F22)</f>
        <v>0.057659912109375</v>
      </c>
      <c r="G23" s="41" t="n">
        <f aca="false">IF(I22&gt;0,G22,H22)</f>
        <v>0.05767822265625</v>
      </c>
      <c r="H23" s="41" t="n">
        <f aca="false">(F23+G23)/2</f>
        <v>0.0576690673828125</v>
      </c>
      <c r="I23" s="42" t="n">
        <f aca="false">(SUMPRODUCT((1-(H23))^('7. Cash flow'!$A$7:$A$86/4)*'7. Cash flow'!$C$7:$C$86/(1+(('3. Assumptions'!$B$6+'6. The ladder'!$B$7)))^('7. Cash flow'!$A$7:$A$86/4))+SUMPRODUCT((1-(H23))^(('7. Cash flow'!$A$7:$A$86-1)/4)*(1-(1-(H23))^0.25)*'7. Cash flow'!$D$7:$D$86/(1+(('3. Assumptions'!$B$6+'6. The ladder'!$C$7)))^('7. Cash flow'!$A$7:$A$86/4))+(1-(H23))^'3. Assumptions'!$B$9*'7. Cash flow'!$D$87/(1+(('3. Assumptions'!$B$6+'6. The ladder'!$C$7)))^'3. Assumptions'!$B$9)/(1+'3. Assumptions'!$B$14)-('2. The tape'!$C$17/'3. Assumptions'!$B$4)</f>
        <v>-7136.97557842732</v>
      </c>
      <c r="K23" s="41" t="n">
        <f aca="false">IF(N22&gt;0,M22,K22)</f>
        <v>0.0448974609375</v>
      </c>
      <c r="L23" s="41" t="n">
        <f aca="false">IF(N22&gt;0,L22,M22)</f>
        <v>0.044915771484375</v>
      </c>
      <c r="M23" s="41" t="n">
        <f aca="false">(K23+L23)/2</f>
        <v>0.0449066162109375</v>
      </c>
      <c r="N23" s="42" t="n">
        <f aca="false">(SUMPRODUCT((1-(M23))^('7. Cash flow'!$A$7:$A$86/4)*'7. Cash flow'!$C$7:$C$86/(1+(('3. Assumptions'!$B$6+'6. The ladder'!$B$8)))^('7. Cash flow'!$A$7:$A$86/4))+SUMPRODUCT((1-(M23))^(('7. Cash flow'!$A$7:$A$86-1)/4)*(1-(1-(M23))^0.25)*'7. Cash flow'!$D$7:$D$86/(1+(('3. Assumptions'!$B$6+'6. The ladder'!$C$8)))^('7. Cash flow'!$A$7:$A$86/4))+(1-(M23))^'3. Assumptions'!$B$9*'7. Cash flow'!$D$87/(1+(('3. Assumptions'!$B$6+'6. The ladder'!$C$8)))^'3. Assumptions'!$B$9)/(1+'3. Assumptions'!$B$14)-('2. The tape'!$C$17/'3. Assumptions'!$B$4)</f>
        <v>5751.92343175411</v>
      </c>
      <c r="P23" s="41" t="n">
        <f aca="false">IF(S22&gt;0,R22,P22)</f>
        <v>0.032281494140625</v>
      </c>
      <c r="Q23" s="41" t="n">
        <f aca="false">IF(S22&gt;0,Q22,R22)</f>
        <v>0.0322998046875</v>
      </c>
      <c r="R23" s="41" t="n">
        <f aca="false">(P23+Q23)/2</f>
        <v>0.0322906494140625</v>
      </c>
      <c r="S23" s="42" t="n">
        <f aca="false">(SUMPRODUCT((1-(R23))^('7. Cash flow'!$A$7:$A$86/4)*'7. Cash flow'!$C$7:$C$86/(1+(('3. Assumptions'!$B$6+'6. The ladder'!$B$9)))^('7. Cash flow'!$A$7:$A$86/4))+SUMPRODUCT((1-(R23))^(('7. Cash flow'!$A$7:$A$86-1)/4)*(1-(1-(R23))^0.25)*'7. Cash flow'!$D$7:$D$86/(1+(('3. Assumptions'!$B$6+'6. The ladder'!$C$9)))^('7. Cash flow'!$A$7:$A$86/4))+(1-(R23))^'3. Assumptions'!$B$9*'7. Cash flow'!$D$87/(1+(('3. Assumptions'!$B$6+'6. The ladder'!$C$9)))^'3. Assumptions'!$B$9)/(1+'3. Assumptions'!$B$14)-('2. The tape'!$C$17/'3. Assumptions'!$B$4)</f>
        <v>-5645.88945880532</v>
      </c>
      <c r="U23" s="41" t="n">
        <f aca="false">IF(X22&gt;0,W22,U22)</f>
        <v>0.032281494140625</v>
      </c>
      <c r="V23" s="41" t="n">
        <f aca="false">IF(X22&gt;0,V22,W22)</f>
        <v>0.0322998046875</v>
      </c>
      <c r="W23" s="41" t="n">
        <f aca="false">(U23+V23)/2</f>
        <v>0.0322906494140625</v>
      </c>
      <c r="X23" s="42" t="n">
        <f aca="false">(SUMPRODUCT((1-(W23))^('7. Cash flow'!$A$7:$A$86/4)*'7. Cash flow'!$C$7:$C$86/(1+('3. Assumptions'!$B$28))^('7. Cash flow'!$A$7:$A$86/4))+SUMPRODUCT((1-(W23))^(('7. Cash flow'!$A$7:$A$86-1)/4)*(1-(1-(W23))^0.25)*'7. Cash flow'!$D$7:$D$86/(1+('3. Assumptions'!$B$29))^('7. Cash flow'!$A$7:$A$86/4))+(1-(W23))^'3. Assumptions'!$B$9*'7. Cash flow'!$D$87/(1+('3. Assumptions'!$B$29))^'3. Assumptions'!$B$9)/(1+'3. Assumptions'!$B$14)-('2. The tape'!$C$17/'3. Assumptions'!$B$4)</f>
        <v>-5645.88945880532</v>
      </c>
      <c r="Z23" s="41" t="n">
        <f aca="false">IF(AC22&gt;0,AB22,Z22)</f>
        <v>0.0036407470703125</v>
      </c>
      <c r="AA23" s="41" t="n">
        <f aca="false">IF(AC22&gt;0,AA22,AB22)</f>
        <v>0.00365142822265625</v>
      </c>
      <c r="AB23" s="41" t="n">
        <f aca="false">(Z23+AA23)/2</f>
        <v>0.00364608764648437</v>
      </c>
      <c r="AC23" s="42" t="n">
        <f aca="false">(SUMPRODUCT((1-(('3. Assumptions'!$B$21/(1-'3. Assumptions'!$B$22))))^('7. Cash flow'!$A$7:$A$86/4)*'7. Cash flow'!$C$7:$C$86/(1+('3. Assumptions'!$B$6+AB23))^('7. Cash flow'!$A$7:$A$86/4))+SUMPRODUCT((1-(('3. Assumptions'!$B$21/(1-'3. Assumptions'!$B$22))))^(('7. Cash flow'!$A$7:$A$86-1)/4)*(1-(1-(('3. Assumptions'!$B$21/(1-'3. Assumptions'!$B$22))))^0.25)*'7. Cash flow'!$D$7:$D$86/(1+('3. Assumptions'!$B$6+AB23))^('7. Cash flow'!$A$7:$A$86/4))+(1-(('3. Assumptions'!$B$21/(1-'3. Assumptions'!$B$22))))^'3. Assumptions'!$B$9*'7. Cash flow'!$D$87/(1+('3. Assumptions'!$B$6+AB23))^'3. Assumptions'!$B$9)/(1+'3. Assumptions'!$B$14)-('2. The tape'!$C$17/'3. Assumptions'!$B$4)</f>
        <v>-1160.66299644113</v>
      </c>
      <c r="AE23" s="41" t="n">
        <f aca="false">IF(AH22&gt;0,AG22,AE22)</f>
        <v>0.05009765625</v>
      </c>
      <c r="AF23" s="41" t="n">
        <f aca="false">IF(AH22&gt;0,AF22,AG22)</f>
        <v>0.0501068115234375</v>
      </c>
      <c r="AG23" s="41" t="n">
        <f aca="false">(AE23+AF23)/2</f>
        <v>0.0501022338867188</v>
      </c>
      <c r="AH23" s="42" t="n">
        <f aca="false">(SUMPRODUCT((1-(('3. Assumptions'!$B$21/(1-'3. Assumptions'!$B$22))))^('7. Cash flow'!$A$7:$A$86/4)*'7. Cash flow'!$C$7:$C$86/(1+(AG23))^('7. Cash flow'!$A$7:$A$86/4))+SUMPRODUCT((1-(('3. Assumptions'!$B$21/(1-'3. Assumptions'!$B$22))))^(('7. Cash flow'!$A$7:$A$86-1)/4)*(1-(1-(('3. Assumptions'!$B$21/(1-'3. Assumptions'!$B$22))))^0.25)*'7. Cash flow'!$D$7:$D$86/(1+(AG23))^('7. Cash flow'!$A$7:$A$86/4))+(1-(('3. Assumptions'!$B$21/(1-'3. Assumptions'!$B$22))))^'3. Assumptions'!$B$9*'7. Cash flow'!$D$87/(1+(AG23))^'3.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1510.16606473923</v>
      </c>
      <c r="AJ23" s="41" t="n">
        <f aca="false">IF(AM22&gt;0,AL22,AJ22)</f>
        <v>-0.00181732177734375</v>
      </c>
      <c r="AK23" s="41" t="n">
        <f aca="false">IF(AM22&gt;0,AK22,AL22)</f>
        <v>-0.001806640625</v>
      </c>
      <c r="AL23" s="41" t="n">
        <f aca="false">(AJ23+AK23)/2</f>
        <v>-0.00181198120117188</v>
      </c>
      <c r="AM23" s="42" t="n">
        <f aca="false">SUMPRODUCT((1-('3. Assumptions'!$B$21/(1-'3. Assumptions'!$B$22)))^('7. Cash flow'!$A$7:$A$26/4)*('3. Assumptions'!$B$6+'3. Assumptions'!$B$21)/4/(1+'3. Assumptions'!$B$6+AL23)^('7. Cash flow'!$A$7:$A$26/4))+SUMPRODUCT((1-('3. Assumptions'!$B$21/(1-'3. Assumptions'!$B$22)))^(('7. Cash flow'!$A$7:$A$26-1)/4)*(1-(1-('3. Assumptions'!$B$21/(1-'3. Assumptions'!$B$22)))^0.25)*'3. Assumptions'!$B$22/(1+'3. Assumptions'!$B$6+AL23)^('7. Cash flow'!$A$7:$A$26/4))+(1-('3. Assumptions'!$B$21/(1-'3. Assumptions'!$B$22)))^5/(1+'3. Assumptions'!$B$6+AL23)^5-1</f>
        <v>2.05701064381891E-005</v>
      </c>
    </row>
    <row r="24" customFormat="false" ht="15" hidden="false" customHeight="false" outlineLevel="0" collapsed="false">
      <c r="A24" s="41" t="n">
        <f aca="false">IF(D23&gt;0,C23,A23)</f>
        <v>0.070257568359375</v>
      </c>
      <c r="B24" s="41" t="n">
        <f aca="false">IF(D23&gt;0,B23,C23)</f>
        <v>0.0702667236328125</v>
      </c>
      <c r="C24" s="41" t="n">
        <f aca="false">(A24+B24)/2</f>
        <v>0.0702621459960938</v>
      </c>
      <c r="D24" s="42" t="n">
        <f aca="false">(SUMPRODUCT((1-(C24))^('7. Cash flow'!$A$7:$A$86/4)*'7. Cash flow'!$C$7:$C$86/(1+(('3. Assumptions'!$B$6+'6. The ladder'!$B$6)))^('7. Cash flow'!$A$7:$A$86/4))+SUMPRODUCT((1-(C24))^(('7. Cash flow'!$A$7:$A$86-1)/4)*(1-(1-(C24))^0.25)*'7. Cash flow'!$D$7:$D$86/(1+(('3. Assumptions'!$B$6+'6. The ladder'!$C$6)))^('7. Cash flow'!$A$7:$A$86/4))+(1-(C24))^'3. Assumptions'!$B$9*'7. Cash flow'!$D$87/(1+(('3. Assumptions'!$B$6+'6. The ladder'!$C$6)))^'3. Assumptions'!$B$9)/(1+'3. Assumptions'!$B$14)-('2. The tape'!$C$17/'3. Assumptions'!$B$4)</f>
        <v>-1135.42326146364</v>
      </c>
      <c r="F24" s="41" t="n">
        <f aca="false">IF(I23&gt;0,H23,F23)</f>
        <v>0.057659912109375</v>
      </c>
      <c r="G24" s="41" t="n">
        <f aca="false">IF(I23&gt;0,G23,H23)</f>
        <v>0.0576690673828125</v>
      </c>
      <c r="H24" s="41" t="n">
        <f aca="false">(F24+G24)/2</f>
        <v>0.0576644897460937</v>
      </c>
      <c r="I24" s="42" t="n">
        <f aca="false">(SUMPRODUCT((1-(H24))^('7. Cash flow'!$A$7:$A$86/4)*'7. Cash flow'!$C$7:$C$86/(1+(('3. Assumptions'!$B$6+'6. The ladder'!$B$7)))^('7. Cash flow'!$A$7:$A$86/4))+SUMPRODUCT((1-(H24))^(('7. Cash flow'!$A$7:$A$86-1)/4)*(1-(1-(H24))^0.25)*'7. Cash flow'!$D$7:$D$86/(1+(('3. Assumptions'!$B$6+'6. The ladder'!$C$7)))^('7. Cash flow'!$A$7:$A$86/4))+(1-(H24))^'3. Assumptions'!$B$9*'7. Cash flow'!$D$87/(1+(('3. Assumptions'!$B$6+'6. The ladder'!$C$7)))^'3. Assumptions'!$B$9)/(1+'3. Assumptions'!$B$14)-('2. The tape'!$C$17/'3. Assumptions'!$B$4)</f>
        <v>-3155.44005960226</v>
      </c>
      <c r="K24" s="41" t="n">
        <f aca="false">IF(N23&gt;0,M23,K23)</f>
        <v>0.0449066162109375</v>
      </c>
      <c r="L24" s="41" t="n">
        <f aca="false">IF(N23&gt;0,L23,M23)</f>
        <v>0.044915771484375</v>
      </c>
      <c r="M24" s="41" t="n">
        <f aca="false">(K24+L24)/2</f>
        <v>0.0449111938476563</v>
      </c>
      <c r="N24" s="42" t="n">
        <f aca="false">(SUMPRODUCT((1-(M24))^('7. Cash flow'!$A$7:$A$86/4)*'7. Cash flow'!$C$7:$C$86/(1+(('3. Assumptions'!$B$6+'6. The ladder'!$B$8)))^('7. Cash flow'!$A$7:$A$86/4))+SUMPRODUCT((1-(M24))^(('7. Cash flow'!$A$7:$A$86-1)/4)*(1-(1-(M24))^0.25)*'7. Cash flow'!$D$7:$D$86/(1+(('3. Assumptions'!$B$6+'6. The ladder'!$C$8)))^('7. Cash flow'!$A$7:$A$86/4))+(1-(M24))^'3. Assumptions'!$B$9*'7. Cash flow'!$D$87/(1+(('3. Assumptions'!$B$6+'6. The ladder'!$C$8)))^'3. Assumptions'!$B$9)/(1+'3. Assumptions'!$B$14)-('2. The tape'!$C$17/'3. Assumptions'!$B$4)</f>
        <v>1516.34332278371</v>
      </c>
      <c r="P24" s="41" t="n">
        <f aca="false">IF(S23&gt;0,R23,P23)</f>
        <v>0.032281494140625</v>
      </c>
      <c r="Q24" s="41" t="n">
        <f aca="false">IF(S23&gt;0,Q23,R23)</f>
        <v>0.0322906494140625</v>
      </c>
      <c r="R24" s="41" t="n">
        <f aca="false">(P24+Q24)/2</f>
        <v>0.0322860717773437</v>
      </c>
      <c r="S24" s="42" t="n">
        <f aca="false">(SUMPRODUCT((1-(R24))^('7. Cash flow'!$A$7:$A$86/4)*'7. Cash flow'!$C$7:$C$86/(1+(('3. Assumptions'!$B$6+'6. The ladder'!$B$9)))^('7. Cash flow'!$A$7:$A$86/4))+SUMPRODUCT((1-(R24))^(('7. Cash flow'!$A$7:$A$86-1)/4)*(1-(1-(R24))^0.25)*'7. Cash flow'!$D$7:$D$86/(1+(('3. Assumptions'!$B$6+'6. The ladder'!$C$9)))^('7. Cash flow'!$A$7:$A$86/4))+(1-(R24))^'3. Assumptions'!$B$9*'7. Cash flow'!$D$87/(1+(('3. Assumptions'!$B$6+'6. The ladder'!$C$9)))^'3. Assumptions'!$B$9)/(1+'3. Assumptions'!$B$14)-('2. The tape'!$C$17/'3. Assumptions'!$B$4)</f>
        <v>-1042.77755260468</v>
      </c>
      <c r="U24" s="41" t="n">
        <f aca="false">IF(X23&gt;0,W23,U23)</f>
        <v>0.032281494140625</v>
      </c>
      <c r="V24" s="41" t="n">
        <f aca="false">IF(X23&gt;0,V23,W23)</f>
        <v>0.0322906494140625</v>
      </c>
      <c r="W24" s="41" t="n">
        <f aca="false">(U24+V24)/2</f>
        <v>0.0322860717773437</v>
      </c>
      <c r="X24" s="42" t="n">
        <f aca="false">(SUMPRODUCT((1-(W24))^('7. Cash flow'!$A$7:$A$86/4)*'7. Cash flow'!$C$7:$C$86/(1+('3. Assumptions'!$B$28))^('7. Cash flow'!$A$7:$A$86/4))+SUMPRODUCT((1-(W24))^(('7. Cash flow'!$A$7:$A$86-1)/4)*(1-(1-(W24))^0.25)*'7. Cash flow'!$D$7:$D$86/(1+('3. Assumptions'!$B$29))^('7. Cash flow'!$A$7:$A$86/4))+(1-(W24))^'3. Assumptions'!$B$9*'7. Cash flow'!$D$87/(1+('3. Assumptions'!$B$29))^'3. Assumptions'!$B$9)/(1+'3. Assumptions'!$B$14)-('2. The tape'!$C$17/'3. Assumptions'!$B$4)</f>
        <v>-1042.77755260468</v>
      </c>
      <c r="Z24" s="41" t="n">
        <f aca="false">IF(AC23&gt;0,AB23,Z23)</f>
        <v>0.0036407470703125</v>
      </c>
      <c r="AA24" s="41" t="n">
        <f aca="false">IF(AC23&gt;0,AA23,AB23)</f>
        <v>0.00364608764648437</v>
      </c>
      <c r="AB24" s="41" t="n">
        <f aca="false">(Z24+AA24)/2</f>
        <v>0.00364341735839844</v>
      </c>
      <c r="AC24" s="42" t="n">
        <f aca="false">(SUMPRODUCT((1-(('3. Assumptions'!$B$21/(1-'3. Assumptions'!$B$22))))^('7. Cash flow'!$A$7:$A$86/4)*'7. Cash flow'!$C$7:$C$86/(1+('3. Assumptions'!$B$6+AB24))^('7. Cash flow'!$A$7:$A$86/4))+SUMPRODUCT((1-(('3. Assumptions'!$B$21/(1-'3. Assumptions'!$B$22))))^(('7. Cash flow'!$A$7:$A$86-1)/4)*(1-(1-(('3. Assumptions'!$B$21/(1-'3. Assumptions'!$B$22))))^0.25)*'7. Cash flow'!$D$7:$D$86/(1+('3. Assumptions'!$B$6+AB24))^('7. Cash flow'!$A$7:$A$86/4))+(1-(('3. Assumptions'!$B$21/(1-'3. Assumptions'!$B$22))))^'3. Assumptions'!$B$9*'7. Cash flow'!$D$87/(1+('3. Assumptions'!$B$6+AB24))^'3. Assumptions'!$B$9)/(1+'3. Assumptions'!$B$14)-('2. The tape'!$C$17/'3. Assumptions'!$B$4)</f>
        <v>2784.44007864594</v>
      </c>
      <c r="AE24" s="41" t="n">
        <f aca="false">IF(AH23&gt;0,AG23,AE23)</f>
        <v>0.0501022338867188</v>
      </c>
      <c r="AF24" s="41" t="n">
        <f aca="false">IF(AH23&gt;0,AF23,AG23)</f>
        <v>0.0501068115234375</v>
      </c>
      <c r="AG24" s="41" t="n">
        <f aca="false">(AE24+AF24)/2</f>
        <v>0.0501045227050781</v>
      </c>
      <c r="AH24" s="42" t="n">
        <f aca="false">(SUMPRODUCT((1-(('3. Assumptions'!$B$21/(1-'3. Assumptions'!$B$22))))^('7. Cash flow'!$A$7:$A$86/4)*'7. Cash flow'!$C$7:$C$86/(1+(AG24))^('7. Cash flow'!$A$7:$A$86/4))+SUMPRODUCT((1-(('3. Assumptions'!$B$21/(1-'3. Assumptions'!$B$22))))^(('7. Cash flow'!$A$7:$A$86-1)/4)*(1-(1-(('3. Assumptions'!$B$21/(1-'3. Assumptions'!$B$22))))^0.25)*'7. Cash flow'!$D$7:$D$86/(1+(AG24))^('7. Cash flow'!$A$7:$A$86/4))+(1-(('3. Assumptions'!$B$21/(1-'3. Assumptions'!$B$22))))^'3. Assumptions'!$B$9*'7. Cash flow'!$D$87/(1+(AG24))^'3.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-1075.20750197768</v>
      </c>
      <c r="AJ24" s="41" t="n">
        <f aca="false">IF(AM23&gt;0,AL23,AJ23)</f>
        <v>-0.00181198120117188</v>
      </c>
      <c r="AK24" s="41" t="n">
        <f aca="false">IF(AM23&gt;0,AK23,AL23)</f>
        <v>-0.001806640625</v>
      </c>
      <c r="AL24" s="41" t="n">
        <f aca="false">(AJ24+AK24)/2</f>
        <v>-0.00180931091308594</v>
      </c>
      <c r="AM24" s="42" t="n">
        <f aca="false">SUMPRODUCT((1-('3. Assumptions'!$B$21/(1-'3. Assumptions'!$B$22)))^('7. Cash flow'!$A$7:$A$26/4)*('3. Assumptions'!$B$6+'3. Assumptions'!$B$21)/4/(1+'3. Assumptions'!$B$6+AL24)^('7. Cash flow'!$A$7:$A$26/4))+SUMPRODUCT((1-('3. Assumptions'!$B$21/(1-'3. Assumptions'!$B$22)))^(('7. Cash flow'!$A$7:$A$26-1)/4)*(1-(1-('3. Assumptions'!$B$21/(1-'3. Assumptions'!$B$22)))^0.25)*'3. Assumptions'!$B$22/(1+'3. Assumptions'!$B$6+AL24)^('7. Cash flow'!$A$7:$A$26/4))+(1-('3. Assumptions'!$B$21/(1-'3. Assumptions'!$B$22)))^5/(1+'3. Assumptions'!$B$6+AL24)^5-1</f>
        <v>9.95896758437809E-006</v>
      </c>
    </row>
    <row r="25" customFormat="false" ht="15" hidden="false" customHeight="false" outlineLevel="0" collapsed="false">
      <c r="A25" s="41" t="n">
        <f aca="false">IF(D24&gt;0,C24,A24)</f>
        <v>0.070257568359375</v>
      </c>
      <c r="B25" s="41" t="n">
        <f aca="false">IF(D24&gt;0,B24,C24)</f>
        <v>0.0702621459960938</v>
      </c>
      <c r="C25" s="41" t="n">
        <f aca="false">(A25+B25)/2</f>
        <v>0.0702598571777344</v>
      </c>
      <c r="D25" s="42" t="n">
        <f aca="false">(SUMPRODUCT((1-(C25))^('7. Cash flow'!$A$7:$A$86/4)*'7. Cash flow'!$C$7:$C$86/(1+(('3. Assumptions'!$B$6+'6. The ladder'!$B$6)))^('7. Cash flow'!$A$7:$A$86/4))+SUMPRODUCT((1-(C25))^(('7. Cash flow'!$A$7:$A$86-1)/4)*(1-(1-(C25))^0.25)*'7. Cash flow'!$D$7:$D$86/(1+(('3. Assumptions'!$B$6+'6. The ladder'!$C$6)))^('7. Cash flow'!$A$7:$A$86/4))+(1-(C25))^'3. Assumptions'!$B$9*'7. Cash flow'!$D$87/(1+(('3. Assumptions'!$B$6+'6. The ladder'!$C$6)))^'3. Assumptions'!$B$9)/(1+'3. Assumptions'!$B$14)-('2. The tape'!$C$17/'3. Assumptions'!$B$4)</f>
        <v>862.739316165447</v>
      </c>
      <c r="F25" s="41" t="n">
        <f aca="false">IF(I24&gt;0,H24,F24)</f>
        <v>0.057659912109375</v>
      </c>
      <c r="G25" s="41" t="n">
        <f aca="false">IF(I24&gt;0,G24,H24)</f>
        <v>0.0576644897460937</v>
      </c>
      <c r="H25" s="41" t="n">
        <f aca="false">(F25+G25)/2</f>
        <v>0.0576622009277344</v>
      </c>
      <c r="I25" s="42" t="n">
        <f aca="false">(SUMPRODUCT((1-(H25))^('7. Cash flow'!$A$7:$A$86/4)*'7. Cash flow'!$C$7:$C$86/(1+(('3. Assumptions'!$B$6+'6. The ladder'!$B$7)))^('7. Cash flow'!$A$7:$A$86/4))+SUMPRODUCT((1-(H25))^(('7. Cash flow'!$A$7:$A$86-1)/4)*(1-(1-(H25))^0.25)*'7. Cash flow'!$D$7:$D$86/(1+(('3. Assumptions'!$B$6+'6. The ladder'!$C$7)))^('7. Cash flow'!$A$7:$A$86/4))+(1-(H25))^'3. Assumptions'!$B$9*'7. Cash flow'!$D$87/(1+(('3. Assumptions'!$B$6+'6. The ladder'!$C$7)))^'3. Assumptions'!$B$9)/(1+'3. Assumptions'!$B$14)-('2. The tape'!$C$17/'3. Assumptions'!$B$4)</f>
        <v>-1164.5898488462</v>
      </c>
      <c r="K25" s="41" t="n">
        <f aca="false">IF(N24&gt;0,M24,K24)</f>
        <v>0.0449111938476563</v>
      </c>
      <c r="L25" s="41" t="n">
        <f aca="false">IF(N24&gt;0,L24,M24)</f>
        <v>0.044915771484375</v>
      </c>
      <c r="M25" s="41" t="n">
        <f aca="false">(K25+L25)/2</f>
        <v>0.0449134826660156</v>
      </c>
      <c r="N25" s="42" t="n">
        <f aca="false">(SUMPRODUCT((1-(M25))^('7. Cash flow'!$A$7:$A$86/4)*'7. Cash flow'!$C$7:$C$86/(1+(('3. Assumptions'!$B$6+'6. The ladder'!$B$8)))^('7. Cash flow'!$A$7:$A$86/4))+SUMPRODUCT((1-(M25))^(('7. Cash flow'!$A$7:$A$86-1)/4)*(1-(1-(M25))^0.25)*'7. Cash flow'!$D$7:$D$86/(1+(('3. Assumptions'!$B$6+'6. The ladder'!$C$8)))^('7. Cash flow'!$A$7:$A$86/4))+(1-(M25))^'3. Assumptions'!$B$9*'7. Cash flow'!$D$87/(1+(('3. Assumptions'!$B$6+'6. The ladder'!$C$8)))^'3. Assumptions'!$B$9)/(1+'3. Assumptions'!$B$14)-('2. The tape'!$C$17/'3. Assumptions'!$B$4)</f>
        <v>-601.357324391604</v>
      </c>
      <c r="P25" s="41" t="n">
        <f aca="false">IF(S24&gt;0,R24,P24)</f>
        <v>0.032281494140625</v>
      </c>
      <c r="Q25" s="41" t="n">
        <f aca="false">IF(S24&gt;0,Q24,R24)</f>
        <v>0.0322860717773437</v>
      </c>
      <c r="R25" s="41" t="n">
        <f aca="false">(P25+Q25)/2</f>
        <v>0.0322837829589844</v>
      </c>
      <c r="S25" s="42" t="n">
        <f aca="false">(SUMPRODUCT((1-(R25))^('7. Cash flow'!$A$7:$A$86/4)*'7. Cash flow'!$C$7:$C$86/(1+(('3. Assumptions'!$B$6+'6. The ladder'!$B$9)))^('7. Cash flow'!$A$7:$A$86/4))+SUMPRODUCT((1-(R25))^(('7. Cash flow'!$A$7:$A$86-1)/4)*(1-(1-(R25))^0.25)*'7. Cash flow'!$D$7:$D$86/(1+(('3. Assumptions'!$B$6+'6. The ladder'!$C$9)))^('7. Cash flow'!$A$7:$A$86/4))+(1-(R25))^'3. Assumptions'!$B$9*'7. Cash flow'!$D$87/(1+(('3. Assumptions'!$B$6+'6. The ladder'!$C$9)))^'3. Assumptions'!$B$9)/(1+'3. Assumptions'!$B$14)-('2. The tape'!$C$17/'3. Assumptions'!$B$4)</f>
        <v>1258.87780559063</v>
      </c>
      <c r="U25" s="41" t="n">
        <f aca="false">IF(X24&gt;0,W24,U24)</f>
        <v>0.032281494140625</v>
      </c>
      <c r="V25" s="41" t="n">
        <f aca="false">IF(X24&gt;0,V24,W24)</f>
        <v>0.0322860717773437</v>
      </c>
      <c r="W25" s="41" t="n">
        <f aca="false">(U25+V25)/2</f>
        <v>0.0322837829589844</v>
      </c>
      <c r="X25" s="42" t="n">
        <f aca="false">(SUMPRODUCT((1-(W25))^('7. Cash flow'!$A$7:$A$86/4)*'7. Cash flow'!$C$7:$C$86/(1+('3. Assumptions'!$B$28))^('7. Cash flow'!$A$7:$A$86/4))+SUMPRODUCT((1-(W25))^(('7. Cash flow'!$A$7:$A$86-1)/4)*(1-(1-(W25))^0.25)*'7. Cash flow'!$D$7:$D$86/(1+('3. Assumptions'!$B$29))^('7. Cash flow'!$A$7:$A$86/4))+(1-(W25))^'3. Assumptions'!$B$9*'7. Cash flow'!$D$87/(1+('3. Assumptions'!$B$29))^'3. Assumptions'!$B$9)/(1+'3. Assumptions'!$B$14)-('2. The tape'!$C$17/'3. Assumptions'!$B$4)</f>
        <v>1258.87780559063</v>
      </c>
      <c r="Z25" s="41" t="n">
        <f aca="false">IF(AC24&gt;0,AB24,Z24)</f>
        <v>0.00364341735839844</v>
      </c>
      <c r="AA25" s="41" t="n">
        <f aca="false">IF(AC24&gt;0,AA24,AB24)</f>
        <v>0.00364608764648437</v>
      </c>
      <c r="AB25" s="41" t="n">
        <f aca="false">(Z25+AA25)/2</f>
        <v>0.0036447525024414</v>
      </c>
      <c r="AC25" s="42" t="n">
        <f aca="false">(SUMPRODUCT((1-(('3. Assumptions'!$B$21/(1-'3. Assumptions'!$B$22))))^('7. Cash flow'!$A$7:$A$86/4)*'7. Cash flow'!$C$7:$C$86/(1+('3. Assumptions'!$B$6+AB25))^('7. Cash flow'!$A$7:$A$86/4))+SUMPRODUCT((1-(('3. Assumptions'!$B$21/(1-'3. Assumptions'!$B$22))))^(('7. Cash flow'!$A$7:$A$86-1)/4)*(1-(1-(('3. Assumptions'!$B$21/(1-'3. Assumptions'!$B$22))))^0.25)*'7. Cash flow'!$D$7:$D$86/(1+('3. Assumptions'!$B$6+AB25))^('7. Cash flow'!$A$7:$A$86/4))+(1-(('3. Assumptions'!$B$21/(1-'3. Assumptions'!$B$22))))^'3. Assumptions'!$B$9*'7. Cash flow'!$D$87/(1+('3. Assumptions'!$B$6+AB25))^'3. Assumptions'!$B$9)/(1+'3. Assumptions'!$B$14)-('2. The tape'!$C$17/'3. Assumptions'!$B$4)</f>
        <v>811.870683908463</v>
      </c>
      <c r="AE25" s="41" t="n">
        <f aca="false">IF(AH24&gt;0,AG24,AE24)</f>
        <v>0.0501022338867188</v>
      </c>
      <c r="AF25" s="41" t="n">
        <f aca="false">IF(AH24&gt;0,AF24,AG24)</f>
        <v>0.0501045227050781</v>
      </c>
      <c r="AG25" s="41" t="n">
        <f aca="false">(AE25+AF25)/2</f>
        <v>0.0501033782958984</v>
      </c>
      <c r="AH25" s="42" t="n">
        <f aca="false">(SUMPRODUCT((1-(('3. Assumptions'!$B$21/(1-'3. Assumptions'!$B$22))))^('7. Cash flow'!$A$7:$A$86/4)*'7. Cash flow'!$C$7:$C$86/(1+(AG25))^('7. Cash flow'!$A$7:$A$86/4))+SUMPRODUCT((1-(('3. Assumptions'!$B$21/(1-'3. Assumptions'!$B$22))))^(('7. Cash flow'!$A$7:$A$86-1)/4)*(1-(1-(('3. Assumptions'!$B$21/(1-'3. Assumptions'!$B$22))))^0.25)*'7. Cash flow'!$D$7:$D$86/(1+(AG25))^('7. Cash flow'!$A$7:$A$86/4))+(1-(('3. Assumptions'!$B$21/(1-'3. Assumptions'!$B$22))))^'3. Assumptions'!$B$9*'7. Cash flow'!$D$87/(1+(AG25))^'3.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217.469896286726</v>
      </c>
      <c r="AJ25" s="41" t="n">
        <f aca="false">IF(AM24&gt;0,AL24,AJ24)</f>
        <v>-0.00180931091308594</v>
      </c>
      <c r="AK25" s="41" t="n">
        <f aca="false">IF(AM24&gt;0,AK24,AL24)</f>
        <v>-0.001806640625</v>
      </c>
      <c r="AL25" s="41" t="n">
        <f aca="false">(AJ25+AK25)/2</f>
        <v>-0.00180797576904297</v>
      </c>
      <c r="AM25" s="42" t="n">
        <f aca="false">SUMPRODUCT((1-('3. Assumptions'!$B$21/(1-'3. Assumptions'!$B$22)))^('7. Cash flow'!$A$7:$A$26/4)*('3. Assumptions'!$B$6+'3. Assumptions'!$B$21)/4/(1+'3. Assumptions'!$B$6+AL25)^('7. Cash flow'!$A$7:$A$26/4))+SUMPRODUCT((1-('3. Assumptions'!$B$21/(1-'3. Assumptions'!$B$22)))^(('7. Cash flow'!$A$7:$A$26-1)/4)*(1-(1-('3. Assumptions'!$B$21/(1-'3. Assumptions'!$B$22)))^0.25)*'3. Assumptions'!$B$22/(1+'3. Assumptions'!$B$6+AL25)^('7. Cash flow'!$A$7:$A$26/4))+(1-('3. Assumptions'!$B$21/(1-'3. Assumptions'!$B$22)))^5/(1+'3. Assumptions'!$B$6+AL25)^5-1</f>
        <v>4.65345652811422E-006</v>
      </c>
    </row>
    <row r="26" customFormat="false" ht="15" hidden="false" customHeight="false" outlineLevel="0" collapsed="false">
      <c r="A26" s="41" t="n">
        <f aca="false">IF(D25&gt;0,C25,A25)</f>
        <v>0.0702598571777344</v>
      </c>
      <c r="B26" s="41" t="n">
        <f aca="false">IF(D25&gt;0,B25,C25)</f>
        <v>0.0702621459960938</v>
      </c>
      <c r="C26" s="41" t="n">
        <f aca="false">(A26+B26)/2</f>
        <v>0.0702610015869141</v>
      </c>
      <c r="D26" s="42" t="n">
        <f aca="false">(SUMPRODUCT((1-(C26))^('7. Cash flow'!$A$7:$A$86/4)*'7. Cash flow'!$C$7:$C$86/(1+(('3. Assumptions'!$B$6+'6. The ladder'!$B$6)))^('7. Cash flow'!$A$7:$A$86/4))+SUMPRODUCT((1-(C26))^(('7. Cash flow'!$A$7:$A$86-1)/4)*(1-(1-(C26))^0.25)*'7. Cash flow'!$D$7:$D$86/(1+(('3. Assumptions'!$B$6+'6. The ladder'!$C$6)))^('7. Cash flow'!$A$7:$A$86/4))+(1-(C26))^'3. Assumptions'!$B$9*'7. Cash flow'!$D$87/(1+(('3. Assumptions'!$B$6+'6. The ladder'!$C$6)))^'3. Assumptions'!$B$9)/(1+'3. Assumptions'!$B$14)-('2. The tape'!$C$17/'3. Assumptions'!$B$4)</f>
        <v>-136.34886944294</v>
      </c>
      <c r="F26" s="41" t="n">
        <f aca="false">IF(I25&gt;0,H25,F25)</f>
        <v>0.057659912109375</v>
      </c>
      <c r="G26" s="41" t="n">
        <f aca="false">IF(I25&gt;0,G25,H25)</f>
        <v>0.0576622009277344</v>
      </c>
      <c r="H26" s="41" t="n">
        <f aca="false">(F26+G26)/2</f>
        <v>0.0576610565185547</v>
      </c>
      <c r="I26" s="42" t="n">
        <f aca="false">(SUMPRODUCT((1-(H26))^('7. Cash flow'!$A$7:$A$86/4)*'7. Cash flow'!$C$7:$C$86/(1+(('3. Assumptions'!$B$6+'6. The ladder'!$B$7)))^('7. Cash flow'!$A$7:$A$86/4))+SUMPRODUCT((1-(H26))^(('7. Cash flow'!$A$7:$A$86-1)/4)*(1-(1-(H26))^0.25)*'7. Cash flow'!$D$7:$D$86/(1+(('3. Assumptions'!$B$6+'6. The ladder'!$C$7)))^('7. Cash flow'!$A$7:$A$86/4))+(1-(H26))^'3. Assumptions'!$B$9*'7. Cash flow'!$D$87/(1+(('3. Assumptions'!$B$6+'6. The ladder'!$C$7)))^'3. Assumptions'!$B$9)/(1+'3. Assumptions'!$B$14)-('2. The tape'!$C$17/'3. Assumptions'!$B$4)</f>
        <v>-169.144130110741</v>
      </c>
      <c r="K26" s="41" t="n">
        <f aca="false">IF(N25&gt;0,M25,K25)</f>
        <v>0.0449111938476563</v>
      </c>
      <c r="L26" s="41" t="n">
        <f aca="false">IF(N25&gt;0,L25,M25)</f>
        <v>0.0449134826660156</v>
      </c>
      <c r="M26" s="41" t="n">
        <f aca="false">(K26+L26)/2</f>
        <v>0.0449123382568359</v>
      </c>
      <c r="N26" s="42" t="n">
        <f aca="false">(SUMPRODUCT((1-(M26))^('7. Cash flow'!$A$7:$A$86/4)*'7. Cash flow'!$C$7:$C$86/(1+(('3. Assumptions'!$B$6+'6. The ladder'!$B$8)))^('7. Cash flow'!$A$7:$A$86/4))+SUMPRODUCT((1-(M26))^(('7. Cash flow'!$A$7:$A$86-1)/4)*(1-(1-(M26))^0.25)*'7. Cash flow'!$D$7:$D$86/(1+(('3. Assumptions'!$B$6+'6. The ladder'!$C$8)))^('7. Cash flow'!$A$7:$A$86/4))+(1-(M26))^'3. Assumptions'!$B$9*'7. Cash flow'!$D$87/(1+(('3. Assumptions'!$B$6+'6. The ladder'!$C$8)))^'3. Assumptions'!$B$9)/(1+'3. Assumptions'!$B$14)-('2. The tape'!$C$17/'3. Assumptions'!$B$4)</f>
        <v>457.48554867506</v>
      </c>
      <c r="P26" s="41" t="n">
        <f aca="false">IF(S25&gt;0,R25,P25)</f>
        <v>0.0322837829589844</v>
      </c>
      <c r="Q26" s="41" t="n">
        <f aca="false">IF(S25&gt;0,Q25,R25)</f>
        <v>0.0322860717773437</v>
      </c>
      <c r="R26" s="41" t="n">
        <f aca="false">(P26+Q26)/2</f>
        <v>0.0322849273681641</v>
      </c>
      <c r="S26" s="42" t="n">
        <f aca="false">(SUMPRODUCT((1-(R26))^('7. Cash flow'!$A$7:$A$86/4)*'7. Cash flow'!$C$7:$C$86/(1+(('3. Assumptions'!$B$6+'6. The ladder'!$B$9)))^('7. Cash flow'!$A$7:$A$86/4))+SUMPRODUCT((1-(R26))^(('7. Cash flow'!$A$7:$A$86-1)/4)*(1-(1-(R26))^0.25)*'7. Cash flow'!$D$7:$D$86/(1+(('3. Assumptions'!$B$6+'6. The ladder'!$C$9)))^('7. Cash flow'!$A$7:$A$86/4))+(1-(R26))^'3. Assumptions'!$B$9*'7. Cash flow'!$D$87/(1+(('3. Assumptions'!$B$6+'6. The ladder'!$C$9)))^'3. Assumptions'!$B$9)/(1+'3. Assumptions'!$B$14)-('2. The tape'!$C$17/'3. Assumptions'!$B$4)</f>
        <v>108.041842550039</v>
      </c>
      <c r="U26" s="41" t="n">
        <f aca="false">IF(X25&gt;0,W25,U25)</f>
        <v>0.0322837829589844</v>
      </c>
      <c r="V26" s="41" t="n">
        <f aca="false">IF(X25&gt;0,V25,W25)</f>
        <v>0.0322860717773437</v>
      </c>
      <c r="W26" s="41" t="n">
        <f aca="false">(U26+V26)/2</f>
        <v>0.0322849273681641</v>
      </c>
      <c r="X26" s="42" t="n">
        <f aca="false">(SUMPRODUCT((1-(W26))^('7. Cash flow'!$A$7:$A$86/4)*'7. Cash flow'!$C$7:$C$86/(1+('3. Assumptions'!$B$28))^('7. Cash flow'!$A$7:$A$86/4))+SUMPRODUCT((1-(W26))^(('7. Cash flow'!$A$7:$A$86-1)/4)*(1-(1-(W26))^0.25)*'7. Cash flow'!$D$7:$D$86/(1+('3. Assumptions'!$B$29))^('7. Cash flow'!$A$7:$A$86/4))+(1-(W26))^'3. Assumptions'!$B$9*'7. Cash flow'!$D$87/(1+('3. Assumptions'!$B$29))^'3. Assumptions'!$B$9)/(1+'3. Assumptions'!$B$14)-('2. The tape'!$C$17/'3. Assumptions'!$B$4)</f>
        <v>108.041842550039</v>
      </c>
      <c r="Z26" s="41" t="n">
        <f aca="false">IF(AC25&gt;0,AB25,Z25)</f>
        <v>0.0036447525024414</v>
      </c>
      <c r="AA26" s="41" t="n">
        <f aca="false">IF(AC25&gt;0,AA25,AB25)</f>
        <v>0.00364608764648437</v>
      </c>
      <c r="AB26" s="41" t="n">
        <f aca="false">(Z26+AA26)/2</f>
        <v>0.00364542007446289</v>
      </c>
      <c r="AC26" s="42" t="n">
        <f aca="false">(SUMPRODUCT((1-(('3. Assumptions'!$B$21/(1-'3. Assumptions'!$B$22))))^('7. Cash flow'!$A$7:$A$86/4)*'7. Cash flow'!$C$7:$C$86/(1+('3. Assumptions'!$B$6+AB26))^('7. Cash flow'!$A$7:$A$86/4))+SUMPRODUCT((1-(('3. Assumptions'!$B$21/(1-'3. Assumptions'!$B$22))))^(('7. Cash flow'!$A$7:$A$86-1)/4)*(1-(1-(('3. Assumptions'!$B$21/(1-'3. Assumptions'!$B$22))))^0.25)*'7. Cash flow'!$D$7:$D$86/(1+('3. Assumptions'!$B$6+AB26))^('7. Cash flow'!$A$7:$A$86/4))+(1-(('3. Assumptions'!$B$21/(1-'3. Assumptions'!$B$22))))^'3. Assumptions'!$B$9*'7. Cash flow'!$D$87/(1+('3. Assumptions'!$B$6+AB26))^'3. Assumptions'!$B$9)/(1+'3. Assumptions'!$B$14)-('2. The tape'!$C$17/'3. Assumptions'!$B$4)</f>
        <v>-174.40062046051</v>
      </c>
      <c r="AE26" s="41" t="n">
        <f aca="false">IF(AH25&gt;0,AG25,AE25)</f>
        <v>0.0501033782958984</v>
      </c>
      <c r="AF26" s="41" t="n">
        <f aca="false">IF(AH25&gt;0,AF25,AG25)</f>
        <v>0.0501045227050781</v>
      </c>
      <c r="AG26" s="41" t="n">
        <f aca="false">(AE26+AF26)/2</f>
        <v>0.0501039505004883</v>
      </c>
      <c r="AH26" s="42" t="n">
        <f aca="false">(SUMPRODUCT((1-(('3. Assumptions'!$B$21/(1-'3. Assumptions'!$B$22))))^('7. Cash flow'!$A$7:$A$86/4)*'7. Cash flow'!$C$7:$C$86/(1+(AG26))^('7. Cash flow'!$A$7:$A$86/4))+SUMPRODUCT((1-(('3. Assumptions'!$B$21/(1-'3. Assumptions'!$B$22))))^(('7. Cash flow'!$A$7:$A$86-1)/4)*(1-(1-(('3. Assumptions'!$B$21/(1-'3. Assumptions'!$B$22))))^0.25)*'7. Cash flow'!$D$7:$D$86/(1+(AG26))^('7. Cash flow'!$A$7:$A$86/4))+(1-(('3. Assumptions'!$B$21/(1-'3. Assumptions'!$B$22))))^'3. Assumptions'!$B$9*'7. Cash flow'!$D$87/(1+(AG26))^'3.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-428.871149271727</v>
      </c>
      <c r="AJ26" s="41" t="n">
        <f aca="false">IF(AM25&gt;0,AL25,AJ25)</f>
        <v>-0.00180797576904297</v>
      </c>
      <c r="AK26" s="41" t="n">
        <f aca="false">IF(AM25&gt;0,AK25,AL25)</f>
        <v>-0.001806640625</v>
      </c>
      <c r="AL26" s="41" t="n">
        <f aca="false">(AJ26+AK26)/2</f>
        <v>-0.00180730819702149</v>
      </c>
      <c r="AM26" s="42" t="n">
        <f aca="false">SUMPRODUCT((1-('3. Assumptions'!$B$21/(1-'3. Assumptions'!$B$22)))^('7. Cash flow'!$A$7:$A$26/4)*('3. Assumptions'!$B$6+'3. Assumptions'!$B$21)/4/(1+'3. Assumptions'!$B$6+AL26)^('7. Cash flow'!$A$7:$A$26/4))+SUMPRODUCT((1-('3. Assumptions'!$B$21/(1-'3. Assumptions'!$B$22)))^(('7. Cash flow'!$A$7:$A$26-1)/4)*(1-(1-('3. Assumptions'!$B$21/(1-'3. Assumptions'!$B$22)))^0.25)*'3. Assumptions'!$B$22/(1+'3. Assumptions'!$B$6+AL26)^('7. Cash flow'!$A$7:$A$26/4))+(1-('3. Assumptions'!$B$21/(1-'3. Assumptions'!$B$22)))^5/(1+'3. Assumptions'!$B$6+AL26)^5-1</f>
        <v>2.00071559230963E-006</v>
      </c>
    </row>
    <row r="27" customFormat="false" ht="15" hidden="false" customHeight="false" outlineLevel="0" collapsed="false">
      <c r="A27" s="41" t="n">
        <f aca="false">IF(D26&gt;0,C26,A26)</f>
        <v>0.0702598571777344</v>
      </c>
      <c r="B27" s="41" t="n">
        <f aca="false">IF(D26&gt;0,B26,C26)</f>
        <v>0.0702610015869141</v>
      </c>
      <c r="C27" s="41" t="n">
        <f aca="false">(A27+B27)/2</f>
        <v>0.0702604293823242</v>
      </c>
      <c r="D27" s="42" t="n">
        <f aca="false">(SUMPRODUCT((1-(C27))^('7. Cash flow'!$A$7:$A$86/4)*'7. Cash flow'!$C$7:$C$86/(1+(('3. Assumptions'!$B$6+'6. The ladder'!$B$6)))^('7. Cash flow'!$A$7:$A$86/4))+SUMPRODUCT((1-(C27))^(('7. Cash flow'!$A$7:$A$86-1)/4)*(1-(1-(C27))^0.25)*'7. Cash flow'!$D$7:$D$86/(1+(('3. Assumptions'!$B$6+'6. The ladder'!$C$6)))^('7. Cash flow'!$A$7:$A$86/4))+(1-(C27))^'3. Assumptions'!$B$9*'7. Cash flow'!$D$87/(1+(('3. Assumptions'!$B$6+'6. The ladder'!$C$6)))^'3. Assumptions'!$B$9)/(1+'3. Assumptions'!$B$14)-('2. The tape'!$C$17/'3. Assumptions'!$B$4)</f>
        <v>363.193499207497</v>
      </c>
      <c r="F27" s="41" t="n">
        <f aca="false">IF(I26&gt;0,H26,F26)</f>
        <v>0.057659912109375</v>
      </c>
      <c r="G27" s="41" t="n">
        <f aca="false">IF(I26&gt;0,G26,H26)</f>
        <v>0.0576610565185547</v>
      </c>
      <c r="H27" s="41" t="n">
        <f aca="false">(F27+G27)/2</f>
        <v>0.0576604843139648</v>
      </c>
      <c r="I27" s="42" t="n">
        <f aca="false">(SUMPRODUCT((1-(H27))^('7. Cash flow'!$A$7:$A$86/4)*'7. Cash flow'!$C$7:$C$86/(1+(('3. Assumptions'!$B$6+'6. The ladder'!$B$7)))^('7. Cash flow'!$A$7:$A$86/4))+SUMPRODUCT((1-(H27))^(('7. Cash flow'!$A$7:$A$86-1)/4)*(1-(1-(H27))^0.25)*'7. Cash flow'!$D$7:$D$86/(1+(('3. Assumptions'!$B$6+'6. The ladder'!$C$7)))^('7. Cash flow'!$A$7:$A$86/4))+(1-(H27))^'3. Assumptions'!$B$9*'7. Cash flow'!$D$87/(1+(('3. Assumptions'!$B$6+'6. The ladder'!$C$7)))^'3. Assumptions'!$B$9)/(1+'3. Assumptions'!$B$14)-('2. The tape'!$C$17/'3. Assumptions'!$B$4)</f>
        <v>328.583882808685</v>
      </c>
      <c r="K27" s="41" t="n">
        <f aca="false">IF(N26&gt;0,M26,K26)</f>
        <v>0.0449123382568359</v>
      </c>
      <c r="L27" s="41" t="n">
        <f aca="false">IF(N26&gt;0,L26,M26)</f>
        <v>0.0449134826660156</v>
      </c>
      <c r="M27" s="41" t="n">
        <f aca="false">(K27+L27)/2</f>
        <v>0.0449129104614258</v>
      </c>
      <c r="N27" s="42" t="n">
        <f aca="false">(SUMPRODUCT((1-(M27))^('7. Cash flow'!$A$7:$A$86/4)*'7. Cash flow'!$C$7:$C$86/(1+(('3. Assumptions'!$B$6+'6. The ladder'!$B$8)))^('7. Cash flow'!$A$7:$A$86/4))+SUMPRODUCT((1-(M27))^(('7. Cash flow'!$A$7:$A$86-1)/4)*(1-(1-(M27))^0.25)*'7. Cash flow'!$D$7:$D$86/(1+(('3. Assumptions'!$B$6+'6. The ladder'!$C$8)))^('7. Cash flow'!$A$7:$A$86/4))+(1-(M27))^'3. Assumptions'!$B$9*'7. Cash flow'!$D$87/(1+(('3. Assumptions'!$B$6+'6. The ladder'!$C$8)))^'3. Assumptions'!$B$9)/(1+'3. Assumptions'!$B$14)-('2. The tape'!$C$17/'3. Assumptions'!$B$4)</f>
        <v>-71.9377505779266</v>
      </c>
      <c r="P27" s="41" t="n">
        <f aca="false">IF(S26&gt;0,R26,P26)</f>
        <v>0.0322849273681641</v>
      </c>
      <c r="Q27" s="41" t="n">
        <f aca="false">IF(S26&gt;0,Q26,R26)</f>
        <v>0.0322860717773437</v>
      </c>
      <c r="R27" s="41" t="n">
        <f aca="false">(P27+Q27)/2</f>
        <v>0.0322854995727539</v>
      </c>
      <c r="S27" s="42" t="n">
        <f aca="false">(SUMPRODUCT((1-(R27))^('7. Cash flow'!$A$7:$A$86/4)*'7. Cash flow'!$C$7:$C$86/(1+(('3. Assumptions'!$B$6+'6. The ladder'!$B$9)))^('7. Cash flow'!$A$7:$A$86/4))+SUMPRODUCT((1-(R27))^(('7. Cash flow'!$A$7:$A$86-1)/4)*(1-(1-(R27))^0.25)*'7. Cash flow'!$D$7:$D$86/(1+(('3. Assumptions'!$B$6+'6. The ladder'!$C$9)))^('7. Cash flow'!$A$7:$A$86/4))+(1-(R27))^'3. Assumptions'!$B$9*'7. Cash flow'!$D$87/(1+(('3. Assumptions'!$B$6+'6. The ladder'!$C$9)))^'3. Assumptions'!$B$9)/(1+'3. Assumptions'!$B$14)-('2. The tape'!$C$17/'3. Assumptions'!$B$4)</f>
        <v>-467.369926005602</v>
      </c>
      <c r="U27" s="41" t="n">
        <f aca="false">IF(X26&gt;0,W26,U26)</f>
        <v>0.0322849273681641</v>
      </c>
      <c r="V27" s="41" t="n">
        <f aca="false">IF(X26&gt;0,V26,W26)</f>
        <v>0.0322860717773437</v>
      </c>
      <c r="W27" s="41" t="n">
        <f aca="false">(U27+V27)/2</f>
        <v>0.0322854995727539</v>
      </c>
      <c r="X27" s="42" t="n">
        <f aca="false">(SUMPRODUCT((1-(W27))^('7. Cash flow'!$A$7:$A$86/4)*'7. Cash flow'!$C$7:$C$86/(1+('3. Assumptions'!$B$28))^('7. Cash flow'!$A$7:$A$86/4))+SUMPRODUCT((1-(W27))^(('7. Cash flow'!$A$7:$A$86-1)/4)*(1-(1-(W27))^0.25)*'7. Cash flow'!$D$7:$D$86/(1+('3. Assumptions'!$B$29))^('7. Cash flow'!$A$7:$A$86/4))+(1-(W27))^'3. Assumptions'!$B$9*'7. Cash flow'!$D$87/(1+('3. Assumptions'!$B$29))^'3. Assumptions'!$B$9)/(1+'3. Assumptions'!$B$14)-('2. The tape'!$C$17/'3. Assumptions'!$B$4)</f>
        <v>-467.369926005602</v>
      </c>
      <c r="Z27" s="41" t="n">
        <f aca="false">IF(AC26&gt;0,AB26,Z26)</f>
        <v>0.0036447525024414</v>
      </c>
      <c r="AA27" s="41" t="n">
        <f aca="false">IF(AC26&gt;0,AA26,AB26)</f>
        <v>0.00364542007446289</v>
      </c>
      <c r="AB27" s="41" t="n">
        <f aca="false">(Z27+AA27)/2</f>
        <v>0.00364508628845215</v>
      </c>
      <c r="AC27" s="42" t="n">
        <f aca="false">(SUMPRODUCT((1-(('3. Assumptions'!$B$21/(1-'3. Assumptions'!$B$22))))^('7. Cash flow'!$A$7:$A$86/4)*'7. Cash flow'!$C$7:$C$86/(1+('3. Assumptions'!$B$6+AB27))^('7. Cash flow'!$A$7:$A$86/4))+SUMPRODUCT((1-(('3. Assumptions'!$B$21/(1-'3. Assumptions'!$B$22))))^(('7. Cash flow'!$A$7:$A$86-1)/4)*(1-(1-(('3. Assumptions'!$B$21/(1-'3. Assumptions'!$B$22))))^0.25)*'7. Cash flow'!$D$7:$D$86/(1+('3. Assumptions'!$B$6+AB27))^('7. Cash flow'!$A$7:$A$86/4))+(1-(('3. Assumptions'!$B$21/(1-'3. Assumptions'!$B$22))))^'3. Assumptions'!$B$9*'7. Cash flow'!$D$87/(1+('3. Assumptions'!$B$6+AB27))^'3. Assumptions'!$B$9)/(1+'3. Assumptions'!$B$14)-('2. The tape'!$C$17/'3. Assumptions'!$B$4)</f>
        <v>318.733915835619</v>
      </c>
      <c r="AE27" s="41" t="n">
        <f aca="false">IF(AH26&gt;0,AG26,AE26)</f>
        <v>0.0501033782958984</v>
      </c>
      <c r="AF27" s="41" t="n">
        <f aca="false">IF(AH26&gt;0,AF26,AG26)</f>
        <v>0.0501039505004883</v>
      </c>
      <c r="AG27" s="41" t="n">
        <f aca="false">(AE27+AF27)/2</f>
        <v>0.0501036643981934</v>
      </c>
      <c r="AH27" s="42" t="n">
        <f aca="false">(SUMPRODUCT((1-(('3. Assumptions'!$B$21/(1-'3. Assumptions'!$B$22))))^('7. Cash flow'!$A$7:$A$86/4)*'7. Cash flow'!$C$7:$C$86/(1+(AG27))^('7. Cash flow'!$A$7:$A$86/4))+SUMPRODUCT((1-(('3. Assumptions'!$B$21/(1-'3. Assumptions'!$B$22))))^(('7. Cash flow'!$A$7:$A$86-1)/4)*(1-(1-(('3. Assumptions'!$B$21/(1-'3. Assumptions'!$B$22))))^0.25)*'7. Cash flow'!$D$7:$D$86/(1+(AG27))^('7. Cash flow'!$A$7:$A$86/4))+(1-(('3. Assumptions'!$B$21/(1-'3. Assumptions'!$B$22))))^'3. Assumptions'!$B$9*'7. Cash flow'!$D$87/(1+(AG27))^'3.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-105.701213032007</v>
      </c>
      <c r="AJ27" s="41" t="n">
        <f aca="false">IF(AM26&gt;0,AL26,AJ26)</f>
        <v>-0.00180730819702149</v>
      </c>
      <c r="AK27" s="41" t="n">
        <f aca="false">IF(AM26&gt;0,AK26,AL26)</f>
        <v>-0.001806640625</v>
      </c>
      <c r="AL27" s="41" t="n">
        <f aca="false">(AJ27+AK27)/2</f>
        <v>-0.00180697441101074</v>
      </c>
      <c r="AM27" s="42" t="n">
        <f aca="false">SUMPRODUCT((1-('3. Assumptions'!$B$21/(1-'3. Assumptions'!$B$22)))^('7. Cash flow'!$A$7:$A$26/4)*('3. Assumptions'!$B$6+'3. Assumptions'!$B$21)/4/(1+'3. Assumptions'!$B$6+AL27)^('7. Cash flow'!$A$7:$A$26/4))+SUMPRODUCT((1-('3. Assumptions'!$B$21/(1-'3. Assumptions'!$B$22)))^(('7. Cash flow'!$A$7:$A$26-1)/4)*(1-(1-('3. Assumptions'!$B$21/(1-'3. Assumptions'!$B$22)))^0.25)*'3. Assumptions'!$B$22/(1+'3. Assumptions'!$B$6+AL27)^('7. Cash flow'!$A$7:$A$26/4))+(1-('3. Assumptions'!$B$21/(1-'3. Assumptions'!$B$22)))^5/(1+'3. Assumptions'!$B$6+AL27)^5-1</f>
        <v>6.74348771934064E-007</v>
      </c>
    </row>
    <row r="28" customFormat="false" ht="15" hidden="false" customHeight="false" outlineLevel="0" collapsed="false">
      <c r="A28" s="41" t="n">
        <f aca="false">IF(D27&gt;0,C27,A27)</f>
        <v>0.0702604293823242</v>
      </c>
      <c r="B28" s="41" t="n">
        <f aca="false">IF(D27&gt;0,B27,C27)</f>
        <v>0.0702610015869141</v>
      </c>
      <c r="C28" s="41" t="n">
        <f aca="false">(A28+B28)/2</f>
        <v>0.0702607154846191</v>
      </c>
      <c r="D28" s="42" t="n">
        <f aca="false">(SUMPRODUCT((1-(C28))^('7. Cash flow'!$A$7:$A$86/4)*'7. Cash flow'!$C$7:$C$86/(1+(('3. Assumptions'!$B$6+'6. The ladder'!$B$6)))^('7. Cash flow'!$A$7:$A$86/4))+SUMPRODUCT((1-(C28))^(('7. Cash flow'!$A$7:$A$86-1)/4)*(1-(1-(C28))^0.25)*'7. Cash flow'!$D$7:$D$86/(1+(('3. Assumptions'!$B$6+'6. The ladder'!$C$6)))^('7. Cash flow'!$A$7:$A$86/4))+(1-(C28))^'3. Assumptions'!$B$9*'7. Cash flow'!$D$87/(1+(('3. Assumptions'!$B$6+'6. The ladder'!$C$6)))^'3. Assumptions'!$B$9)/(1+'3. Assumptions'!$B$14)-('2. The tape'!$C$17/'3. Assumptions'!$B$4)</f>
        <v>113.421883791685</v>
      </c>
      <c r="F28" s="41" t="n">
        <f aca="false">IF(I27&gt;0,H27,F27)</f>
        <v>0.0576604843139648</v>
      </c>
      <c r="G28" s="41" t="n">
        <f aca="false">IF(I27&gt;0,G27,H27)</f>
        <v>0.0576610565185547</v>
      </c>
      <c r="H28" s="41" t="n">
        <f aca="false">(F28+G28)/2</f>
        <v>0.0576607704162598</v>
      </c>
      <c r="I28" s="42" t="n">
        <f aca="false">(SUMPRODUCT((1-(H28))^('7. Cash flow'!$A$7:$A$86/4)*'7. Cash flow'!$C$7:$C$86/(1+(('3. Assumptions'!$B$6+'6. The ladder'!$B$7)))^('7. Cash flow'!$A$7:$A$86/4))+SUMPRODUCT((1-(H28))^(('7. Cash flow'!$A$7:$A$86-1)/4)*(1-(1-(H28))^0.25)*'7. Cash flow'!$D$7:$D$86/(1+(('3. Assumptions'!$B$6+'6. The ladder'!$C$7)))^('7. Cash flow'!$A$7:$A$86/4))+(1-(H28))^'3. Assumptions'!$B$9*'7. Cash flow'!$D$87/(1+(('3. Assumptions'!$B$6+'6. The ladder'!$C$7)))^'3. Assumptions'!$B$9)/(1+'3. Assumptions'!$B$14)-('2. The tape'!$C$17/'3. Assumptions'!$B$4)</f>
        <v>79.7194470763207</v>
      </c>
      <c r="K28" s="41" t="n">
        <f aca="false">IF(N27&gt;0,M27,K27)</f>
        <v>0.0449123382568359</v>
      </c>
      <c r="L28" s="41" t="n">
        <f aca="false">IF(N27&gt;0,L27,M27)</f>
        <v>0.0449129104614258</v>
      </c>
      <c r="M28" s="41" t="n">
        <f aca="false">(K28+L28)/2</f>
        <v>0.0449126243591309</v>
      </c>
      <c r="N28" s="42" t="n">
        <f aca="false">(SUMPRODUCT((1-(M28))^('7. Cash flow'!$A$7:$A$86/4)*'7. Cash flow'!$C$7:$C$86/(1+(('3. Assumptions'!$B$6+'6. The ladder'!$B$8)))^('7. Cash flow'!$A$7:$A$86/4))+SUMPRODUCT((1-(M28))^(('7. Cash flow'!$A$7:$A$86-1)/4)*(1-(1-(M28))^0.25)*'7. Cash flow'!$D$7:$D$86/(1+(('3. Assumptions'!$B$6+'6. The ladder'!$C$8)))^('7. Cash flow'!$A$7:$A$86/4))+(1-(M28))^'3. Assumptions'!$B$9*'7. Cash flow'!$D$87/(1+(('3. Assumptions'!$B$6+'6. The ladder'!$C$8)))^'3. Assumptions'!$B$9)/(1+'3. Assumptions'!$B$14)-('2. The tape'!$C$17/'3. Assumptions'!$B$4)</f>
        <v>192.773433446884</v>
      </c>
      <c r="P28" s="41" t="n">
        <f aca="false">IF(S27&gt;0,R27,P27)</f>
        <v>0.0322849273681641</v>
      </c>
      <c r="Q28" s="41" t="n">
        <f aca="false">IF(S27&gt;0,Q27,R27)</f>
        <v>0.0322854995727539</v>
      </c>
      <c r="R28" s="41" t="n">
        <f aca="false">(P28+Q28)/2</f>
        <v>0.032285213470459</v>
      </c>
      <c r="S28" s="42" t="n">
        <f aca="false">(SUMPRODUCT((1-(R28))^('7. Cash flow'!$A$7:$A$86/4)*'7. Cash flow'!$C$7:$C$86/(1+(('3. Assumptions'!$B$6+'6. The ladder'!$B$9)))^('7. Cash flow'!$A$7:$A$86/4))+SUMPRODUCT((1-(R28))^(('7. Cash flow'!$A$7:$A$86-1)/4)*(1-(1-(R28))^0.25)*'7. Cash flow'!$D$7:$D$86/(1+(('3. Assumptions'!$B$6+'6. The ladder'!$C$9)))^('7. Cash flow'!$A$7:$A$86/4))+(1-(R28))^'3. Assumptions'!$B$9*'7. Cash flow'!$D$87/(1+(('3. Assumptions'!$B$6+'6. The ladder'!$C$9)))^'3. Assumptions'!$B$9)/(1+'3. Assumptions'!$B$14)-('2. The tape'!$C$17/'3. Assumptions'!$B$4)</f>
        <v>-179.664559394121</v>
      </c>
      <c r="U28" s="41" t="n">
        <f aca="false">IF(X27&gt;0,W27,U27)</f>
        <v>0.0322849273681641</v>
      </c>
      <c r="V28" s="41" t="n">
        <f aca="false">IF(X27&gt;0,V27,W27)</f>
        <v>0.0322854995727539</v>
      </c>
      <c r="W28" s="41" t="n">
        <f aca="false">(U28+V28)/2</f>
        <v>0.032285213470459</v>
      </c>
      <c r="X28" s="42" t="n">
        <f aca="false">(SUMPRODUCT((1-(W28))^('7. Cash flow'!$A$7:$A$86/4)*'7. Cash flow'!$C$7:$C$86/(1+('3. Assumptions'!$B$28))^('7. Cash flow'!$A$7:$A$86/4))+SUMPRODUCT((1-(W28))^(('7. Cash flow'!$A$7:$A$86-1)/4)*(1-(1-(W28))^0.25)*'7. Cash flow'!$D$7:$D$86/(1+('3. Assumptions'!$B$29))^('7. Cash flow'!$A$7:$A$86/4))+(1-(W28))^'3. Assumptions'!$B$9*'7. Cash flow'!$D$87/(1+('3. Assumptions'!$B$29))^'3. Assumptions'!$B$9)/(1+'3. Assumptions'!$B$14)-('2. The tape'!$C$17/'3. Assumptions'!$B$4)</f>
        <v>-179.664559394121</v>
      </c>
      <c r="Z28" s="41" t="n">
        <f aca="false">IF(AC27&gt;0,AB27,Z27)</f>
        <v>0.00364508628845215</v>
      </c>
      <c r="AA28" s="41" t="n">
        <f aca="false">IF(AC27&gt;0,AA27,AB27)</f>
        <v>0.00364542007446289</v>
      </c>
      <c r="AB28" s="41" t="n">
        <f aca="false">(Z28+AA28)/2</f>
        <v>0.00364525318145752</v>
      </c>
      <c r="AC28" s="42" t="n">
        <f aca="false">(SUMPRODUCT((1-(('3. Assumptions'!$B$21/(1-'3. Assumptions'!$B$22))))^('7. Cash flow'!$A$7:$A$86/4)*'7. Cash flow'!$C$7:$C$86/(1+('3. Assumptions'!$B$6+AB28))^('7. Cash flow'!$A$7:$A$86/4))+SUMPRODUCT((1-(('3. Assumptions'!$B$21/(1-'3. Assumptions'!$B$22))))^(('7. Cash flow'!$A$7:$A$86-1)/4)*(1-(1-(('3. Assumptions'!$B$21/(1-'3. Assumptions'!$B$22))))^0.25)*'7. Cash flow'!$D$7:$D$86/(1+('3. Assumptions'!$B$6+AB28))^('7. Cash flow'!$A$7:$A$86/4))+(1-(('3. Assumptions'!$B$21/(1-'3. Assumptions'!$B$22))))^'3. Assumptions'!$B$9*'7. Cash flow'!$D$87/(1+('3. Assumptions'!$B$6+AB28))^'3. Assumptions'!$B$9)/(1+'3. Assumptions'!$B$14)-('2. The tape'!$C$17/'3. Assumptions'!$B$4)</f>
        <v>72.166368663311</v>
      </c>
      <c r="AE28" s="41" t="n">
        <f aca="false">IF(AH27&gt;0,AG27,AE27)</f>
        <v>0.0501033782958984</v>
      </c>
      <c r="AF28" s="41" t="n">
        <f aca="false">IF(AH27&gt;0,AF27,AG27)</f>
        <v>0.0501036643981934</v>
      </c>
      <c r="AG28" s="41" t="n">
        <f aca="false">(AE28+AF28)/2</f>
        <v>0.0501035213470459</v>
      </c>
      <c r="AH28" s="42" t="n">
        <f aca="false">(SUMPRODUCT((1-(('3. Assumptions'!$B$21/(1-'3. Assumptions'!$B$22))))^('7. Cash flow'!$A$7:$A$86/4)*'7. Cash flow'!$C$7:$C$86/(1+(AG28))^('7. Cash flow'!$A$7:$A$86/4))+SUMPRODUCT((1-(('3. Assumptions'!$B$21/(1-'3. Assumptions'!$B$22))))^(('7. Cash flow'!$A$7:$A$86-1)/4)*(1-(1-(('3. Assumptions'!$B$21/(1-'3. Assumptions'!$B$22))))^0.25)*'7. Cash flow'!$D$7:$D$86/(1+(AG28))^('7. Cash flow'!$A$7:$A$86/4))+(1-(('3. Assumptions'!$B$21/(1-'3. Assumptions'!$B$22))))^'3. Assumptions'!$B$9*'7. Cash flow'!$D$87/(1+(AG28))^'3.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55.8841948509216</v>
      </c>
      <c r="AJ28" s="41" t="n">
        <f aca="false">IF(AM27&gt;0,AL27,AJ27)</f>
        <v>-0.00180697441101074</v>
      </c>
      <c r="AK28" s="41" t="n">
        <f aca="false">IF(AM27&gt;0,AK27,AL27)</f>
        <v>-0.001806640625</v>
      </c>
      <c r="AL28" s="41" t="n">
        <f aca="false">(AJ28+AK28)/2</f>
        <v>-0.00180680751800537</v>
      </c>
      <c r="AM28" s="42" t="n">
        <f aca="false">SUMPRODUCT((1-('3. Assumptions'!$B$21/(1-'3. Assumptions'!$B$22)))^('7. Cash flow'!$A$7:$A$26/4)*('3. Assumptions'!$B$6+'3. Assumptions'!$B$21)/4/(1+'3. Assumptions'!$B$6+AL28)^('7. Cash flow'!$A$7:$A$26/4))+SUMPRODUCT((1-('3. Assumptions'!$B$21/(1-'3. Assumptions'!$B$22)))^(('7. Cash flow'!$A$7:$A$26-1)/4)*(1-(1-('3. Assumptions'!$B$21/(1-'3. Assumptions'!$B$22)))^0.25)*'3. Assumptions'!$B$22/(1+'3. Assumptions'!$B$6+AL28)^('7. Cash flow'!$A$7:$A$26/4))+(1-('3. Assumptions'!$B$21/(1-'3. Assumptions'!$B$22)))^5/(1+'3. Assumptions'!$B$6+AL28)^5-1</f>
        <v>1.11662739055163E-008</v>
      </c>
    </row>
    <row r="29" customFormat="false" ht="15" hidden="false" customHeight="false" outlineLevel="0" collapsed="false">
      <c r="A29" s="41" t="n">
        <f aca="false">IF(D28&gt;0,C28,A28)</f>
        <v>0.0702607154846191</v>
      </c>
      <c r="B29" s="41" t="n">
        <f aca="false">IF(D28&gt;0,B28,C28)</f>
        <v>0.0702610015869141</v>
      </c>
      <c r="C29" s="41" t="n">
        <f aca="false">(A29+B29)/2</f>
        <v>0.0702608585357666</v>
      </c>
      <c r="D29" s="42" t="n">
        <f aca="false">(SUMPRODUCT((1-(C29))^('7. Cash flow'!$A$7:$A$86/4)*'7. Cash flow'!$C$7:$C$86/(1+(('3. Assumptions'!$B$6+'6. The ladder'!$B$6)))^('7. Cash flow'!$A$7:$A$86/4))+SUMPRODUCT((1-(C29))^(('7. Cash flow'!$A$7:$A$86-1)/4)*(1-(1-(C29))^0.25)*'7. Cash flow'!$D$7:$D$86/(1+(('3. Assumptions'!$B$6+'6. The ladder'!$C$6)))^('7. Cash flow'!$A$7:$A$86/4))+(1-(C29))^'3. Assumptions'!$B$9*'7. Cash flow'!$D$87/(1+(('3. Assumptions'!$B$6+'6. The ladder'!$C$6)))^'3. Assumptions'!$B$9)/(1+'3. Assumptions'!$B$14)-('2. The tape'!$C$17/'3. Assumptions'!$B$4)</f>
        <v>-11.4636005759239</v>
      </c>
      <c r="F29" s="41" t="n">
        <f aca="false">IF(I28&gt;0,H28,F28)</f>
        <v>0.0576607704162598</v>
      </c>
      <c r="G29" s="41" t="n">
        <f aca="false">IF(I28&gt;0,G28,H28)</f>
        <v>0.0576610565185547</v>
      </c>
      <c r="H29" s="41" t="n">
        <f aca="false">(F29+G29)/2</f>
        <v>0.0576609134674072</v>
      </c>
      <c r="I29" s="42" t="n">
        <f aca="false">(SUMPRODUCT((1-(H29))^('7. Cash flow'!$A$7:$A$86/4)*'7. Cash flow'!$C$7:$C$86/(1+(('3. Assumptions'!$B$6+'6. The ladder'!$B$7)))^('7. Cash flow'!$A$7:$A$86/4))+SUMPRODUCT((1-(H29))^(('7. Cash flow'!$A$7:$A$86-1)/4)*(1-(1-(H29))^0.25)*'7. Cash flow'!$D$7:$D$86/(1+(('3. Assumptions'!$B$6+'6. The ladder'!$C$7)))^('7. Cash flow'!$A$7:$A$86/4))+(1-(H29))^'3. Assumptions'!$B$9*'7. Cash flow'!$D$87/(1+(('3. Assumptions'!$B$6+'6. The ladder'!$C$7)))^'3. Assumptions'!$B$9)/(1+'3. Assumptions'!$B$14)-('2. The tape'!$C$17/'3. Assumptions'!$B$4)</f>
        <v>-44.7124488353729</v>
      </c>
      <c r="K29" s="41" t="n">
        <f aca="false">IF(N28&gt;0,M28,K28)</f>
        <v>0.0449126243591309</v>
      </c>
      <c r="L29" s="41" t="n">
        <f aca="false">IF(N28&gt;0,L28,M28)</f>
        <v>0.0449129104614258</v>
      </c>
      <c r="M29" s="41" t="n">
        <f aca="false">(K29+L29)/2</f>
        <v>0.0449127674102783</v>
      </c>
      <c r="N29" s="42" t="n">
        <f aca="false">(SUMPRODUCT((1-(M29))^('7. Cash flow'!$A$7:$A$86/4)*'7. Cash flow'!$C$7:$C$86/(1+(('3. Assumptions'!$B$6+'6. The ladder'!$B$8)))^('7. Cash flow'!$A$7:$A$86/4))+SUMPRODUCT((1-(M29))^(('7. Cash flow'!$A$7:$A$86-1)/4)*(1-(1-(M29))^0.25)*'7. Cash flow'!$D$7:$D$86/(1+(('3. Assumptions'!$B$6+'6. The ladder'!$C$8)))^('7. Cash flow'!$A$7:$A$86/4))+(1-(M29))^'3. Assumptions'!$B$9*'7. Cash flow'!$D$87/(1+(('3. Assumptions'!$B$6+'6. The ladder'!$C$8)))^'3. Assumptions'!$B$9)/(1+'3. Assumptions'!$B$14)-('2. The tape'!$C$17/'3. Assumptions'!$B$4)</f>
        <v>60.4177251756191</v>
      </c>
      <c r="P29" s="41" t="n">
        <f aca="false">IF(S28&gt;0,R28,P28)</f>
        <v>0.0322849273681641</v>
      </c>
      <c r="Q29" s="41" t="n">
        <f aca="false">IF(S28&gt;0,Q28,R28)</f>
        <v>0.032285213470459</v>
      </c>
      <c r="R29" s="41" t="n">
        <f aca="false">(P29+Q29)/2</f>
        <v>0.0322850704193115</v>
      </c>
      <c r="S29" s="42" t="n">
        <f aca="false">(SUMPRODUCT((1-(R29))^('7. Cash flow'!$A$7:$A$86/4)*'7. Cash flow'!$C$7:$C$86/(1+(('3. Assumptions'!$B$6+'6. The ladder'!$B$9)))^('7. Cash flow'!$A$7:$A$86/4))+SUMPRODUCT((1-(R29))^(('7. Cash flow'!$A$7:$A$86-1)/4)*(1-(1-(R29))^0.25)*'7. Cash flow'!$D$7:$D$86/(1+(('3. Assumptions'!$B$6+'6. The ladder'!$C$9)))^('7. Cash flow'!$A$7:$A$86/4))+(1-(R29))^'3. Assumptions'!$B$9*'7. Cash flow'!$D$87/(1+(('3. Assumptions'!$B$6+'6. The ladder'!$C$9)))^'3. Assumptions'!$B$9)/(1+'3. Assumptions'!$B$14)-('2. The tape'!$C$17/'3. Assumptions'!$B$4)</f>
        <v>-35.8114877641201</v>
      </c>
      <c r="U29" s="41" t="n">
        <f aca="false">IF(X28&gt;0,W28,U28)</f>
        <v>0.0322849273681641</v>
      </c>
      <c r="V29" s="41" t="n">
        <f aca="false">IF(X28&gt;0,V28,W28)</f>
        <v>0.032285213470459</v>
      </c>
      <c r="W29" s="41" t="n">
        <f aca="false">(U29+V29)/2</f>
        <v>0.0322850704193115</v>
      </c>
      <c r="X29" s="42" t="n">
        <f aca="false">(SUMPRODUCT((1-(W29))^('7. Cash flow'!$A$7:$A$86/4)*'7. Cash flow'!$C$7:$C$86/(1+('3. Assumptions'!$B$28))^('7. Cash flow'!$A$7:$A$86/4))+SUMPRODUCT((1-(W29))^(('7. Cash flow'!$A$7:$A$86-1)/4)*(1-(1-(W29))^0.25)*'7. Cash flow'!$D$7:$D$86/(1+('3. Assumptions'!$B$29))^('7. Cash flow'!$A$7:$A$86/4))+(1-(W29))^'3. Assumptions'!$B$9*'7. Cash flow'!$D$87/(1+('3. Assumptions'!$B$29))^'3. Assumptions'!$B$9)/(1+'3. Assumptions'!$B$14)-('2. The tape'!$C$17/'3. Assumptions'!$B$4)</f>
        <v>-35.8114877641201</v>
      </c>
      <c r="Z29" s="41" t="n">
        <f aca="false">IF(AC28&gt;0,AB28,Z28)</f>
        <v>0.00364525318145752</v>
      </c>
      <c r="AA29" s="41" t="n">
        <f aca="false">IF(AC28&gt;0,AA28,AB28)</f>
        <v>0.00364542007446289</v>
      </c>
      <c r="AB29" s="41" t="n">
        <f aca="false">(Z29+AA29)/2</f>
        <v>0.0036453366279602</v>
      </c>
      <c r="AC29" s="42" t="n">
        <f aca="false">(SUMPRODUCT((1-(('3. Assumptions'!$B$21/(1-'3. Assumptions'!$B$22))))^('7. Cash flow'!$A$7:$A$86/4)*'7. Cash flow'!$C$7:$C$86/(1+('3. Assumptions'!$B$6+AB29))^('7. Cash flow'!$A$7:$A$86/4))+SUMPRODUCT((1-(('3. Assumptions'!$B$21/(1-'3. Assumptions'!$B$22))))^(('7. Cash flow'!$A$7:$A$86-1)/4)*(1-(1-(('3. Assumptions'!$B$21/(1-'3. Assumptions'!$B$22))))^0.25)*'7. Cash flow'!$D$7:$D$86/(1+('3. Assumptions'!$B$6+AB29))^('7. Cash flow'!$A$7:$A$86/4))+(1-(('3. Assumptions'!$B$21/(1-'3. Assumptions'!$B$22))))^'3. Assumptions'!$B$9*'7. Cash flow'!$D$87/(1+('3. Assumptions'!$B$6+AB29))^'3. Assumptions'!$B$9)/(1+'3. Assumptions'!$B$14)-('2. The tape'!$C$17/'3. Assumptions'!$B$4)</f>
        <v>-51.1171955168247</v>
      </c>
      <c r="AE29" s="41" t="n">
        <f aca="false">IF(AH28&gt;0,AG28,AE28)</f>
        <v>0.0501035213470459</v>
      </c>
      <c r="AF29" s="41" t="n">
        <f aca="false">IF(AH28&gt;0,AF28,AG28)</f>
        <v>0.0501036643981934</v>
      </c>
      <c r="AG29" s="41" t="n">
        <f aca="false">(AE29+AF29)/2</f>
        <v>0.0501035928726196</v>
      </c>
      <c r="AH29" s="42" t="n">
        <f aca="false">(SUMPRODUCT((1-(('3. Assumptions'!$B$21/(1-'3. Assumptions'!$B$22))))^('7. Cash flow'!$A$7:$A$86/4)*'7. Cash flow'!$C$7:$C$86/(1+(AG29))^('7. Cash flow'!$A$7:$A$86/4))+SUMPRODUCT((1-(('3. Assumptions'!$B$21/(1-'3. Assumptions'!$B$22))))^(('7. Cash flow'!$A$7:$A$86-1)/4)*(1-(1-(('3. Assumptions'!$B$21/(1-'3. Assumptions'!$B$22))))^0.25)*'7. Cash flow'!$D$7:$D$86/(1+(AG29))^('7. Cash flow'!$A$7:$A$86/4))+(1-(('3. Assumptions'!$B$21/(1-'3. Assumptions'!$B$22))))^'3. Assumptions'!$B$9*'7. Cash flow'!$D$87/(1+(AG29))^'3.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-24.9085457921028</v>
      </c>
      <c r="AJ29" s="41" t="n">
        <f aca="false">IF(AM28&gt;0,AL28,AJ28)</f>
        <v>-0.00180680751800537</v>
      </c>
      <c r="AK29" s="41" t="n">
        <f aca="false">IF(AM28&gt;0,AK28,AL28)</f>
        <v>-0.001806640625</v>
      </c>
      <c r="AL29" s="41" t="n">
        <f aca="false">(AJ29+AK29)/2</f>
        <v>-0.00180672407150269</v>
      </c>
      <c r="AM29" s="42" t="n">
        <f aca="false">SUMPRODUCT((1-('3. Assumptions'!$B$21/(1-'3. Assumptions'!$B$22)))^('7. Cash flow'!$A$7:$A$26/4)*('3. Assumptions'!$B$6+'3. Assumptions'!$B$21)/4/(1+'3. Assumptions'!$B$6+AL29)^('7. Cash flow'!$A$7:$A$26/4))+SUMPRODUCT((1-('3. Assumptions'!$B$21/(1-'3. Assumptions'!$B$22)))^(('7. Cash flow'!$A$7:$A$26-1)/4)*(1-(1-('3. Assumptions'!$B$21/(1-'3. Assumptions'!$B$22)))^0.25)*'3. Assumptions'!$B$22/(1+'3. Assumptions'!$B$6+AL29)^('7. Cash flow'!$A$7:$A$26/4))+(1-('3. Assumptions'!$B$21/(1-'3. Assumptions'!$B$22)))^5/(1+'3. Assumptions'!$B$6+AL29)^5-1</f>
        <v>-3.20424746846904E-007</v>
      </c>
    </row>
    <row r="30" customFormat="false" ht="15" hidden="false" customHeight="false" outlineLevel="0" collapsed="false">
      <c r="A30" s="41" t="n">
        <f aca="false">IF(D29&gt;0,C29,A29)</f>
        <v>0.0702607154846191</v>
      </c>
      <c r="B30" s="41" t="n">
        <f aca="false">IF(D29&gt;0,B29,C29)</f>
        <v>0.0702608585357666</v>
      </c>
      <c r="C30" s="41" t="n">
        <f aca="false">(A30+B30)/2</f>
        <v>0.0702607870101929</v>
      </c>
      <c r="D30" s="42" t="n">
        <f aca="false">(SUMPRODUCT((1-(C30))^('7. Cash flow'!$A$7:$A$86/4)*'7. Cash flow'!$C$7:$C$86/(1+(('3. Assumptions'!$B$6+'6. The ladder'!$B$6)))^('7. Cash flow'!$A$7:$A$86/4))+SUMPRODUCT((1-(C30))^(('7. Cash flow'!$A$7:$A$86-1)/4)*(1-(1-(C30))^0.25)*'7. Cash flow'!$D$7:$D$86/(1+(('3. Assumptions'!$B$6+'6. The ladder'!$C$6)))^('7. Cash flow'!$A$7:$A$86/4))+(1-(C30))^'3. Assumptions'!$B$9*'7. Cash flow'!$D$87/(1+(('3. Assumptions'!$B$6+'6. The ladder'!$C$6)))^'3. Assumptions'!$B$9)/(1+'3. Assumptions'!$B$14)-('2. The tape'!$C$17/'3. Assumptions'!$B$4)</f>
        <v>50.9791148602963</v>
      </c>
      <c r="F30" s="41" t="n">
        <f aca="false">IF(I29&gt;0,H29,F29)</f>
        <v>0.0576607704162598</v>
      </c>
      <c r="G30" s="41" t="n">
        <f aca="false">IF(I29&gt;0,G29,H29)</f>
        <v>0.0576609134674072</v>
      </c>
      <c r="H30" s="41" t="n">
        <f aca="false">(F30+G30)/2</f>
        <v>0.0576608419418335</v>
      </c>
      <c r="I30" s="42" t="n">
        <f aca="false">(SUMPRODUCT((1-(H30))^('7. Cash flow'!$A$7:$A$86/4)*'7. Cash flow'!$C$7:$C$86/(1+(('3. Assumptions'!$B$6+'6. The ladder'!$B$7)))^('7. Cash flow'!$A$7:$A$86/4))+SUMPRODUCT((1-(H30))^(('7. Cash flow'!$A$7:$A$86-1)/4)*(1-(1-(H30))^0.25)*'7. Cash flow'!$D$7:$D$86/(1+(('3. Assumptions'!$B$6+'6. The ladder'!$C$7)))^('7. Cash flow'!$A$7:$A$86/4))+(1-(H30))^'3. Assumptions'!$B$9*'7. Cash flow'!$D$87/(1+(('3. Assumptions'!$B$6+'6. The ladder'!$C$7)))^'3. Assumptions'!$B$9)/(1+'3. Assumptions'!$B$14)-('2. The tape'!$C$17/'3. Assumptions'!$B$4)</f>
        <v>17.5034719407558</v>
      </c>
      <c r="K30" s="41" t="n">
        <f aca="false">IF(N29&gt;0,M29,K29)</f>
        <v>0.0449127674102783</v>
      </c>
      <c r="L30" s="41" t="n">
        <f aca="false">IF(N29&gt;0,L29,M29)</f>
        <v>0.0449129104614258</v>
      </c>
      <c r="M30" s="41" t="n">
        <f aca="false">(K30+L30)/2</f>
        <v>0.0449128389358521</v>
      </c>
      <c r="N30" s="42" t="n">
        <f aca="false">(SUMPRODUCT((1-(M30))^('7. Cash flow'!$A$7:$A$86/4)*'7. Cash flow'!$C$7:$C$86/(1+(('3. Assumptions'!$B$6+'6. The ladder'!$B$8)))^('7. Cash flow'!$A$7:$A$86/4))+SUMPRODUCT((1-(M30))^(('7. Cash flow'!$A$7:$A$86-1)/4)*(1-(1-(M30))^0.25)*'7. Cash flow'!$D$7:$D$86/(1+(('3. Assumptions'!$B$6+'6. The ladder'!$C$8)))^('7. Cash flow'!$A$7:$A$86/4))+(1-(M30))^'3. Assumptions'!$B$9*'7. Cash flow'!$D$87/(1+(('3. Assumptions'!$B$6+'6. The ladder'!$C$8)))^'3. Assumptions'!$B$9)/(1+'3. Assumptions'!$B$14)-('2. The tape'!$C$17/'3. Assumptions'!$B$4)</f>
        <v>-5.76004180312157</v>
      </c>
      <c r="P30" s="41" t="n">
        <f aca="false">IF(S29&gt;0,R29,P29)</f>
        <v>0.0322849273681641</v>
      </c>
      <c r="Q30" s="41" t="n">
        <f aca="false">IF(S29&gt;0,Q29,R29)</f>
        <v>0.0322850704193115</v>
      </c>
      <c r="R30" s="41" t="n">
        <f aca="false">(P30+Q30)/2</f>
        <v>0.0322849988937378</v>
      </c>
      <c r="S30" s="42" t="n">
        <f aca="false">(SUMPRODUCT((1-(R30))^('7. Cash flow'!$A$7:$A$86/4)*'7. Cash flow'!$C$7:$C$86/(1+(('3. Assumptions'!$B$6+'6. The ladder'!$B$9)))^('7. Cash flow'!$A$7:$A$86/4))+SUMPRODUCT((1-(R30))^(('7. Cash flow'!$A$7:$A$86-1)/4)*(1-(1-(R30))^0.25)*'7. Cash flow'!$D$7:$D$86/(1+(('3. Assumptions'!$B$6+'6. The ladder'!$C$9)))^('7. Cash flow'!$A$7:$A$86/4))+(1-(R30))^'3. Assumptions'!$B$9*'7. Cash flow'!$D$87/(1+(('3. Assumptions'!$B$6+'6. The ladder'!$C$9)))^'3. Assumptions'!$B$9)/(1+'3. Assumptions'!$B$14)-('2. The tape'!$C$17/'3. Assumptions'!$B$4)</f>
        <v>36.1151448488236</v>
      </c>
      <c r="U30" s="41" t="n">
        <f aca="false">IF(X29&gt;0,W29,U29)</f>
        <v>0.0322849273681641</v>
      </c>
      <c r="V30" s="41" t="n">
        <f aca="false">IF(X29&gt;0,V29,W29)</f>
        <v>0.0322850704193115</v>
      </c>
      <c r="W30" s="41" t="n">
        <f aca="false">(U30+V30)/2</f>
        <v>0.0322849988937378</v>
      </c>
      <c r="X30" s="42" t="n">
        <f aca="false">(SUMPRODUCT((1-(W30))^('7. Cash flow'!$A$7:$A$86/4)*'7. Cash flow'!$C$7:$C$86/(1+('3. Assumptions'!$B$28))^('7. Cash flow'!$A$7:$A$86/4))+SUMPRODUCT((1-(W30))^(('7. Cash flow'!$A$7:$A$86-1)/4)*(1-(1-(W30))^0.25)*'7. Cash flow'!$D$7:$D$86/(1+('3. Assumptions'!$B$29))^('7. Cash flow'!$A$7:$A$86/4))+(1-(W30))^'3. Assumptions'!$B$9*'7. Cash flow'!$D$87/(1+('3. Assumptions'!$B$29))^'3. Assumptions'!$B$9)/(1+'3. Assumptions'!$B$14)-('2. The tape'!$C$17/'3. Assumptions'!$B$4)</f>
        <v>36.1151448488236</v>
      </c>
      <c r="Z30" s="41" t="n">
        <f aca="false">IF(AC29&gt;0,AB29,Z29)</f>
        <v>0.00364525318145752</v>
      </c>
      <c r="AA30" s="41" t="n">
        <f aca="false">IF(AC29&gt;0,AA29,AB29)</f>
        <v>0.0036453366279602</v>
      </c>
      <c r="AB30" s="41" t="n">
        <f aca="false">(Z30+AA30)/2</f>
        <v>0.00364529490470886</v>
      </c>
      <c r="AC30" s="42" t="n">
        <f aca="false">(SUMPRODUCT((1-(('3. Assumptions'!$B$21/(1-'3. Assumptions'!$B$22))))^('7. Cash flow'!$A$7:$A$86/4)*'7. Cash flow'!$C$7:$C$86/(1+('3. Assumptions'!$B$6+AB30))^('7. Cash flow'!$A$7:$A$86/4))+SUMPRODUCT((1-(('3. Assumptions'!$B$21/(1-'3. Assumptions'!$B$22))))^(('7. Cash flow'!$A$7:$A$86-1)/4)*(1-(1-(('3. Assumptions'!$B$21/(1-'3. Assumptions'!$B$22))))^0.25)*'7. Cash flow'!$D$7:$D$86/(1+('3. Assumptions'!$B$6+AB30))^('7. Cash flow'!$A$7:$A$86/4))+(1-(('3. Assumptions'!$B$21/(1-'3. Assumptions'!$B$22))))^'3. Assumptions'!$B$9*'7. Cash flow'!$D$87/(1+('3. Assumptions'!$B$6+AB30))^'3. Assumptions'!$B$9)/(1+'3. Assumptions'!$B$14)-('2. The tape'!$C$17/'3. Assumptions'!$B$4)</f>
        <v>10.5245691537857</v>
      </c>
      <c r="AE30" s="41" t="n">
        <f aca="false">IF(AH29&gt;0,AG29,AE29)</f>
        <v>0.0501035213470459</v>
      </c>
      <c r="AF30" s="41" t="n">
        <f aca="false">IF(AH29&gt;0,AF29,AG29)</f>
        <v>0.0501035928726196</v>
      </c>
      <c r="AG30" s="41" t="n">
        <f aca="false">(AE30+AF30)/2</f>
        <v>0.0501035571098328</v>
      </c>
      <c r="AH30" s="42" t="n">
        <f aca="false">(SUMPRODUCT((1-(('3. Assumptions'!$B$21/(1-'3. Assumptions'!$B$22))))^('7. Cash flow'!$A$7:$A$86/4)*'7. Cash flow'!$C$7:$C$86/(1+(AG30))^('7. Cash flow'!$A$7:$A$86/4))+SUMPRODUCT((1-(('3. Assumptions'!$B$21/(1-'3. Assumptions'!$B$22))))^(('7. Cash flow'!$A$7:$A$86-1)/4)*(1-(1-(('3. Assumptions'!$B$21/(1-'3. Assumptions'!$B$22))))^0.25)*'7. Cash flow'!$D$7:$D$86/(1+(AG30))^('7. Cash flow'!$A$7:$A$86/4))+(1-(('3. Assumptions'!$B$21/(1-'3. Assumptions'!$B$22))))^'3. Assumptions'!$B$9*'7. Cash flow'!$D$87/(1+(AG30))^'3.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15.4878154993057</v>
      </c>
      <c r="AJ30" s="41" t="n">
        <f aca="false">IF(AM29&gt;0,AL29,AJ29)</f>
        <v>-0.00180680751800537</v>
      </c>
      <c r="AK30" s="41" t="n">
        <f aca="false">IF(AM29&gt;0,AK29,AL29)</f>
        <v>-0.00180672407150269</v>
      </c>
      <c r="AL30" s="41" t="n">
        <f aca="false">(AJ30+AK30)/2</f>
        <v>-0.00180676579475403</v>
      </c>
      <c r="AM30" s="42" t="n">
        <f aca="false">SUMPRODUCT((1-('3. Assumptions'!$B$21/(1-'3. Assumptions'!$B$22)))^('7. Cash flow'!$A$7:$A$26/4)*('3. Assumptions'!$B$6+'3. Assumptions'!$B$21)/4/(1+'3. Assumptions'!$B$6+AL30)^('7. Cash flow'!$A$7:$A$26/4))+SUMPRODUCT((1-('3. Assumptions'!$B$21/(1-'3. Assumptions'!$B$22)))^(('7. Cash flow'!$A$7:$A$26-1)/4)*(1-(1-('3. Assumptions'!$B$21/(1-'3. Assumptions'!$B$22)))^0.25)*'3. Assumptions'!$B$22/(1+'3. Assumptions'!$B$6+AL30)^('7. Cash flow'!$A$7:$A$26/4))+(1-('3. Assumptions'!$B$21/(1-'3. Assumptions'!$B$22)))^5/(1+'3. Assumptions'!$B$6+AL30)^5-1</f>
        <v>-1.54629255399996E-007</v>
      </c>
    </row>
    <row r="31" customFormat="false" ht="15" hidden="false" customHeight="false" outlineLevel="0" collapsed="false">
      <c r="A31" s="41" t="n">
        <f aca="false">IF(D30&gt;0,C30,A30)</f>
        <v>0.0702607870101929</v>
      </c>
      <c r="B31" s="41" t="n">
        <f aca="false">IF(D30&gt;0,B30,C30)</f>
        <v>0.0702608585357666</v>
      </c>
      <c r="C31" s="41" t="n">
        <f aca="false">(A31+B31)/2</f>
        <v>0.0702608227729797</v>
      </c>
      <c r="D31" s="42" t="n">
        <f aca="false">(SUMPRODUCT((1-(C31))^('7. Cash flow'!$A$7:$A$86/4)*'7. Cash flow'!$C$7:$C$86/(1+(('3. Assumptions'!$B$6+'6. The ladder'!$B$6)))^('7. Cash flow'!$A$7:$A$86/4))+SUMPRODUCT((1-(C31))^(('7. Cash flow'!$A$7:$A$86-1)/4)*(1-(1-(C31))^0.25)*'7. Cash flow'!$D$7:$D$86/(1+(('3. Assumptions'!$B$6+'6. The ladder'!$C$6)))^('7. Cash flow'!$A$7:$A$86/4))+(1-(C31))^'3. Assumptions'!$B$9*'7. Cash flow'!$D$87/(1+(('3. Assumptions'!$B$6+'6. The ladder'!$C$6)))^'3. Assumptions'!$B$9)/(1+'3. Assumptions'!$B$14)-('2. The tape'!$C$17/'3. Assumptions'!$B$4)</f>
        <v>19.7577503323555</v>
      </c>
      <c r="F31" s="41" t="n">
        <f aca="false">IF(I30&gt;0,H30,F30)</f>
        <v>0.0576608419418335</v>
      </c>
      <c r="G31" s="41" t="n">
        <f aca="false">IF(I30&gt;0,G30,H30)</f>
        <v>0.0576609134674072</v>
      </c>
      <c r="H31" s="41" t="n">
        <f aca="false">(F31+G31)/2</f>
        <v>0.0576608777046204</v>
      </c>
      <c r="I31" s="42" t="n">
        <f aca="false">(SUMPRODUCT((1-(H31))^('7. Cash flow'!$A$7:$A$86/4)*'7. Cash flow'!$C$7:$C$86/(1+(('3. Assumptions'!$B$6+'6. The ladder'!$B$7)))^('7. Cash flow'!$A$7:$A$86/4))+SUMPRODUCT((1-(H31))^(('7. Cash flow'!$A$7:$A$86-1)/4)*(1-(1-(H31))^0.25)*'7. Cash flow'!$D$7:$D$86/(1+(('3. Assumptions'!$B$6+'6. The ladder'!$C$7)))^('7. Cash flow'!$A$7:$A$86/4))+(1-(H31))^'3. Assumptions'!$B$9*'7. Cash flow'!$D$87/(1+(('3. Assumptions'!$B$6+'6. The ladder'!$C$7)))^'3. Assumptions'!$B$9)/(1+'3. Assumptions'!$B$14)-('2. The tape'!$C$17/'3. Assumptions'!$B$4)</f>
        <v>-13.6044952571392</v>
      </c>
      <c r="K31" s="41" t="n">
        <f aca="false">IF(N30&gt;0,M30,K30)</f>
        <v>0.0449127674102783</v>
      </c>
      <c r="L31" s="41" t="n">
        <f aca="false">IF(N30&gt;0,L30,M30)</f>
        <v>0.0449128389358521</v>
      </c>
      <c r="M31" s="41" t="n">
        <f aca="false">(K31+L31)/2</f>
        <v>0.0449128031730652</v>
      </c>
      <c r="N31" s="42" t="n">
        <f aca="false">(SUMPRODUCT((1-(M31))^('7. Cash flow'!$A$7:$A$86/4)*'7. Cash flow'!$C$7:$C$86/(1+(('3. Assumptions'!$B$6+'6. The ladder'!$B$8)))^('7. Cash flow'!$A$7:$A$86/4))+SUMPRODUCT((1-(M31))^(('7. Cash flow'!$A$7:$A$86-1)/4)*(1-(1-(M31))^0.25)*'7. Cash flow'!$D$7:$D$86/(1+(('3. Assumptions'!$B$6+'6. The ladder'!$C$8)))^('7. Cash flow'!$A$7:$A$86/4))+(1-(M31))^'3. Assumptions'!$B$9*'7. Cash flow'!$D$87/(1+(('3. Assumptions'!$B$6+'6. The ladder'!$C$8)))^'3. Assumptions'!$B$9)/(1+'3. Assumptions'!$B$14)-('2. The tape'!$C$17/'3. Assumptions'!$B$4)</f>
        <v>27.3288342356682</v>
      </c>
      <c r="P31" s="41" t="n">
        <f aca="false">IF(S30&gt;0,R30,P30)</f>
        <v>0.0322849988937378</v>
      </c>
      <c r="Q31" s="41" t="n">
        <f aca="false">IF(S30&gt;0,Q30,R30)</f>
        <v>0.0322850704193115</v>
      </c>
      <c r="R31" s="41" t="n">
        <f aca="false">(P31+Q31)/2</f>
        <v>0.0322850346565247</v>
      </c>
      <c r="S31" s="42" t="n">
        <f aca="false">(SUMPRODUCT((1-(R31))^('7. Cash flow'!$A$7:$A$86/4)*'7. Cash flow'!$C$7:$C$86/(1+(('3. Assumptions'!$B$6+'6. The ladder'!$B$9)))^('7. Cash flow'!$A$7:$A$86/4))+SUMPRODUCT((1-(R31))^(('7. Cash flow'!$A$7:$A$86-1)/4)*(1-(1-(R31))^0.25)*'7. Cash flow'!$D$7:$D$86/(1+(('3. Assumptions'!$B$6+'6. The ladder'!$C$9)))^('7. Cash flow'!$A$7:$A$86/4))+(1-(R31))^'3. Assumptions'!$B$9*'7. Cash flow'!$D$87/(1+(('3. Assumptions'!$B$6+'6. The ladder'!$C$9)))^'3. Assumptions'!$B$9)/(1+'3. Assumptions'!$B$14)-('2. The tape'!$C$17/'3. Assumptions'!$B$4)</f>
        <v>0.151820480823517</v>
      </c>
      <c r="U31" s="41" t="n">
        <f aca="false">IF(X30&gt;0,W30,U30)</f>
        <v>0.0322849988937378</v>
      </c>
      <c r="V31" s="41" t="n">
        <f aca="false">IF(X30&gt;0,V30,W30)</f>
        <v>0.0322850704193115</v>
      </c>
      <c r="W31" s="41" t="n">
        <f aca="false">(U31+V31)/2</f>
        <v>0.0322850346565247</v>
      </c>
      <c r="X31" s="42" t="n">
        <f aca="false">(SUMPRODUCT((1-(W31))^('7. Cash flow'!$A$7:$A$86/4)*'7. Cash flow'!$C$7:$C$86/(1+('3. Assumptions'!$B$28))^('7. Cash flow'!$A$7:$A$86/4))+SUMPRODUCT((1-(W31))^(('7. Cash flow'!$A$7:$A$86-1)/4)*(1-(1-(W31))^0.25)*'7. Cash flow'!$D$7:$D$86/(1+('3. Assumptions'!$B$29))^('7. Cash flow'!$A$7:$A$86/4))+(1-(W31))^'3. Assumptions'!$B$9*'7. Cash flow'!$D$87/(1+('3. Assumptions'!$B$29))^'3. Assumptions'!$B$9)/(1+'3. Assumptions'!$B$14)-('2. The tape'!$C$17/'3. Assumptions'!$B$4)</f>
        <v>0.151820480823517</v>
      </c>
      <c r="Z31" s="41" t="n">
        <f aca="false">IF(AC30&gt;0,AB30,Z30)</f>
        <v>0.00364529490470886</v>
      </c>
      <c r="AA31" s="41" t="n">
        <f aca="false">IF(AC30&gt;0,AA30,AB30)</f>
        <v>0.0036453366279602</v>
      </c>
      <c r="AB31" s="41" t="n">
        <f aca="false">(Z31+AA31)/2</f>
        <v>0.00364531576633453</v>
      </c>
      <c r="AC31" s="42" t="n">
        <f aca="false">(SUMPRODUCT((1-(('3. Assumptions'!$B$21/(1-'3. Assumptions'!$B$22))))^('7. Cash flow'!$A$7:$A$86/4)*'7. Cash flow'!$C$7:$C$86/(1+('3. Assumptions'!$B$6+AB31))^('7. Cash flow'!$A$7:$A$86/4))+SUMPRODUCT((1-(('3. Assumptions'!$B$21/(1-'3. Assumptions'!$B$22))))^(('7. Cash flow'!$A$7:$A$86-1)/4)*(1-(1-(('3. Assumptions'!$B$21/(1-'3. Assumptions'!$B$22))))^0.25)*'7. Cash flow'!$D$7:$D$86/(1+('3. Assumptions'!$B$6+AB31))^('7. Cash flow'!$A$7:$A$86/4))+(1-(('3. Assumptions'!$B$21/(1-'3. Assumptions'!$B$22))))^'3. Assumptions'!$B$9*'7. Cash flow'!$D$87/(1+('3. Assumptions'!$B$6+AB31))^'3. Assumptions'!$B$9)/(1+'3. Assumptions'!$B$14)-('2. The tape'!$C$17/'3. Assumptions'!$B$4)</f>
        <v>-20.2963176965714</v>
      </c>
      <c r="AE31" s="41" t="n">
        <f aca="false">IF(AH30&gt;0,AG30,AE30)</f>
        <v>0.0501035571098328</v>
      </c>
      <c r="AF31" s="41" t="n">
        <f aca="false">IF(AH30&gt;0,AF30,AG30)</f>
        <v>0.0501035928726196</v>
      </c>
      <c r="AG31" s="41" t="n">
        <f aca="false">(AE31+AF31)/2</f>
        <v>0.0501035749912262</v>
      </c>
      <c r="AH31" s="42" t="n">
        <f aca="false">(SUMPRODUCT((1-(('3. Assumptions'!$B$21/(1-'3. Assumptions'!$B$22))))^('7. Cash flow'!$A$7:$A$86/4)*'7. Cash flow'!$C$7:$C$86/(1+(AG31))^('7. Cash flow'!$A$7:$A$86/4))+SUMPRODUCT((1-(('3. Assumptions'!$B$21/(1-'3. Assumptions'!$B$22))))^(('7. Cash flow'!$A$7:$A$86-1)/4)*(1-(1-(('3. Assumptions'!$B$21/(1-'3. Assumptions'!$B$22))))^0.25)*'7. Cash flow'!$D$7:$D$86/(1+(AG31))^('7. Cash flow'!$A$7:$A$86/4))+(1-(('3. Assumptions'!$B$21/(1-'3. Assumptions'!$B$22))))^'3. Assumptions'!$B$9*'7. Cash flow'!$D$87/(1+(AG31))^'3.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-4.71036741137505</v>
      </c>
      <c r="AJ31" s="41" t="n">
        <f aca="false">IF(AM30&gt;0,AL30,AJ30)</f>
        <v>-0.00180680751800537</v>
      </c>
      <c r="AK31" s="41" t="n">
        <f aca="false">IF(AM30&gt;0,AK30,AL30)</f>
        <v>-0.00180676579475403</v>
      </c>
      <c r="AL31" s="41" t="n">
        <f aca="false">(AJ31+AK31)/2</f>
        <v>-0.0018067866563797</v>
      </c>
      <c r="AM31" s="42" t="n">
        <f aca="false">SUMPRODUCT((1-('3. Assumptions'!$B$21/(1-'3. Assumptions'!$B$22)))^('7. Cash flow'!$A$7:$A$26/4)*('3. Assumptions'!$B$6+'3. Assumptions'!$B$21)/4/(1+'3. Assumptions'!$B$6+AL31)^('7. Cash flow'!$A$7:$A$26/4))+SUMPRODUCT((1-('3. Assumptions'!$B$21/(1-'3. Assumptions'!$B$22)))^(('7. Cash flow'!$A$7:$A$26-1)/4)*(1-(1-('3. Assumptions'!$B$21/(1-'3. Assumptions'!$B$22)))^0.25)*'3. Assumptions'!$B$22/(1+'3. Assumptions'!$B$6+AL31)^('7. Cash flow'!$A$7:$A$26/4))+(1-('3. Assumptions'!$B$21/(1-'3. Assumptions'!$B$22)))^5/(1+'3. Assumptions'!$B$6+AL31)^5-1</f>
        <v>-7.1731495188132E-008</v>
      </c>
    </row>
    <row r="32" customFormat="false" ht="15" hidden="false" customHeight="false" outlineLevel="0" collapsed="false">
      <c r="A32" s="41" t="n">
        <f aca="false">IF(D31&gt;0,C31,A31)</f>
        <v>0.0702608227729797</v>
      </c>
      <c r="B32" s="41" t="n">
        <f aca="false">IF(D31&gt;0,B31,C31)</f>
        <v>0.0702608585357666</v>
      </c>
      <c r="C32" s="41" t="n">
        <f aca="false">(A32+B32)/2</f>
        <v>0.0702608406543732</v>
      </c>
      <c r="D32" s="42" t="n">
        <f aca="false">(SUMPRODUCT((1-(C32))^('7. Cash flow'!$A$7:$A$86/4)*'7. Cash flow'!$C$7:$C$86/(1+(('3. Assumptions'!$B$6+'6. The ladder'!$B$6)))^('7. Cash flow'!$A$7:$A$86/4))+SUMPRODUCT((1-(C32))^(('7. Cash flow'!$A$7:$A$86-1)/4)*(1-(1-(C32))^0.25)*'7. Cash flow'!$D$7:$D$86/(1+(('3. Assumptions'!$B$6+'6. The ladder'!$C$6)))^('7. Cash flow'!$A$7:$A$86/4))+(1-(C32))^'3. Assumptions'!$B$9*'7. Cash flow'!$D$87/(1+(('3. Assumptions'!$B$6+'6. The ladder'!$C$6)))^'3. Assumptions'!$B$9)/(1+'3. Assumptions'!$B$14)-('2. The tape'!$C$17/'3. Assumptions'!$B$4)</f>
        <v>4.14707317948341</v>
      </c>
      <c r="F32" s="41" t="n">
        <f aca="false">IF(I31&gt;0,H31,F31)</f>
        <v>0.0576608419418335</v>
      </c>
      <c r="G32" s="41" t="n">
        <f aca="false">IF(I31&gt;0,G31,H31)</f>
        <v>0.0576608777046204</v>
      </c>
      <c r="H32" s="41" t="n">
        <f aca="false">(F32+G32)/2</f>
        <v>0.0576608598232269</v>
      </c>
      <c r="I32" s="42" t="n">
        <f aca="false">(SUMPRODUCT((1-(H32))^('7. Cash flow'!$A$7:$A$86/4)*'7. Cash flow'!$C$7:$C$86/(1+(('3. Assumptions'!$B$6+'6. The ladder'!$B$7)))^('7. Cash flow'!$A$7:$A$86/4))+SUMPRODUCT((1-(H32))^(('7. Cash flow'!$A$7:$A$86-1)/4)*(1-(1-(H32))^0.25)*'7. Cash flow'!$D$7:$D$86/(1+(('3. Assumptions'!$B$6+'6. The ladder'!$C$7)))^('7. Cash flow'!$A$7:$A$86/4))+(1-(H32))^'3. Assumptions'!$B$9*'7. Cash flow'!$D$87/(1+(('3. Assumptions'!$B$6+'6. The ladder'!$C$7)))^'3. Assumptions'!$B$9)/(1+'3. Assumptions'!$B$14)-('2. The tape'!$C$17/'3. Assumptions'!$B$4)</f>
        <v>1.94948670268059</v>
      </c>
      <c r="K32" s="41" t="n">
        <f aca="false">IF(N31&gt;0,M31,K31)</f>
        <v>0.0449128031730652</v>
      </c>
      <c r="L32" s="41" t="n">
        <f aca="false">IF(N31&gt;0,L31,M31)</f>
        <v>0.0449128389358521</v>
      </c>
      <c r="M32" s="41" t="n">
        <f aca="false">(K32+L32)/2</f>
        <v>0.0449128210544586</v>
      </c>
      <c r="N32" s="42" t="n">
        <f aca="false">(SUMPRODUCT((1-(M32))^('7. Cash flow'!$A$7:$A$86/4)*'7. Cash flow'!$C$7:$C$86/(1+(('3. Assumptions'!$B$6+'6. The ladder'!$B$8)))^('7. Cash flow'!$A$7:$A$86/4))+SUMPRODUCT((1-(M32))^(('7. Cash flow'!$A$7:$A$86-1)/4)*(1-(1-(M32))^0.25)*'7. Cash flow'!$D$7:$D$86/(1+(('3. Assumptions'!$B$6+'6. The ladder'!$C$8)))^('7. Cash flow'!$A$7:$A$86/4))+(1-(M32))^'3. Assumptions'!$B$9*'7. Cash flow'!$D$87/(1+(('3. Assumptions'!$B$6+'6. The ladder'!$C$8)))^'3. Assumptions'!$B$9)/(1+'3. Assumptions'!$B$14)-('2. The tape'!$C$17/'3. Assumptions'!$B$4)</f>
        <v>10.7843945920467</v>
      </c>
      <c r="P32" s="41" t="n">
        <f aca="false">IF(S31&gt;0,R31,P31)</f>
        <v>0.0322850346565247</v>
      </c>
      <c r="Q32" s="41" t="n">
        <f aca="false">IF(S31&gt;0,Q31,R31)</f>
        <v>0.0322850704193115</v>
      </c>
      <c r="R32" s="41" t="n">
        <f aca="false">(P32+Q32)/2</f>
        <v>0.0322850525379181</v>
      </c>
      <c r="S32" s="42" t="n">
        <f aca="false">(SUMPRODUCT((1-(R32))^('7. Cash flow'!$A$7:$A$86/4)*'7. Cash flow'!$C$7:$C$86/(1+(('3. Assumptions'!$B$6+'6. The ladder'!$B$9)))^('7. Cash flow'!$A$7:$A$86/4))+SUMPRODUCT((1-(R32))^(('7. Cash flow'!$A$7:$A$86-1)/4)*(1-(1-(R32))^0.25)*'7. Cash flow'!$D$7:$D$86/(1+(('3. Assumptions'!$B$6+'6. The ladder'!$C$9)))^('7. Cash flow'!$A$7:$A$86/4))+(1-(R32))^'3. Assumptions'!$B$9*'7. Cash flow'!$D$87/(1+(('3. Assumptions'!$B$6+'6. The ladder'!$C$9)))^'3. Assumptions'!$B$9)/(1+'3. Assumptions'!$B$14)-('2. The tape'!$C$17/'3. Assumptions'!$B$4)</f>
        <v>-17.829835832119</v>
      </c>
      <c r="U32" s="41" t="n">
        <f aca="false">IF(X31&gt;0,W31,U31)</f>
        <v>0.0322850346565247</v>
      </c>
      <c r="V32" s="41" t="n">
        <f aca="false">IF(X31&gt;0,V31,W31)</f>
        <v>0.0322850704193115</v>
      </c>
      <c r="W32" s="41" t="n">
        <f aca="false">(U32+V32)/2</f>
        <v>0.0322850525379181</v>
      </c>
      <c r="X32" s="42" t="n">
        <f aca="false">(SUMPRODUCT((1-(W32))^('7. Cash flow'!$A$7:$A$86/4)*'7. Cash flow'!$C$7:$C$86/(1+('3. Assumptions'!$B$28))^('7. Cash flow'!$A$7:$A$86/4))+SUMPRODUCT((1-(W32))^(('7. Cash flow'!$A$7:$A$86-1)/4)*(1-(1-(W32))^0.25)*'7. Cash flow'!$D$7:$D$86/(1+('3. Assumptions'!$B$29))^('7. Cash flow'!$A$7:$A$86/4))+(1-(W32))^'3. Assumptions'!$B$9*'7. Cash flow'!$D$87/(1+('3. Assumptions'!$B$29))^'3. Assumptions'!$B$9)/(1+'3. Assumptions'!$B$14)-('2. The tape'!$C$17/'3. Assumptions'!$B$4)</f>
        <v>-17.829835832119</v>
      </c>
      <c r="Z32" s="41" t="n">
        <f aca="false">IF(AC31&gt;0,AB31,Z31)</f>
        <v>0.00364529490470886</v>
      </c>
      <c r="AA32" s="41" t="n">
        <f aca="false">IF(AC31&gt;0,AA31,AB31)</f>
        <v>0.00364531576633453</v>
      </c>
      <c r="AB32" s="41" t="n">
        <f aca="false">(Z32+AA32)/2</f>
        <v>0.0036453053355217</v>
      </c>
      <c r="AC32" s="42" t="n">
        <f aca="false">(SUMPRODUCT((1-(('3. Assumptions'!$B$21/(1-'3. Assumptions'!$B$22))))^('7. Cash flow'!$A$7:$A$86/4)*'7. Cash flow'!$C$7:$C$86/(1+('3. Assumptions'!$B$6+AB32))^('7. Cash flow'!$A$7:$A$86/4))+SUMPRODUCT((1-(('3. Assumptions'!$B$21/(1-'3. Assumptions'!$B$22))))^(('7. Cash flow'!$A$7:$A$86-1)/4)*(1-(1-(('3. Assumptions'!$B$21/(1-'3. Assumptions'!$B$22))))^0.25)*'7. Cash flow'!$D$7:$D$86/(1+('3. Assumptions'!$B$6+AB32))^('7. Cash flow'!$A$7:$A$86/4))+(1-(('3. Assumptions'!$B$21/(1-'3. Assumptions'!$B$22))))^'3. Assumptions'!$B$9*'7. Cash flow'!$D$87/(1+('3. Assumptions'!$B$6+AB32))^'3. Assumptions'!$B$9)/(1+'3. Assumptions'!$B$14)-('2. The tape'!$C$17/'3. Assumptions'!$B$4)</f>
        <v>-4.88587534427643</v>
      </c>
      <c r="AE32" s="41" t="n">
        <f aca="false">IF(AH31&gt;0,AG31,AE31)</f>
        <v>0.0501035571098328</v>
      </c>
      <c r="AF32" s="41" t="n">
        <f aca="false">IF(AH31&gt;0,AF31,AG31)</f>
        <v>0.0501035749912262</v>
      </c>
      <c r="AG32" s="41" t="n">
        <f aca="false">(AE32+AF32)/2</f>
        <v>0.0501035660505295</v>
      </c>
      <c r="AH32" s="42" t="n">
        <f aca="false">(SUMPRODUCT((1-(('3. Assumptions'!$B$21/(1-'3. Assumptions'!$B$22))))^('7. Cash flow'!$A$7:$A$86/4)*'7. Cash flow'!$C$7:$C$86/(1+(AG32))^('7. Cash flow'!$A$7:$A$86/4))+SUMPRODUCT((1-(('3. Assumptions'!$B$21/(1-'3. Assumptions'!$B$22))))^(('7. Cash flow'!$A$7:$A$86-1)/4)*(1-(1-(('3. Assumptions'!$B$21/(1-'3. Assumptions'!$B$22))))^0.25)*'7. Cash flow'!$D$7:$D$86/(1+(AG32))^('7. Cash flow'!$A$7:$A$86/4))+(1-(('3. Assumptions'!$B$21/(1-'3. Assumptions'!$B$22))))^'3. Assumptions'!$B$9*'7. Cash flow'!$D$87/(1+(AG32))^'3.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5.38872334361076</v>
      </c>
      <c r="AJ32" s="41" t="n">
        <f aca="false">IF(AM31&gt;0,AL31,AJ31)</f>
        <v>-0.00180680751800537</v>
      </c>
      <c r="AK32" s="41" t="n">
        <f aca="false">IF(AM31&gt;0,AK31,AL31)</f>
        <v>-0.0018067866563797</v>
      </c>
      <c r="AL32" s="41" t="n">
        <f aca="false">(AJ32+AK32)/2</f>
        <v>-0.00180679708719254</v>
      </c>
      <c r="AM32" s="42" t="n">
        <f aca="false">SUMPRODUCT((1-('3. Assumptions'!$B$21/(1-'3. Assumptions'!$B$22)))^('7. Cash flow'!$A$7:$A$26/4)*('3. Assumptions'!$B$6+'3. Assumptions'!$B$21)/4/(1+'3. Assumptions'!$B$6+AL32)^('7. Cash flow'!$A$7:$A$26/4))+SUMPRODUCT((1-('3. Assumptions'!$B$21/(1-'3. Assumptions'!$B$22)))^(('7. Cash flow'!$A$7:$A$26-1)/4)*(1-(1-('3. Assumptions'!$B$21/(1-'3. Assumptions'!$B$22)))^0.25)*'3. Assumptions'!$B$22/(1+'3. Assumptions'!$B$6+AL32)^('7. Cash flow'!$A$7:$A$26/4))+(1-('3. Assumptions'!$B$21/(1-'3. Assumptions'!$B$22)))^5/(1+'3. Assumptions'!$B$6+AL32)^5-1</f>
        <v>-3.02826124176647E-008</v>
      </c>
    </row>
    <row r="33" customFormat="false" ht="15" hidden="false" customHeight="false" outlineLevel="0" collapsed="false">
      <c r="A33" s="41" t="n">
        <f aca="false">IF(D32&gt;0,C32,A32)</f>
        <v>0.0702608406543732</v>
      </c>
      <c r="B33" s="41" t="n">
        <f aca="false">IF(D32&gt;0,B32,C32)</f>
        <v>0.0702608585357666</v>
      </c>
      <c r="C33" s="41" t="n">
        <f aca="false">(A33+B33)/2</f>
        <v>0.0702608495950699</v>
      </c>
      <c r="D33" s="42" t="n">
        <f aca="false">(SUMPRODUCT((1-(C33))^('7. Cash flow'!$A$7:$A$86/4)*'7. Cash flow'!$C$7:$C$86/(1+(('3. Assumptions'!$B$6+'6. The ladder'!$B$6)))^('7. Cash flow'!$A$7:$A$86/4))+SUMPRODUCT((1-(C33))^(('7. Cash flow'!$A$7:$A$86-1)/4)*(1-(1-(C33))^0.25)*'7. Cash flow'!$D$7:$D$86/(1+(('3. Assumptions'!$B$6+'6. The ladder'!$C$6)))^('7. Cash flow'!$A$7:$A$86/4))+(1-(C33))^'3. Assumptions'!$B$9*'7. Cash flow'!$D$87/(1+(('3. Assumptions'!$B$6+'6. The ladder'!$C$6)))^'3. Assumptions'!$B$9)/(1+'3. Assumptions'!$B$14)-('2. The tape'!$C$17/'3. Assumptions'!$B$4)</f>
        <v>-3.65826398134232</v>
      </c>
      <c r="F33" s="41" t="n">
        <f aca="false">IF(I32&gt;0,H32,F32)</f>
        <v>0.0576608598232269</v>
      </c>
      <c r="G33" s="41" t="n">
        <f aca="false">IF(I32&gt;0,G32,H32)</f>
        <v>0.0576608777046204</v>
      </c>
      <c r="H33" s="41" t="n">
        <f aca="false">(F33+G33)/2</f>
        <v>0.0576608687639236</v>
      </c>
      <c r="I33" s="42" t="n">
        <f aca="false">(SUMPRODUCT((1-(H33))^('7. Cash flow'!$A$7:$A$86/4)*'7. Cash flow'!$C$7:$C$86/(1+(('3. Assumptions'!$B$6+'6. The ladder'!$B$7)))^('7. Cash flow'!$A$7:$A$86/4))+SUMPRODUCT((1-(H33))^(('7. Cash flow'!$A$7:$A$86-1)/4)*(1-(1-(H33))^0.25)*'7. Cash flow'!$D$7:$D$86/(1+(('3. Assumptions'!$B$6+'6. The ladder'!$C$7)))^('7. Cash flow'!$A$7:$A$86/4))+(1-(H33))^'3. Assumptions'!$B$9*'7. Cash flow'!$D$87/(1+(('3. Assumptions'!$B$6+'6. The ladder'!$C$7)))^'3. Assumptions'!$B$9)/(1+'3. Assumptions'!$B$14)-('2. The tape'!$C$17/'3. Assumptions'!$B$4)</f>
        <v>-5.8275046646595</v>
      </c>
      <c r="K33" s="41" t="n">
        <f aca="false">IF(N32&gt;0,M32,K32)</f>
        <v>0.0449128210544586</v>
      </c>
      <c r="L33" s="41" t="n">
        <f aca="false">IF(N32&gt;0,L32,M32)</f>
        <v>0.0449128389358521</v>
      </c>
      <c r="M33" s="41" t="n">
        <f aca="false">(K33+L33)/2</f>
        <v>0.0449128299951553</v>
      </c>
      <c r="N33" s="42" t="n">
        <f aca="false">(SUMPRODUCT((1-(M33))^('7. Cash flow'!$A$7:$A$86/4)*'7. Cash flow'!$C$7:$C$86/(1+(('3. Assumptions'!$B$6+'6. The ladder'!$B$8)))^('7. Cash flow'!$A$7:$A$86/4))+SUMPRODUCT((1-(M33))^(('7. Cash flow'!$A$7:$A$86-1)/4)*(1-(1-(M33))^0.25)*'7. Cash flow'!$D$7:$D$86/(1+(('3. Assumptions'!$B$6+'6. The ladder'!$C$8)))^('7. Cash flow'!$A$7:$A$86/4))+(1-(M33))^'3. Assumptions'!$B$9*'7. Cash flow'!$D$87/(1+(('3. Assumptions'!$B$6+'6. The ladder'!$C$8)))^'3. Assumptions'!$B$9)/(1+'3. Assumptions'!$B$14)-('2. The tape'!$C$17/'3. Assumptions'!$B$4)</f>
        <v>2.51217579841614</v>
      </c>
      <c r="P33" s="41" t="n">
        <f aca="false">IF(S32&gt;0,R32,P32)</f>
        <v>0.0322850346565247</v>
      </c>
      <c r="Q33" s="41" t="n">
        <f aca="false">IF(S32&gt;0,Q32,R32)</f>
        <v>0.0322850525379181</v>
      </c>
      <c r="R33" s="41" t="n">
        <f aca="false">(P33+Q33)/2</f>
        <v>0.0322850435972214</v>
      </c>
      <c r="S33" s="42" t="n">
        <f aca="false">(SUMPRODUCT((1-(R33))^('7. Cash flow'!$A$7:$A$86/4)*'7. Cash flow'!$C$7:$C$86/(1+(('3. Assumptions'!$B$6+'6. The ladder'!$B$9)))^('7. Cash flow'!$A$7:$A$86/4))+SUMPRODUCT((1-(R33))^(('7. Cash flow'!$A$7:$A$86-1)/4)*(1-(1-(R33))^0.25)*'7. Cash flow'!$D$7:$D$86/(1+(('3. Assumptions'!$B$6+'6. The ladder'!$C$9)))^('7. Cash flow'!$A$7:$A$86/4))+(1-(R33))^'3. Assumptions'!$B$9*'7. Cash flow'!$D$87/(1+(('3. Assumptions'!$B$6+'6. The ladder'!$C$9)))^'3. Assumptions'!$B$9)/(1+'3. Assumptions'!$B$14)-('2. The tape'!$C$17/'3. Assumptions'!$B$4)</f>
        <v>-8.83900830149651</v>
      </c>
      <c r="U33" s="41" t="n">
        <f aca="false">IF(X32&gt;0,W32,U32)</f>
        <v>0.0322850346565247</v>
      </c>
      <c r="V33" s="41" t="n">
        <f aca="false">IF(X32&gt;0,V32,W32)</f>
        <v>0.0322850525379181</v>
      </c>
      <c r="W33" s="41" t="n">
        <f aca="false">(U33+V33)/2</f>
        <v>0.0322850435972214</v>
      </c>
      <c r="X33" s="42" t="n">
        <f aca="false">(SUMPRODUCT((1-(W33))^('7. Cash flow'!$A$7:$A$86/4)*'7. Cash flow'!$C$7:$C$86/(1+('3. Assumptions'!$B$28))^('7. Cash flow'!$A$7:$A$86/4))+SUMPRODUCT((1-(W33))^(('7. Cash flow'!$A$7:$A$86-1)/4)*(1-(1-(W33))^0.25)*'7. Cash flow'!$D$7:$D$86/(1+('3. Assumptions'!$B$29))^('7. Cash flow'!$A$7:$A$86/4))+(1-(W33))^'3. Assumptions'!$B$9*'7. Cash flow'!$D$87/(1+('3. Assumptions'!$B$29))^'3. Assumptions'!$B$9)/(1+'3. Assumptions'!$B$14)-('2. The tape'!$C$17/'3. Assumptions'!$B$4)</f>
        <v>-8.83900830149651</v>
      </c>
      <c r="Z33" s="41" t="n">
        <f aca="false">IF(AC32&gt;0,AB32,Z32)</f>
        <v>0.00364529490470886</v>
      </c>
      <c r="AA33" s="41" t="n">
        <f aca="false">IF(AC32&gt;0,AA32,AB32)</f>
        <v>0.0036453053355217</v>
      </c>
      <c r="AB33" s="41" t="n">
        <f aca="false">(Z33+AA33)/2</f>
        <v>0.00364530012011528</v>
      </c>
      <c r="AC33" s="42" t="n">
        <f aca="false">(SUMPRODUCT((1-(('3. Assumptions'!$B$21/(1-'3. Assumptions'!$B$22))))^('7. Cash flow'!$A$7:$A$86/4)*'7. Cash flow'!$C$7:$C$86/(1+('3. Assumptions'!$B$6+AB33))^('7. Cash flow'!$A$7:$A$86/4))+SUMPRODUCT((1-(('3. Assumptions'!$B$21/(1-'3. Assumptions'!$B$22))))^(('7. Cash flow'!$A$7:$A$86-1)/4)*(1-(1-(('3. Assumptions'!$B$21/(1-'3. Assumptions'!$B$22))))^0.25)*'7. Cash flow'!$D$7:$D$86/(1+('3. Assumptions'!$B$6+AB33))^('7. Cash flow'!$A$7:$A$86/4))+(1-(('3. Assumptions'!$B$21/(1-'3. Assumptions'!$B$22))))^'3. Assumptions'!$B$9*'7. Cash flow'!$D$87/(1+('3. Assumptions'!$B$6+AB33))^'3. Assumptions'!$B$9)/(1+'3. Assumptions'!$B$14)-('2. The tape'!$C$17/'3. Assumptions'!$B$4)</f>
        <v>2.81934642791748</v>
      </c>
      <c r="AE33" s="41" t="n">
        <f aca="false">IF(AH32&gt;0,AG32,AE32)</f>
        <v>0.0501035660505295</v>
      </c>
      <c r="AF33" s="41" t="n">
        <f aca="false">IF(AH32&gt;0,AF32,AG32)</f>
        <v>0.0501035749912262</v>
      </c>
      <c r="AG33" s="41" t="n">
        <f aca="false">(AE33+AF33)/2</f>
        <v>0.0501035705208778</v>
      </c>
      <c r="AH33" s="42" t="n">
        <f aca="false">(SUMPRODUCT((1-(('3. Assumptions'!$B$21/(1-'3. Assumptions'!$B$22))))^('7. Cash flow'!$A$7:$A$86/4)*'7. Cash flow'!$C$7:$C$86/(1+(AG33))^('7. Cash flow'!$A$7:$A$86/4))+SUMPRODUCT((1-(('3. Assumptions'!$B$21/(1-'3. Assumptions'!$B$22))))^(('7. Cash flow'!$A$7:$A$86-1)/4)*(1-(1-(('3. Assumptions'!$B$21/(1-'3. Assumptions'!$B$22))))^0.25)*'7. Cash flow'!$D$7:$D$86/(1+(AG33))^('7. Cash flow'!$A$7:$A$86/4))+(1-(('3. Assumptions'!$B$21/(1-'3. Assumptions'!$B$22))))^'3. Assumptions'!$B$9*'7. Cash flow'!$D$87/(1+(AG33))^'3.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0.339177846908569</v>
      </c>
      <c r="AJ33" s="41" t="n">
        <f aca="false">IF(AM32&gt;0,AL32,AJ32)</f>
        <v>-0.00180680751800537</v>
      </c>
      <c r="AK33" s="41" t="n">
        <f aca="false">IF(AM32&gt;0,AK32,AL32)</f>
        <v>-0.00180679708719254</v>
      </c>
      <c r="AL33" s="41" t="n">
        <f aca="false">(AJ33+AK33)/2</f>
        <v>-0.00180680230259896</v>
      </c>
      <c r="AM33" s="42" t="n">
        <f aca="false">SUMPRODUCT((1-('3. Assumptions'!$B$21/(1-'3. Assumptions'!$B$22)))^('7. Cash flow'!$A$7:$A$26/4)*('3. Assumptions'!$B$6+'3. Assumptions'!$B$21)/4/(1+'3. Assumptions'!$B$6+AL33)^('7. Cash flow'!$A$7:$A$26/4))+SUMPRODUCT((1-('3. Assumptions'!$B$21/(1-'3. Assumptions'!$B$22)))^(('7. Cash flow'!$A$7:$A$26-1)/4)*(1-(1-('3. Assumptions'!$B$21/(1-'3. Assumptions'!$B$22)))^0.25)*'3. Assumptions'!$B$22/(1+'3. Assumptions'!$B$6+AL33)^('7. Cash flow'!$A$7:$A$26/4))+(1-('3. Assumptions'!$B$21/(1-'3. Assumptions'!$B$22)))^5/(1+'3. Assumptions'!$B$6+AL33)^5-1</f>
        <v>-9.55816903402962E-009</v>
      </c>
    </row>
    <row r="34" customFormat="false" ht="15" hidden="false" customHeight="false" outlineLevel="0" collapsed="false">
      <c r="A34" s="41" t="n">
        <f aca="false">IF(D33&gt;0,C33,A33)</f>
        <v>0.0702608406543732</v>
      </c>
      <c r="B34" s="41" t="n">
        <f aca="false">IF(D33&gt;0,B33,C33)</f>
        <v>0.0702608495950699</v>
      </c>
      <c r="C34" s="41" t="n">
        <f aca="false">(A34+B34)/2</f>
        <v>0.0702608451247215</v>
      </c>
      <c r="D34" s="42" t="n">
        <f aca="false">(SUMPRODUCT((1-(C34))^('7. Cash flow'!$A$7:$A$86/4)*'7. Cash flow'!$C$7:$C$86/(1+(('3. Assumptions'!$B$6+'6. The ladder'!$B$6)))^('7. Cash flow'!$A$7:$A$86/4))+SUMPRODUCT((1-(C34))^(('7. Cash flow'!$A$7:$A$86-1)/4)*(1-(1-(C34))^0.25)*'7. Cash flow'!$D$7:$D$86/(1+(('3. Assumptions'!$B$6+'6. The ladder'!$C$6)))^('7. Cash flow'!$A$7:$A$86/4))+(1-(C34))^'3. Assumptions'!$B$9*'7. Cash flow'!$D$87/(1+(('3. Assumptions'!$B$6+'6. The ladder'!$C$6)))^'3. Assumptions'!$B$9)/(1+'3. Assumptions'!$B$14)-('2. The tape'!$C$17/'3. Assumptions'!$B$4)</f>
        <v>0.244404494762421</v>
      </c>
      <c r="F34" s="41" t="n">
        <f aca="false">IF(I33&gt;0,H33,F33)</f>
        <v>0.0576608598232269</v>
      </c>
      <c r="G34" s="41" t="n">
        <f aca="false">IF(I33&gt;0,G33,H33)</f>
        <v>0.0576608687639236</v>
      </c>
      <c r="H34" s="41" t="n">
        <f aca="false">(F34+G34)/2</f>
        <v>0.0576608642935753</v>
      </c>
      <c r="I34" s="42" t="n">
        <f aca="false">(SUMPRODUCT((1-(H34))^('7. Cash flow'!$A$7:$A$86/4)*'7. Cash flow'!$C$7:$C$86/(1+(('3. Assumptions'!$B$6+'6. The ladder'!$B$7)))^('7. Cash flow'!$A$7:$A$86/4))+SUMPRODUCT((1-(H34))^(('7. Cash flow'!$A$7:$A$86-1)/4)*(1-(1-(H34))^0.25)*'7. Cash flow'!$D$7:$D$86/(1+(('3. Assumptions'!$B$6+'6. The ladder'!$C$7)))^('7. Cash flow'!$A$7:$A$86/4))+(1-(H34))^'3. Assumptions'!$B$9*'7. Cash flow'!$D$87/(1+(('3. Assumptions'!$B$6+'6. The ladder'!$C$7)))^'3. Assumptions'!$B$9)/(1+'3. Assumptions'!$B$14)-('2. The tape'!$C$17/'3. Assumptions'!$B$4)</f>
        <v>-1.93900901079178</v>
      </c>
      <c r="K34" s="41" t="n">
        <f aca="false">IF(N33&gt;0,M33,K33)</f>
        <v>0.0449128299951553</v>
      </c>
      <c r="L34" s="41" t="n">
        <f aca="false">IF(N33&gt;0,L33,M33)</f>
        <v>0.0449128389358521</v>
      </c>
      <c r="M34" s="41" t="n">
        <f aca="false">(K34+L34)/2</f>
        <v>0.0449128344655037</v>
      </c>
      <c r="N34" s="42" t="n">
        <f aca="false">(SUMPRODUCT((1-(M34))^('7. Cash flow'!$A$7:$A$86/4)*'7. Cash flow'!$C$7:$C$86/(1+(('3. Assumptions'!$B$6+'6. The ladder'!$B$8)))^('7. Cash flow'!$A$7:$A$86/4))+SUMPRODUCT((1-(M34))^(('7. Cash flow'!$A$7:$A$86-1)/4)*(1-(1-(M34))^0.25)*'7. Cash flow'!$D$7:$D$86/(1+(('3. Assumptions'!$B$6+'6. The ladder'!$C$8)))^('7. Cash flow'!$A$7:$A$86/4))+(1-(M34))^'3. Assumptions'!$B$9*'7. Cash flow'!$D$87/(1+(('3. Assumptions'!$B$6+'6. The ladder'!$C$8)))^'3. Assumptions'!$B$9)/(1+'3. Assumptions'!$B$14)-('2. The tape'!$C$17/'3. Assumptions'!$B$4)</f>
        <v>-1.62393289804459</v>
      </c>
      <c r="P34" s="41" t="n">
        <f aca="false">IF(S33&gt;0,R33,P33)</f>
        <v>0.0322850346565247</v>
      </c>
      <c r="Q34" s="41" t="n">
        <f aca="false">IF(S33&gt;0,Q33,R33)</f>
        <v>0.0322850435972214</v>
      </c>
      <c r="R34" s="41" t="n">
        <f aca="false">(P34+Q34)/2</f>
        <v>0.032285039126873</v>
      </c>
      <c r="S34" s="42" t="n">
        <f aca="false">(SUMPRODUCT((1-(R34))^('7. Cash flow'!$A$7:$A$86/4)*'7. Cash flow'!$C$7:$C$86/(1+(('3. Assumptions'!$B$6+'6. The ladder'!$B$9)))^('7. Cash flow'!$A$7:$A$86/4))+SUMPRODUCT((1-(R34))^(('7. Cash flow'!$A$7:$A$86-1)/4)*(1-(1-(R34))^0.25)*'7. Cash flow'!$D$7:$D$86/(1+(('3. Assumptions'!$B$6+'6. The ladder'!$C$9)))^('7. Cash flow'!$A$7:$A$86/4))+(1-(R34))^'3. Assumptions'!$B$9*'7. Cash flow'!$D$87/(1+(('3. Assumptions'!$B$6+'6. The ladder'!$C$9)))^'3. Assumptions'!$B$9)/(1+'3. Assumptions'!$B$14)-('2. The tape'!$C$17/'3. Assumptions'!$B$4)</f>
        <v>-4.34359392523766</v>
      </c>
      <c r="U34" s="41" t="n">
        <f aca="false">IF(X33&gt;0,W33,U33)</f>
        <v>0.0322850346565247</v>
      </c>
      <c r="V34" s="41" t="n">
        <f aca="false">IF(X33&gt;0,V33,W33)</f>
        <v>0.0322850435972214</v>
      </c>
      <c r="W34" s="41" t="n">
        <f aca="false">(U34+V34)/2</f>
        <v>0.032285039126873</v>
      </c>
      <c r="X34" s="42" t="n">
        <f aca="false">(SUMPRODUCT((1-(W34))^('7. Cash flow'!$A$7:$A$86/4)*'7. Cash flow'!$C$7:$C$86/(1+('3. Assumptions'!$B$28))^('7. Cash flow'!$A$7:$A$86/4))+SUMPRODUCT((1-(W34))^(('7. Cash flow'!$A$7:$A$86-1)/4)*(1-(1-(W34))^0.25)*'7. Cash flow'!$D$7:$D$86/(1+('3. Assumptions'!$B$29))^('7. Cash flow'!$A$7:$A$86/4))+(1-(W34))^'3. Assumptions'!$B$9*'7. Cash flow'!$D$87/(1+('3. Assumptions'!$B$29))^'3. Assumptions'!$B$9)/(1+'3. Assumptions'!$B$14)-('2. The tape'!$C$17/'3. Assumptions'!$B$4)</f>
        <v>-4.34359392523766</v>
      </c>
      <c r="Z34" s="41" t="n">
        <f aca="false">IF(AC33&gt;0,AB33,Z33)</f>
        <v>0.00364530012011528</v>
      </c>
      <c r="AA34" s="41" t="n">
        <f aca="false">IF(AC33&gt;0,AA33,AB33)</f>
        <v>0.0036453053355217</v>
      </c>
      <c r="AB34" s="41" t="n">
        <f aca="false">(Z34+AA34)/2</f>
        <v>0.00364530272781849</v>
      </c>
      <c r="AC34" s="42" t="n">
        <f aca="false">(SUMPRODUCT((1-(('3. Assumptions'!$B$21/(1-'3. Assumptions'!$B$22))))^('7. Cash flow'!$A$7:$A$86/4)*'7. Cash flow'!$C$7:$C$86/(1+('3. Assumptions'!$B$6+AB34))^('7. Cash flow'!$A$7:$A$86/4))+SUMPRODUCT((1-(('3. Assumptions'!$B$21/(1-'3. Assumptions'!$B$22))))^(('7. Cash flow'!$A$7:$A$86-1)/4)*(1-(1-(('3. Assumptions'!$B$21/(1-'3. Assumptions'!$B$22))))^0.25)*'7. Cash flow'!$D$7:$D$86/(1+('3. Assumptions'!$B$6+AB34))^('7. Cash flow'!$A$7:$A$86/4))+(1-(('3. Assumptions'!$B$21/(1-'3. Assumptions'!$B$22))))^'3. Assumptions'!$B$9*'7. Cash flow'!$D$87/(1+('3. Assumptions'!$B$6+AB34))^'3. Assumptions'!$B$9)/(1+'3. Assumptions'!$B$14)-('2. The tape'!$C$17/'3. Assumptions'!$B$4)</f>
        <v>-1.03326451778412</v>
      </c>
      <c r="AE34" s="41" t="n">
        <f aca="false">IF(AH33&gt;0,AG33,AE33)</f>
        <v>0.0501035705208778</v>
      </c>
      <c r="AF34" s="41" t="n">
        <f aca="false">IF(AH33&gt;0,AF33,AG33)</f>
        <v>0.0501035749912262</v>
      </c>
      <c r="AG34" s="41" t="n">
        <f aca="false">(AE34+AF34)/2</f>
        <v>0.050103572756052</v>
      </c>
      <c r="AH34" s="42" t="n">
        <f aca="false">(SUMPRODUCT((1-(('3. Assumptions'!$B$21/(1-'3. Assumptions'!$B$22))))^('7. Cash flow'!$A$7:$A$86/4)*'7. Cash flow'!$C$7:$C$86/(1+(AG34))^('7. Cash flow'!$A$7:$A$86/4))+SUMPRODUCT((1-(('3. Assumptions'!$B$21/(1-'3. Assumptions'!$B$22))))^(('7. Cash flow'!$A$7:$A$86-1)/4)*(1-(1-(('3. Assumptions'!$B$21/(1-'3. Assumptions'!$B$22))))^0.25)*'7. Cash flow'!$D$7:$D$86/(1+(AG34))^('7. Cash flow'!$A$7:$A$86/4))+(1-(('3. Assumptions'!$B$21/(1-'3. Assumptions'!$B$22))))^'3. Assumptions'!$B$9*'7. Cash flow'!$D$87/(1+(AG34))^'3.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-2.18559470772743</v>
      </c>
      <c r="AJ34" s="41" t="n">
        <f aca="false">IF(AM33&gt;0,AL33,AJ33)</f>
        <v>-0.00180680751800537</v>
      </c>
      <c r="AK34" s="41" t="n">
        <f aca="false">IF(AM33&gt;0,AK33,AL33)</f>
        <v>-0.00180680230259896</v>
      </c>
      <c r="AL34" s="41" t="n">
        <f aca="false">(AJ34+AK34)/2</f>
        <v>-0.00180680491030216</v>
      </c>
      <c r="AM34" s="42" t="n">
        <f aca="false">SUMPRODUCT((1-('3. Assumptions'!$B$21/(1-'3. Assumptions'!$B$22)))^('7. Cash flow'!$A$7:$A$26/4)*('3. Assumptions'!$B$6+'3. Assumptions'!$B$21)/4/(1+'3. Assumptions'!$B$6+AL34)^('7. Cash flow'!$A$7:$A$26/4))+SUMPRODUCT((1-('3. Assumptions'!$B$21/(1-'3. Assumptions'!$B$22)))^(('7. Cash flow'!$A$7:$A$26-1)/4)*(1-(1-('3. Assumptions'!$B$21/(1-'3. Assumptions'!$B$22)))^0.25)*'3. Assumptions'!$B$22/(1+'3. Assumptions'!$B$6+AL34)^('7. Cash flow'!$A$7:$A$26/4))+(1-('3. Assumptions'!$B$21/(1-'3. Assumptions'!$B$22)))^5/(1+'3. Assumptions'!$B$6+AL34)^5-1</f>
        <v>8.04052380232179E-010</v>
      </c>
    </row>
    <row r="35" customFormat="false" ht="15" hidden="false" customHeight="false" outlineLevel="0" collapsed="false">
      <c r="A35" s="41" t="n">
        <f aca="false">IF(D34&gt;0,C34,A34)</f>
        <v>0.0702608451247215</v>
      </c>
      <c r="B35" s="41" t="n">
        <f aca="false">IF(D34&gt;0,B34,C34)</f>
        <v>0.0702608495950699</v>
      </c>
      <c r="C35" s="41" t="n">
        <f aca="false">(A35+B35)/2</f>
        <v>0.0702608473598957</v>
      </c>
      <c r="D35" s="42" t="n">
        <f aca="false">(SUMPRODUCT((1-(C35))^('7. Cash flow'!$A$7:$A$86/4)*'7. Cash flow'!$C$7:$C$86/(1+(('3. Assumptions'!$B$6+'6. The ladder'!$B$6)))^('7. Cash flow'!$A$7:$A$86/4))+SUMPRODUCT((1-(C35))^(('7. Cash flow'!$A$7:$A$86-1)/4)*(1-(1-(C35))^0.25)*'7. Cash flow'!$D$7:$D$86/(1+(('3. Assumptions'!$B$6+'6. The ladder'!$C$6)))^('7. Cash flow'!$A$7:$A$86/4))+(1-(C35))^'3. Assumptions'!$B$9*'7. Cash flow'!$D$87/(1+(('3. Assumptions'!$B$6+'6. The ladder'!$C$6)))^'3. Assumptions'!$B$9)/(1+'3. Assumptions'!$B$14)-('2. The tape'!$C$17/'3. Assumptions'!$B$4)</f>
        <v>-1.70692992210388</v>
      </c>
      <c r="F35" s="41" t="n">
        <f aca="false">IF(I34&gt;0,H34,F34)</f>
        <v>0.0576608598232269</v>
      </c>
      <c r="G35" s="41" t="n">
        <f aca="false">IF(I34&gt;0,G34,H34)</f>
        <v>0.0576608642935753</v>
      </c>
      <c r="H35" s="41" t="n">
        <f aca="false">(F35+G35)/2</f>
        <v>0.0576608620584011</v>
      </c>
      <c r="I35" s="42" t="n">
        <f aca="false">(SUMPRODUCT((1-(H35))^('7. Cash flow'!$A$7:$A$86/4)*'7. Cash flow'!$C$7:$C$86/(1+(('3. Assumptions'!$B$6+'6. The ladder'!$B$7)))^('7. Cash flow'!$A$7:$A$86/4))+SUMPRODUCT((1-(H35))^(('7. Cash flow'!$A$7:$A$86-1)/4)*(1-(1-(H35))^0.25)*'7. Cash flow'!$D$7:$D$86/(1+(('3. Assumptions'!$B$6+'6. The ladder'!$C$7)))^('7. Cash flow'!$A$7:$A$86/4))+(1-(H35))^'3. Assumptions'!$B$9*'7. Cash flow'!$D$87/(1+(('3. Assumptions'!$B$6+'6. The ladder'!$C$7)))^'3. Assumptions'!$B$9)/(1+'3. Assumptions'!$B$14)-('2. The tape'!$C$17/'3. Assumptions'!$B$4)</f>
        <v>0.00523892045021057</v>
      </c>
      <c r="K35" s="41" t="n">
        <f aca="false">IF(N34&gt;0,M34,K34)</f>
        <v>0.0449128299951553</v>
      </c>
      <c r="L35" s="41" t="n">
        <f aca="false">IF(N34&gt;0,L34,M34)</f>
        <v>0.0449128344655037</v>
      </c>
      <c r="M35" s="41" t="n">
        <f aca="false">(K35+L35)/2</f>
        <v>0.0449128322303295</v>
      </c>
      <c r="N35" s="42" t="n">
        <f aca="false">(SUMPRODUCT((1-(M35))^('7. Cash flow'!$A$7:$A$86/4)*'7. Cash flow'!$C$7:$C$86/(1+(('3. Assumptions'!$B$6+'6. The ladder'!$B$8)))^('7. Cash flow'!$A$7:$A$86/4))+SUMPRODUCT((1-(M35))^(('7. Cash flow'!$A$7:$A$86-1)/4)*(1-(1-(M35))^0.25)*'7. Cash flow'!$D$7:$D$86/(1+(('3. Assumptions'!$B$6+'6. The ladder'!$C$8)))^('7. Cash flow'!$A$7:$A$86/4))+(1-(M35))^'3. Assumptions'!$B$9*'7. Cash flow'!$D$87/(1+(('3. Assumptions'!$B$6+'6. The ladder'!$C$8)))^'3. Assumptions'!$B$9)/(1+'3. Assumptions'!$B$14)-('2. The tape'!$C$17/'3. Assumptions'!$B$4)</f>
        <v>0.444121241569519</v>
      </c>
      <c r="P35" s="41" t="n">
        <f aca="false">IF(S34&gt;0,R34,P34)</f>
        <v>0.0322850346565247</v>
      </c>
      <c r="Q35" s="41" t="n">
        <f aca="false">IF(S34&gt;0,Q34,R34)</f>
        <v>0.032285039126873</v>
      </c>
      <c r="R35" s="41" t="n">
        <f aca="false">(P35+Q35)/2</f>
        <v>0.0322850368916988</v>
      </c>
      <c r="S35" s="42" t="n">
        <f aca="false">(SUMPRODUCT((1-(R35))^('7. Cash flow'!$A$7:$A$86/4)*'7. Cash flow'!$C$7:$C$86/(1+(('3. Assumptions'!$B$6+'6. The ladder'!$B$9)))^('7. Cash flow'!$A$7:$A$86/4))+SUMPRODUCT((1-(R35))^(('7. Cash flow'!$A$7:$A$86-1)/4)*(1-(1-(R35))^0.25)*'7. Cash flow'!$D$7:$D$86/(1+(('3. Assumptions'!$B$6+'6. The ladder'!$C$9)))^('7. Cash flow'!$A$7:$A$86/4))+(1-(R35))^'3. Assumptions'!$B$9*'7. Cash flow'!$D$87/(1+(('3. Assumptions'!$B$6+'6. The ladder'!$C$9)))^'3. Assumptions'!$B$9)/(1+'3. Assumptions'!$B$14)-('2. The tape'!$C$17/'3. Assumptions'!$B$4)</f>
        <v>-2.09588688611984</v>
      </c>
      <c r="U35" s="41" t="n">
        <f aca="false">IF(X34&gt;0,W34,U34)</f>
        <v>0.0322850346565247</v>
      </c>
      <c r="V35" s="41" t="n">
        <f aca="false">IF(X34&gt;0,V34,W34)</f>
        <v>0.032285039126873</v>
      </c>
      <c r="W35" s="41" t="n">
        <f aca="false">(U35+V35)/2</f>
        <v>0.0322850368916988</v>
      </c>
      <c r="X35" s="42" t="n">
        <f aca="false">(SUMPRODUCT((1-(W35))^('7. Cash flow'!$A$7:$A$86/4)*'7. Cash flow'!$C$7:$C$86/(1+('3. Assumptions'!$B$28))^('7. Cash flow'!$A$7:$A$86/4))+SUMPRODUCT((1-(W35))^(('7. Cash flow'!$A$7:$A$86-1)/4)*(1-(1-(W35))^0.25)*'7. Cash flow'!$D$7:$D$86/(1+('3. Assumptions'!$B$29))^('7. Cash flow'!$A$7:$A$86/4))+(1-(W35))^'3. Assumptions'!$B$9*'7. Cash flow'!$D$87/(1+('3. Assumptions'!$B$29))^'3. Assumptions'!$B$9)/(1+'3. Assumptions'!$B$14)-('2. The tape'!$C$17/'3. Assumptions'!$B$4)</f>
        <v>-2.09588688611984</v>
      </c>
      <c r="Z35" s="41" t="n">
        <f aca="false">IF(AC34&gt;0,AB34,Z34)</f>
        <v>0.00364530012011528</v>
      </c>
      <c r="AA35" s="41" t="n">
        <f aca="false">IF(AC34&gt;0,AA34,AB34)</f>
        <v>0.00364530272781849</v>
      </c>
      <c r="AB35" s="41" t="n">
        <f aca="false">(Z35+AA35)/2</f>
        <v>0.00364530142396688</v>
      </c>
      <c r="AC35" s="42" t="n">
        <f aca="false">(SUMPRODUCT((1-(('3. Assumptions'!$B$21/(1-'3. Assumptions'!$B$22))))^('7. Cash flow'!$A$7:$A$86/4)*'7. Cash flow'!$C$7:$C$86/(1+('3. Assumptions'!$B$6+AB35))^('7. Cash flow'!$A$7:$A$86/4))+SUMPRODUCT((1-(('3. Assumptions'!$B$21/(1-'3. Assumptions'!$B$22))))^(('7. Cash flow'!$A$7:$A$86-1)/4)*(1-(1-(('3. Assumptions'!$B$21/(1-'3. Assumptions'!$B$22))))^0.25)*'7. Cash flow'!$D$7:$D$86/(1+('3. Assumptions'!$B$6+AB35))^('7. Cash flow'!$A$7:$A$86/4))+(1-(('3. Assumptions'!$B$21/(1-'3. Assumptions'!$B$22))))^'3. Assumptions'!$B$9*'7. Cash flow'!$D$87/(1+('3. Assumptions'!$B$6+AB35))^'3. Assumptions'!$B$9)/(1+'3. Assumptions'!$B$14)-('2. The tape'!$C$17/'3. Assumptions'!$B$4)</f>
        <v>0.893041133880615</v>
      </c>
      <c r="AE35" s="41" t="n">
        <f aca="false">IF(AH34&gt;0,AG34,AE34)</f>
        <v>0.0501035705208778</v>
      </c>
      <c r="AF35" s="41" t="n">
        <f aca="false">IF(AH34&gt;0,AF34,AG34)</f>
        <v>0.050103572756052</v>
      </c>
      <c r="AG35" s="41" t="n">
        <f aca="false">(AE35+AF35)/2</f>
        <v>0.0501035716384649</v>
      </c>
      <c r="AH35" s="42" t="n">
        <f aca="false">(SUMPRODUCT((1-(('3. Assumptions'!$B$21/(1-'3. Assumptions'!$B$22))))^('7. Cash flow'!$A$7:$A$86/4)*'7. Cash flow'!$C$7:$C$86/(1+(AG35))^('7. Cash flow'!$A$7:$A$86/4))+SUMPRODUCT((1-(('3. Assumptions'!$B$21/(1-'3. Assumptions'!$B$22))))^(('7. Cash flow'!$A$7:$A$86-1)/4)*(1-(1-(('3. Assumptions'!$B$21/(1-'3. Assumptions'!$B$22))))^0.25)*'7. Cash flow'!$D$7:$D$86/(1+(AG35))^('7. Cash flow'!$A$7:$A$86/4))+(1-(('3. Assumptions'!$B$21/(1-'3. Assumptions'!$B$22))))^'3. Assumptions'!$B$9*'7. Cash flow'!$D$87/(1+(AG35))^'3.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-0.923208594322205</v>
      </c>
      <c r="AJ35" s="41" t="n">
        <f aca="false">IF(AM34&gt;0,AL34,AJ34)</f>
        <v>-0.00180680491030216</v>
      </c>
      <c r="AK35" s="41" t="n">
        <f aca="false">IF(AM34&gt;0,AK34,AL34)</f>
        <v>-0.00180680230259896</v>
      </c>
      <c r="AL35" s="41" t="n">
        <f aca="false">(AJ35+AK35)/2</f>
        <v>-0.00180680360645056</v>
      </c>
      <c r="AM35" s="42" t="n">
        <f aca="false">SUMPRODUCT((1-('3. Assumptions'!$B$21/(1-'3. Assumptions'!$B$22)))^('7. Cash flow'!$A$7:$A$26/4)*('3. Assumptions'!$B$6+'3. Assumptions'!$B$21)/4/(1+'3. Assumptions'!$B$6+AL35)^('7. Cash flow'!$A$7:$A$26/4))+SUMPRODUCT((1-('3. Assumptions'!$B$21/(1-'3. Assumptions'!$B$22)))^(('7. Cash flow'!$A$7:$A$26-1)/4)*(1-(1-('3. Assumptions'!$B$21/(1-'3. Assumptions'!$B$22)))^0.25)*'3. Assumptions'!$B$22/(1+'3. Assumptions'!$B$6+AL35)^('7. Cash flow'!$A$7:$A$26/4))+(1-('3. Assumptions'!$B$21/(1-'3. Assumptions'!$B$22)))^5/(1+'3. Assumptions'!$B$6+AL35)^5-1</f>
        <v>-4.37705882649908E-009</v>
      </c>
    </row>
    <row r="36" customFormat="false" ht="15" hidden="false" customHeight="false" outlineLevel="0" collapsed="false">
      <c r="A36" s="41" t="n">
        <f aca="false">IF(D35&gt;0,C35,A35)</f>
        <v>0.0702608451247215</v>
      </c>
      <c r="B36" s="41" t="n">
        <f aca="false">IF(D35&gt;0,B35,C35)</f>
        <v>0.0702608473598957</v>
      </c>
      <c r="C36" s="41" t="n">
        <f aca="false">(A36+B36)/2</f>
        <v>0.0702608462423086</v>
      </c>
      <c r="D36" s="42" t="n">
        <f aca="false">(SUMPRODUCT((1-(C36))^('7. Cash flow'!$A$7:$A$86/4)*'7. Cash flow'!$C$7:$C$86/(1+(('3. Assumptions'!$B$6+'6. The ladder'!$B$6)))^('7. Cash flow'!$A$7:$A$86/4))+SUMPRODUCT((1-(C36))^(('7. Cash flow'!$A$7:$A$86-1)/4)*(1-(1-(C36))^0.25)*'7. Cash flow'!$D$7:$D$86/(1+(('3. Assumptions'!$B$6+'6. The ladder'!$C$6)))^('7. Cash flow'!$A$7:$A$86/4))+(1-(C36))^'3. Assumptions'!$B$9*'7. Cash flow'!$D$87/(1+(('3. Assumptions'!$B$6+'6. The ladder'!$C$6)))^'3. Assumptions'!$B$9)/(1+'3. Assumptions'!$B$14)-('2. The tape'!$C$17/'3. Assumptions'!$B$4)</f>
        <v>-0.731262803077698</v>
      </c>
      <c r="F36" s="41" t="n">
        <f aca="false">IF(I35&gt;0,H35,F35)</f>
        <v>0.0576608620584011</v>
      </c>
      <c r="G36" s="41" t="n">
        <f aca="false">IF(I35&gt;0,G35,H35)</f>
        <v>0.0576608642935753</v>
      </c>
      <c r="H36" s="41" t="n">
        <f aca="false">(F36+G36)/2</f>
        <v>0.0576608631759882</v>
      </c>
      <c r="I36" s="42" t="n">
        <f aca="false">(SUMPRODUCT((1-(H36))^('7. Cash flow'!$A$7:$A$86/4)*'7. Cash flow'!$C$7:$C$86/(1+(('3. Assumptions'!$B$6+'6. The ladder'!$B$7)))^('7. Cash flow'!$A$7:$A$86/4))+SUMPRODUCT((1-(H36))^(('7. Cash flow'!$A$7:$A$86-1)/4)*(1-(1-(H36))^0.25)*'7. Cash flow'!$D$7:$D$86/(1+(('3. Assumptions'!$B$6+'6. The ladder'!$C$7)))^('7. Cash flow'!$A$7:$A$86/4))+(1-(H36))^'3. Assumptions'!$B$9*'7. Cash flow'!$D$87/(1+(('3. Assumptions'!$B$6+'6. The ladder'!$C$7)))^'3. Assumptions'!$B$9)/(1+'3. Assumptions'!$B$14)-('2. The tape'!$C$17/'3. Assumptions'!$B$4)</f>
        <v>-0.966884881258011</v>
      </c>
      <c r="K36" s="41" t="n">
        <f aca="false">IF(N35&gt;0,M35,K35)</f>
        <v>0.0449128322303295</v>
      </c>
      <c r="L36" s="41" t="n">
        <f aca="false">IF(N35&gt;0,L35,M35)</f>
        <v>0.0449128344655037</v>
      </c>
      <c r="M36" s="41" t="n">
        <f aca="false">(K36+L36)/2</f>
        <v>0.0449128333479166</v>
      </c>
      <c r="N36" s="42" t="n">
        <f aca="false">(SUMPRODUCT((1-(M36))^('7. Cash flow'!$A$7:$A$86/4)*'7. Cash flow'!$C$7:$C$86/(1+(('3. Assumptions'!$B$6+'6. The ladder'!$B$8)))^('7. Cash flow'!$A$7:$A$86/4))+SUMPRODUCT((1-(M36))^(('7. Cash flow'!$A$7:$A$86-1)/4)*(1-(1-(M36))^0.25)*'7. Cash flow'!$D$7:$D$86/(1+(('3. Assumptions'!$B$6+'6. The ladder'!$C$8)))^('7. Cash flow'!$A$7:$A$86/4))+(1-(M36))^'3. Assumptions'!$B$9*'7. Cash flow'!$D$87/(1+(('3. Assumptions'!$B$6+'6. The ladder'!$C$8)))^'3. Assumptions'!$B$9)/(1+'3. Assumptions'!$B$14)-('2. The tape'!$C$17/'3. Assumptions'!$B$4)</f>
        <v>-0.589905738830566</v>
      </c>
      <c r="P36" s="41" t="n">
        <f aca="false">IF(S35&gt;0,R35,P35)</f>
        <v>0.0322850346565247</v>
      </c>
      <c r="Q36" s="41" t="n">
        <f aca="false">IF(S35&gt;0,Q35,R35)</f>
        <v>0.0322850368916988</v>
      </c>
      <c r="R36" s="41" t="n">
        <f aca="false">(P36+Q36)/2</f>
        <v>0.0322850357741118</v>
      </c>
      <c r="S36" s="42" t="n">
        <f aca="false">(SUMPRODUCT((1-(R36))^('7. Cash flow'!$A$7:$A$86/4)*'7. Cash flow'!$C$7:$C$86/(1+(('3. Assumptions'!$B$6+'6. The ladder'!$B$9)))^('7. Cash flow'!$A$7:$A$86/4))+SUMPRODUCT((1-(R36))^(('7. Cash flow'!$A$7:$A$86-1)/4)*(1-(1-(R36))^0.25)*'7. Cash flow'!$D$7:$D$86/(1+(('3. Assumptions'!$B$6+'6. The ladder'!$C$9)))^('7. Cash flow'!$A$7:$A$86/4))+(1-(R36))^'3. Assumptions'!$B$9*'7. Cash flow'!$D$87/(1+(('3. Assumptions'!$B$6+'6. The ladder'!$C$9)))^'3. Assumptions'!$B$9)/(1+'3. Assumptions'!$B$14)-('2. The tape'!$C$17/'3. Assumptions'!$B$4)</f>
        <v>-0.97203329205513</v>
      </c>
      <c r="U36" s="41" t="n">
        <f aca="false">IF(X35&gt;0,W35,U35)</f>
        <v>0.0322850346565247</v>
      </c>
      <c r="V36" s="41" t="n">
        <f aca="false">IF(X35&gt;0,V35,W35)</f>
        <v>0.0322850368916988</v>
      </c>
      <c r="W36" s="41" t="n">
        <f aca="false">(U36+V36)/2</f>
        <v>0.0322850357741118</v>
      </c>
      <c r="X36" s="42" t="n">
        <f aca="false">(SUMPRODUCT((1-(W36))^('7. Cash flow'!$A$7:$A$86/4)*'7. Cash flow'!$C$7:$C$86/(1+('3. Assumptions'!$B$28))^('7. Cash flow'!$A$7:$A$86/4))+SUMPRODUCT((1-(W36))^(('7. Cash flow'!$A$7:$A$86-1)/4)*(1-(1-(W36))^0.25)*'7. Cash flow'!$D$7:$D$86/(1+('3. Assumptions'!$B$29))^('7. Cash flow'!$A$7:$A$86/4))+(1-(W36))^'3. Assumptions'!$B$9*'7. Cash flow'!$D$87/(1+('3. Assumptions'!$B$29))^'3. Assumptions'!$B$9)/(1+'3. Assumptions'!$B$14)-('2. The tape'!$C$17/'3. Assumptions'!$B$4)</f>
        <v>-0.97203329205513</v>
      </c>
      <c r="Z36" s="41" t="n">
        <f aca="false">IF(AC35&gt;0,AB35,Z35)</f>
        <v>0.00364530142396688</v>
      </c>
      <c r="AA36" s="41" t="n">
        <f aca="false">IF(AC35&gt;0,AA35,AB35)</f>
        <v>0.00364530272781849</v>
      </c>
      <c r="AB36" s="41" t="n">
        <f aca="false">(Z36+AA36)/2</f>
        <v>0.00364530207589269</v>
      </c>
      <c r="AC36" s="42" t="n">
        <f aca="false">(SUMPRODUCT((1-(('3. Assumptions'!$B$21/(1-'3. Assumptions'!$B$22))))^('7. Cash flow'!$A$7:$A$86/4)*'7. Cash flow'!$C$7:$C$86/(1+('3. Assumptions'!$B$6+AB36))^('7. Cash flow'!$A$7:$A$86/4))+SUMPRODUCT((1-(('3. Assumptions'!$B$21/(1-'3. Assumptions'!$B$22))))^(('7. Cash flow'!$A$7:$A$86-1)/4)*(1-(1-(('3. Assumptions'!$B$21/(1-'3. Assumptions'!$B$22))))^0.25)*'7. Cash flow'!$D$7:$D$86/(1+('3. Assumptions'!$B$6+AB36))^('7. Cash flow'!$A$7:$A$86/4))+(1-(('3. Assumptions'!$B$21/(1-'3. Assumptions'!$B$22))))^'3. Assumptions'!$B$9*'7. Cash flow'!$D$87/(1+('3. Assumptions'!$B$6+AB36))^'3. Assumptions'!$B$9)/(1+'3. Assumptions'!$B$14)-('2. The tape'!$C$17/'3. Assumptions'!$B$4)</f>
        <v>-0.0701117217540741</v>
      </c>
      <c r="AE36" s="41" t="n">
        <f aca="false">IF(AH35&gt;0,AG35,AE35)</f>
        <v>0.0501035705208778</v>
      </c>
      <c r="AF36" s="41" t="n">
        <f aca="false">IF(AH35&gt;0,AF35,AG35)</f>
        <v>0.0501035716384649</v>
      </c>
      <c r="AG36" s="41" t="n">
        <f aca="false">(AE36+AF36)/2</f>
        <v>0.0501035710796714</v>
      </c>
      <c r="AH36" s="42" t="n">
        <f aca="false">(SUMPRODUCT((1-(('3. Assumptions'!$B$21/(1-'3. Assumptions'!$B$22))))^('7. Cash flow'!$A$7:$A$86/4)*'7. Cash flow'!$C$7:$C$86/(1+(AG36))^('7. Cash flow'!$A$7:$A$86/4))+SUMPRODUCT((1-(('3. Assumptions'!$B$21/(1-'3. Assumptions'!$B$22))))^(('7. Cash flow'!$A$7:$A$86-1)/4)*(1-(1-(('3. Assumptions'!$B$21/(1-'3. Assumptions'!$B$22))))^0.25)*'7. Cash flow'!$D$7:$D$86/(1+(AG36))^('7. Cash flow'!$A$7:$A$86/4))+(1-(('3. Assumptions'!$B$21/(1-'3. Assumptions'!$B$22))))^'3. Assumptions'!$B$9*'7. Cash flow'!$D$87/(1+(AG36))^'3.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-0.292015254497528</v>
      </c>
      <c r="AJ36" s="41" t="n">
        <f aca="false">IF(AM35&gt;0,AL35,AJ35)</f>
        <v>-0.00180680491030216</v>
      </c>
      <c r="AK36" s="41" t="n">
        <f aca="false">IF(AM35&gt;0,AK35,AL35)</f>
        <v>-0.00180680360645056</v>
      </c>
      <c r="AL36" s="41" t="n">
        <f aca="false">(AJ36+AK36)/2</f>
        <v>-0.00180680425837636</v>
      </c>
      <c r="AM36" s="42" t="n">
        <f aca="false">SUMPRODUCT((1-('3. Assumptions'!$B$21/(1-'3. Assumptions'!$B$22)))^('7. Cash flow'!$A$7:$A$26/4)*('3. Assumptions'!$B$6+'3. Assumptions'!$B$21)/4/(1+'3. Assumptions'!$B$6+AL36)^('7. Cash flow'!$A$7:$A$26/4))+SUMPRODUCT((1-('3. Assumptions'!$B$21/(1-'3. Assumptions'!$B$22)))^(('7. Cash flow'!$A$7:$A$26-1)/4)*(1-(1-('3. Assumptions'!$B$21/(1-'3. Assumptions'!$B$22)))^0.25)*'3. Assumptions'!$B$22/(1+'3. Assumptions'!$B$6+AL36)^('7. Cash flow'!$A$7:$A$26/4))+(1-('3. Assumptions'!$B$21/(1-'3. Assumptions'!$B$22)))^5/(1+'3. Assumptions'!$B$6+AL36)^5-1</f>
        <v>-1.7865033896669E-009</v>
      </c>
    </row>
    <row r="37" customFormat="false" ht="15" hidden="false" customHeight="false" outlineLevel="0" collapsed="false">
      <c r="A37" s="41" t="n">
        <f aca="false">IF(D36&gt;0,C36,A36)</f>
        <v>0.0702608451247215</v>
      </c>
      <c r="B37" s="41" t="n">
        <f aca="false">IF(D36&gt;0,B36,C36)</f>
        <v>0.0702608462423086</v>
      </c>
      <c r="C37" s="41" t="n">
        <f aca="false">(A37+B37)/2</f>
        <v>0.0702608456835151</v>
      </c>
      <c r="D37" s="42" t="n">
        <f aca="false">(SUMPRODUCT((1-(C37))^('7. Cash flow'!$A$7:$A$86/4)*'7. Cash flow'!$C$7:$C$86/(1+(('3. Assumptions'!$B$6+'6. The ladder'!$B$6)))^('7. Cash flow'!$A$7:$A$86/4))+SUMPRODUCT((1-(C37))^(('7. Cash flow'!$A$7:$A$86-1)/4)*(1-(1-(C37))^0.25)*'7. Cash flow'!$D$7:$D$86/(1+(('3. Assumptions'!$B$6+'6. The ladder'!$C$6)))^('7. Cash flow'!$A$7:$A$86/4))+(1-(C37))^'3. Assumptions'!$B$9*'7. Cash flow'!$D$87/(1+(('3. Assumptions'!$B$6+'6. The ladder'!$C$6)))^'3. Assumptions'!$B$9)/(1+'3. Assumptions'!$B$14)-('2. The tape'!$C$17/'3. Assumptions'!$B$4)</f>
        <v>-0.243429154157639</v>
      </c>
      <c r="F37" s="41" t="n">
        <f aca="false">IF(I36&gt;0,H36,F36)</f>
        <v>0.0576608620584011</v>
      </c>
      <c r="G37" s="41" t="n">
        <f aca="false">IF(I36&gt;0,G36,H36)</f>
        <v>0.0576608631759882</v>
      </c>
      <c r="H37" s="41" t="n">
        <f aca="false">(F37+G37)/2</f>
        <v>0.0576608626171946</v>
      </c>
      <c r="I37" s="42" t="n">
        <f aca="false">(SUMPRODUCT((1-(H37))^('7. Cash flow'!$A$7:$A$86/4)*'7. Cash flow'!$C$7:$C$86/(1+(('3. Assumptions'!$B$6+'6. The ladder'!$B$7)))^('7. Cash flow'!$A$7:$A$86/4))+SUMPRODUCT((1-(H37))^(('7. Cash flow'!$A$7:$A$86-1)/4)*(1-(1-(H37))^0.25)*'7. Cash flow'!$D$7:$D$86/(1+(('3. Assumptions'!$B$6+'6. The ladder'!$C$7)))^('7. Cash flow'!$A$7:$A$86/4))+(1-(H37))^'3. Assumptions'!$B$9*'7. Cash flow'!$D$87/(1+(('3. Assumptions'!$B$6+'6. The ladder'!$C$7)))^'3. Assumptions'!$B$9)/(1+'3. Assumptions'!$B$14)-('2. The tape'!$C$17/'3. Assumptions'!$B$4)</f>
        <v>-0.480823010206223</v>
      </c>
      <c r="K37" s="41" t="n">
        <f aca="false">IF(N36&gt;0,M36,K36)</f>
        <v>0.0449128322303295</v>
      </c>
      <c r="L37" s="41" t="n">
        <f aca="false">IF(N36&gt;0,L36,M36)</f>
        <v>0.0449128333479166</v>
      </c>
      <c r="M37" s="41" t="n">
        <f aca="false">(K37+L37)/2</f>
        <v>0.0449128327891231</v>
      </c>
      <c r="N37" s="42" t="n">
        <f aca="false">(SUMPRODUCT((1-(M37))^('7. Cash flow'!$A$7:$A$86/4)*'7. Cash flow'!$C$7:$C$86/(1+(('3. Assumptions'!$B$6+'6. The ladder'!$B$8)))^('7. Cash flow'!$A$7:$A$86/4))+SUMPRODUCT((1-(M37))^(('7. Cash flow'!$A$7:$A$86-1)/4)*(1-(1-(M37))^0.25)*'7. Cash flow'!$D$7:$D$86/(1+(('3. Assumptions'!$B$6+'6. The ladder'!$C$8)))^('7. Cash flow'!$A$7:$A$86/4))+(1-(M37))^'3. Assumptions'!$B$9*'7. Cash flow'!$D$87/(1+(('3. Assumptions'!$B$6+'6. The ladder'!$C$8)))^'3. Assumptions'!$B$9)/(1+'3. Assumptions'!$B$14)-('2. The tape'!$C$17/'3. Assumptions'!$B$4)</f>
        <v>-0.0728922486305237</v>
      </c>
      <c r="P37" s="41" t="n">
        <f aca="false">IF(S36&gt;0,R36,P36)</f>
        <v>0.0322850346565247</v>
      </c>
      <c r="Q37" s="41" t="n">
        <f aca="false">IF(S36&gt;0,Q36,R36)</f>
        <v>0.0322850357741118</v>
      </c>
      <c r="R37" s="41" t="n">
        <f aca="false">(P37+Q37)/2</f>
        <v>0.0322850352153182</v>
      </c>
      <c r="S37" s="42" t="n">
        <f aca="false">(SUMPRODUCT((1-(R37))^('7. Cash flow'!$A$7:$A$86/4)*'7. Cash flow'!$C$7:$C$86/(1+(('3. Assumptions'!$B$6+'6. The ladder'!$B$9)))^('7. Cash flow'!$A$7:$A$86/4))+SUMPRODUCT((1-(R37))^(('7. Cash flow'!$A$7:$A$86-1)/4)*(1-(1-(R37))^0.25)*'7. Cash flow'!$D$7:$D$86/(1+(('3. Assumptions'!$B$6+'6. The ladder'!$C$9)))^('7. Cash flow'!$A$7:$A$86/4))+(1-(R37))^'3. Assumptions'!$B$9*'7. Cash flow'!$D$87/(1+(('3. Assumptions'!$B$6+'6. The ladder'!$C$9)))^'3. Assumptions'!$B$9)/(1+'3. Assumptions'!$B$14)-('2. The tape'!$C$17/'3. Assumptions'!$B$4)</f>
        <v>-0.410106420516968</v>
      </c>
      <c r="U37" s="41" t="n">
        <f aca="false">IF(X36&gt;0,W36,U36)</f>
        <v>0.0322850346565247</v>
      </c>
      <c r="V37" s="41" t="n">
        <f aca="false">IF(X36&gt;0,V36,W36)</f>
        <v>0.0322850357741118</v>
      </c>
      <c r="W37" s="41" t="n">
        <f aca="false">(U37+V37)/2</f>
        <v>0.0322850352153182</v>
      </c>
      <c r="X37" s="42" t="n">
        <f aca="false">(SUMPRODUCT((1-(W37))^('7. Cash flow'!$A$7:$A$86/4)*'7. Cash flow'!$C$7:$C$86/(1+('3. Assumptions'!$B$28))^('7. Cash flow'!$A$7:$A$86/4))+SUMPRODUCT((1-(W37))^(('7. Cash flow'!$A$7:$A$86-1)/4)*(1-(1-(W37))^0.25)*'7. Cash flow'!$D$7:$D$86/(1+('3. Assumptions'!$B$29))^('7. Cash flow'!$A$7:$A$86/4))+(1-(W37))^'3. Assumptions'!$B$9*'7. Cash flow'!$D$87/(1+('3. Assumptions'!$B$29))^'3. Assumptions'!$B$9)/(1+'3. Assumptions'!$B$14)-('2. The tape'!$C$17/'3. Assumptions'!$B$4)</f>
        <v>-0.410106420516968</v>
      </c>
      <c r="Z37" s="41" t="n">
        <f aca="false">IF(AC36&gt;0,AB36,Z36)</f>
        <v>0.00364530142396688</v>
      </c>
      <c r="AA37" s="41" t="n">
        <f aca="false">IF(AC36&gt;0,AA36,AB36)</f>
        <v>0.00364530207589269</v>
      </c>
      <c r="AB37" s="41" t="n">
        <f aca="false">(Z37+AA37)/2</f>
        <v>0.00364530174992978</v>
      </c>
      <c r="AC37" s="42" t="n">
        <f aca="false">(SUMPRODUCT((1-(('3. Assumptions'!$B$21/(1-'3. Assumptions'!$B$22))))^('7. Cash flow'!$A$7:$A$86/4)*'7. Cash flow'!$C$7:$C$86/(1+('3. Assumptions'!$B$6+AB37))^('7. Cash flow'!$A$7:$A$86/4))+SUMPRODUCT((1-(('3. Assumptions'!$B$21/(1-'3. Assumptions'!$B$22))))^(('7. Cash flow'!$A$7:$A$86-1)/4)*(1-(1-(('3. Assumptions'!$B$21/(1-'3. Assumptions'!$B$22))))^0.25)*'7. Cash flow'!$D$7:$D$86/(1+('3. Assumptions'!$B$6+AB37))^('7. Cash flow'!$A$7:$A$86/4))+(1-(('3. Assumptions'!$B$21/(1-'3. Assumptions'!$B$22))))^'3. Assumptions'!$B$9*'7. Cash flow'!$D$87/(1+('3. Assumptions'!$B$6+AB37))^'3. Assumptions'!$B$9)/(1+'3. Assumptions'!$B$14)-('2. The tape'!$C$17/'3. Assumptions'!$B$4)</f>
        <v>0.411464542150497</v>
      </c>
      <c r="AE37" s="41" t="n">
        <f aca="false">IF(AH36&gt;0,AG36,AE36)</f>
        <v>0.0501035705208778</v>
      </c>
      <c r="AF37" s="41" t="n">
        <f aca="false">IF(AH36&gt;0,AF36,AG36)</f>
        <v>0.0501035710796714</v>
      </c>
      <c r="AG37" s="41" t="n">
        <f aca="false">(AE37+AF37)/2</f>
        <v>0.0501035708002746</v>
      </c>
      <c r="AH37" s="42" t="n">
        <f aca="false">(SUMPRODUCT((1-(('3. Assumptions'!$B$21/(1-'3. Assumptions'!$B$22))))^('7. Cash flow'!$A$7:$A$86/4)*'7. Cash flow'!$C$7:$C$86/(1+(AG37))^('7. Cash flow'!$A$7:$A$86/4))+SUMPRODUCT((1-(('3. Assumptions'!$B$21/(1-'3. Assumptions'!$B$22))))^(('7. Cash flow'!$A$7:$A$86-1)/4)*(1-(1-(('3. Assumptions'!$B$21/(1-'3. Assumptions'!$B$22))))^0.25)*'7. Cash flow'!$D$7:$D$86/(1+(AG37))^('7. Cash flow'!$A$7:$A$86/4))+(1-(('3. Assumptions'!$B$21/(1-'3. Assumptions'!$B$22))))^'3. Assumptions'!$B$9*'7. Cash flow'!$D$87/(1+(AG37))^'3.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0.0235812664031982</v>
      </c>
      <c r="AJ37" s="41" t="n">
        <f aca="false">IF(AM36&gt;0,AL36,AJ36)</f>
        <v>-0.00180680491030216</v>
      </c>
      <c r="AK37" s="41" t="n">
        <f aca="false">IF(AM36&gt;0,AK36,AL36)</f>
        <v>-0.00180680425837636</v>
      </c>
      <c r="AL37" s="41" t="n">
        <f aca="false">(AJ37+AK37)/2</f>
        <v>-0.00180680458433926</v>
      </c>
      <c r="AM37" s="42" t="n">
        <f aca="false">SUMPRODUCT((1-('3. Assumptions'!$B$21/(1-'3. Assumptions'!$B$22)))^('7. Cash flow'!$A$7:$A$26/4)*('3. Assumptions'!$B$6+'3. Assumptions'!$B$21)/4/(1+'3. Assumptions'!$B$6+AL37)^('7. Cash flow'!$A$7:$A$26/4))+SUMPRODUCT((1-('3. Assumptions'!$B$21/(1-'3. Assumptions'!$B$22)))^(('7. Cash flow'!$A$7:$A$26-1)/4)*(1-(1-('3. Assumptions'!$B$21/(1-'3. Assumptions'!$B$22)))^0.25)*'3. Assumptions'!$B$22/(1+'3. Assumptions'!$B$6+AL37)^('7. Cash flow'!$A$7:$A$26/4))+(1-('3. Assumptions'!$B$21/(1-'3. Assumptions'!$B$22)))^5/(1+'3. Assumptions'!$B$6+AL37)^5-1</f>
        <v>-4.91225060628153E-010</v>
      </c>
    </row>
    <row r="38" customFormat="false" ht="15" hidden="false" customHeight="false" outlineLevel="0" collapsed="false">
      <c r="A38" s="41" t="n">
        <f aca="false">IF(D37&gt;0,C37,A37)</f>
        <v>0.0702608451247215</v>
      </c>
      <c r="B38" s="41" t="n">
        <f aca="false">IF(D37&gt;0,B37,C37)</f>
        <v>0.0702608456835151</v>
      </c>
      <c r="C38" s="41" t="n">
        <f aca="false">(A38+B38)/2</f>
        <v>0.0702608454041183</v>
      </c>
      <c r="D38" s="42" t="n">
        <f aca="false">(SUMPRODUCT((1-(C38))^('7. Cash flow'!$A$7:$A$86/4)*'7. Cash flow'!$C$7:$C$86/(1+(('3. Assumptions'!$B$6+'6. The ladder'!$B$6)))^('7. Cash flow'!$A$7:$A$86/4))+SUMPRODUCT((1-(C38))^(('7. Cash flow'!$A$7:$A$86-1)/4)*(1-(1-(C38))^0.25)*'7. Cash flow'!$D$7:$D$86/(1+(('3. Assumptions'!$B$6+'6. The ladder'!$C$6)))^('7. Cash flow'!$A$7:$A$86/4))+(1-(C38))^'3. Assumptions'!$B$9*'7. Cash flow'!$D$87/(1+(('3. Assumptions'!$B$6+'6. The ladder'!$C$6)))^'3. Assumptions'!$B$9)/(1+'3. Assumptions'!$B$14)-('2. The tape'!$C$17/'3. Assumptions'!$B$4)</f>
        <v>0.000487625598907471</v>
      </c>
      <c r="F38" s="41" t="n">
        <f aca="false">IF(I37&gt;0,H37,F37)</f>
        <v>0.0576608620584011</v>
      </c>
      <c r="G38" s="41" t="n">
        <f aca="false">IF(I37&gt;0,G37,H37)</f>
        <v>0.0576608626171946</v>
      </c>
      <c r="H38" s="41" t="n">
        <f aca="false">(F38+G38)/2</f>
        <v>0.0576608623377979</v>
      </c>
      <c r="I38" s="42" t="n">
        <f aca="false">(SUMPRODUCT((1-(H38))^('7. Cash flow'!$A$7:$A$86/4)*'7. Cash flow'!$C$7:$C$86/(1+(('3. Assumptions'!$B$6+'6. The ladder'!$B$7)))^('7. Cash flow'!$A$7:$A$86/4))+SUMPRODUCT((1-(H38))^(('7. Cash flow'!$A$7:$A$86-1)/4)*(1-(1-(H38))^0.25)*'7. Cash flow'!$D$7:$D$86/(1+(('3. Assumptions'!$B$6+'6. The ladder'!$C$7)))^('7. Cash flow'!$A$7:$A$86/4))+(1-(H38))^'3. Assumptions'!$B$9*'7. Cash flow'!$D$87/(1+(('3. Assumptions'!$B$6+'6. The ladder'!$C$7)))^'3. Assumptions'!$B$9)/(1+'3. Assumptions'!$B$14)-('2. The tape'!$C$17/'3. Assumptions'!$B$4)</f>
        <v>-0.237792104482651</v>
      </c>
      <c r="K38" s="41" t="n">
        <f aca="false">IF(N37&gt;0,M37,K37)</f>
        <v>0.0449128322303295</v>
      </c>
      <c r="L38" s="41" t="n">
        <f aca="false">IF(N37&gt;0,L37,M37)</f>
        <v>0.0449128327891231</v>
      </c>
      <c r="M38" s="41" t="n">
        <f aca="false">(K38+L38)/2</f>
        <v>0.0449128325097263</v>
      </c>
      <c r="N38" s="42" t="n">
        <f aca="false">(SUMPRODUCT((1-(M38))^('7. Cash flow'!$A$7:$A$86/4)*'7. Cash flow'!$C$7:$C$86/(1+(('3. Assumptions'!$B$6+'6. The ladder'!$B$8)))^('7. Cash flow'!$A$7:$A$86/4))+SUMPRODUCT((1-(M38))^(('7. Cash flow'!$A$7:$A$86-1)/4)*(1-(1-(M38))^0.25)*'7. Cash flow'!$D$7:$D$86/(1+(('3. Assumptions'!$B$6+'6. The ladder'!$C$8)))^('7. Cash flow'!$A$7:$A$86/4))+(1-(M38))^'3. Assumptions'!$B$9*'7. Cash flow'!$D$87/(1+(('3. Assumptions'!$B$6+'6. The ladder'!$C$8)))^'3. Assumptions'!$B$9)/(1+'3. Assumptions'!$B$14)-('2. The tape'!$C$17/'3. Assumptions'!$B$4)</f>
        <v>0.185614407062531</v>
      </c>
      <c r="P38" s="41" t="n">
        <f aca="false">IF(S37&gt;0,R37,P37)</f>
        <v>0.0322850346565247</v>
      </c>
      <c r="Q38" s="41" t="n">
        <f aca="false">IF(S37&gt;0,Q37,R37)</f>
        <v>0.0322850352153182</v>
      </c>
      <c r="R38" s="41" t="n">
        <f aca="false">(P38+Q38)/2</f>
        <v>0.0322850349359214</v>
      </c>
      <c r="S38" s="42" t="n">
        <f aca="false">(SUMPRODUCT((1-(R38))^('7. Cash flow'!$A$7:$A$86/4)*'7. Cash flow'!$C$7:$C$86/(1+(('3. Assumptions'!$B$6+'6. The ladder'!$B$9)))^('7. Cash flow'!$A$7:$A$86/4))+SUMPRODUCT((1-(R38))^(('7. Cash flow'!$A$7:$A$86-1)/4)*(1-(1-(R38))^0.25)*'7. Cash flow'!$D$7:$D$86/(1+(('3. Assumptions'!$B$6+'6. The ladder'!$C$9)))^('7. Cash flow'!$A$7:$A$86/4))+(1-(R38))^'3. Assumptions'!$B$9*'7. Cash flow'!$D$87/(1+(('3. Assumptions'!$B$6+'6. The ladder'!$C$9)))^'3. Assumptions'!$B$9)/(1+'3. Assumptions'!$B$14)-('2. The tape'!$C$17/'3. Assumptions'!$B$4)</f>
        <v>-0.129142880439758</v>
      </c>
      <c r="U38" s="41" t="n">
        <f aca="false">IF(X37&gt;0,W37,U37)</f>
        <v>0.0322850346565247</v>
      </c>
      <c r="V38" s="41" t="n">
        <f aca="false">IF(X37&gt;0,V37,W37)</f>
        <v>0.0322850352153182</v>
      </c>
      <c r="W38" s="41" t="n">
        <f aca="false">(U38+V38)/2</f>
        <v>0.0322850349359214</v>
      </c>
      <c r="X38" s="42" t="n">
        <f aca="false">(SUMPRODUCT((1-(W38))^('7. Cash flow'!$A$7:$A$86/4)*'7. Cash flow'!$C$7:$C$86/(1+('3. Assumptions'!$B$28))^('7. Cash flow'!$A$7:$A$86/4))+SUMPRODUCT((1-(W38))^(('7. Cash flow'!$A$7:$A$86-1)/4)*(1-(1-(W38))^0.25)*'7. Cash flow'!$D$7:$D$86/(1+('3. Assumptions'!$B$29))^('7. Cash flow'!$A$7:$A$86/4))+(1-(W38))^'3. Assumptions'!$B$9*'7. Cash flow'!$D$87/(1+('3. Assumptions'!$B$29))^'3. Assumptions'!$B$9)/(1+'3. Assumptions'!$B$14)-('2. The tape'!$C$17/'3. Assumptions'!$B$4)</f>
        <v>-0.129142880439758</v>
      </c>
      <c r="Z38" s="41" t="n">
        <f aca="false">IF(AC37&gt;0,AB37,Z37)</f>
        <v>0.00364530174992978</v>
      </c>
      <c r="AA38" s="41" t="n">
        <f aca="false">IF(AC37&gt;0,AA37,AB37)</f>
        <v>0.00364530207589269</v>
      </c>
      <c r="AB38" s="41" t="n">
        <f aca="false">(Z38+AA38)/2</f>
        <v>0.00364530191291123</v>
      </c>
      <c r="AC38" s="42" t="n">
        <f aca="false">(SUMPRODUCT((1-(('3. Assumptions'!$B$21/(1-'3. Assumptions'!$B$22))))^('7. Cash flow'!$A$7:$A$86/4)*'7. Cash flow'!$C$7:$C$86/(1+('3. Assumptions'!$B$6+AB38))^('7. Cash flow'!$A$7:$A$86/4))+SUMPRODUCT((1-(('3. Assumptions'!$B$21/(1-'3. Assumptions'!$B$22))))^(('7. Cash flow'!$A$7:$A$86-1)/4)*(1-(1-(('3. Assumptions'!$B$21/(1-'3. Assumptions'!$B$22))))^0.25)*'7. Cash flow'!$D$7:$D$86/(1+('3. Assumptions'!$B$6+AB38))^('7. Cash flow'!$A$7:$A$86/4))+(1-(('3. Assumptions'!$B$21/(1-'3. Assumptions'!$B$22))))^'3. Assumptions'!$B$9*'7. Cash flow'!$D$87/(1+('3. Assumptions'!$B$6+AB38))^'3. Assumptions'!$B$9)/(1+'3. Assumptions'!$B$14)-('2. The tape'!$C$17/'3. Assumptions'!$B$4)</f>
        <v>0.170676410198212</v>
      </c>
      <c r="AE38" s="41" t="n">
        <f aca="false">IF(AH37&gt;0,AG37,AE37)</f>
        <v>0.0501035708002746</v>
      </c>
      <c r="AF38" s="41" t="n">
        <f aca="false">IF(AH37&gt;0,AF37,AG37)</f>
        <v>0.0501035710796714</v>
      </c>
      <c r="AG38" s="41" t="n">
        <f aca="false">(AE38+AF38)/2</f>
        <v>0.050103570939973</v>
      </c>
      <c r="AH38" s="42" t="n">
        <f aca="false">(SUMPRODUCT((1-(('3. Assumptions'!$B$21/(1-'3. Assumptions'!$B$22))))^('7. Cash flow'!$A$7:$A$86/4)*'7. Cash flow'!$C$7:$C$86/(1+(AG38))^('7. Cash flow'!$A$7:$A$86/4))+SUMPRODUCT((1-(('3. Assumptions'!$B$21/(1-'3. Assumptions'!$B$22))))^(('7. Cash flow'!$A$7:$A$86-1)/4)*(1-(1-(('3. Assumptions'!$B$21/(1-'3. Assumptions'!$B$22))))^0.25)*'7. Cash flow'!$D$7:$D$86/(1+(AG38))^('7. Cash flow'!$A$7:$A$86/4))+(1-(('3. Assumptions'!$B$21/(1-'3. Assumptions'!$B$22))))^'3. Assumptions'!$B$9*'7. Cash flow'!$D$87/(1+(AG38))^'3.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-0.134217143058777</v>
      </c>
      <c r="AJ38" s="41" t="n">
        <f aca="false">IF(AM37&gt;0,AL37,AJ37)</f>
        <v>-0.00180680491030216</v>
      </c>
      <c r="AK38" s="41" t="n">
        <f aca="false">IF(AM37&gt;0,AK37,AL37)</f>
        <v>-0.00180680458433926</v>
      </c>
      <c r="AL38" s="41" t="n">
        <f aca="false">(AJ38+AK38)/2</f>
        <v>-0.00180680474732071</v>
      </c>
      <c r="AM38" s="42" t="n">
        <f aca="false">SUMPRODUCT((1-('3. Assumptions'!$B$21/(1-'3. Assumptions'!$B$22)))^('7. Cash flow'!$A$7:$A$26/4)*('3. Assumptions'!$B$6+'3. Assumptions'!$B$21)/4/(1+'3. Assumptions'!$B$6+AL38)^('7. Cash flow'!$A$7:$A$26/4))+SUMPRODUCT((1-('3. Assumptions'!$B$21/(1-'3. Assumptions'!$B$22)))^(('7. Cash flow'!$A$7:$A$26-1)/4)*(1-(1-('3. Assumptions'!$B$21/(1-'3. Assumptions'!$B$22)))^0.25)*'3. Assumptions'!$B$22/(1+'3. Assumptions'!$B$6+AL38)^('7. Cash flow'!$A$7:$A$26/4))+(1-('3. Assumptions'!$B$21/(1-'3. Assumptions'!$B$22)))^5/(1+'3. Assumptions'!$B$6+AL38)^5-1</f>
        <v>1.5641354877971E-010</v>
      </c>
    </row>
    <row r="39" customFormat="false" ht="15" hidden="false" customHeight="false" outlineLevel="0" collapsed="false">
      <c r="A39" s="41" t="n">
        <f aca="false">IF(D38&gt;0,C38,A38)</f>
        <v>0.0702608454041183</v>
      </c>
      <c r="B39" s="41" t="n">
        <f aca="false">IF(D38&gt;0,B38,C38)</f>
        <v>0.0702608456835151</v>
      </c>
      <c r="C39" s="41" t="n">
        <f aca="false">(A39+B39)/2</f>
        <v>0.0702608455438167</v>
      </c>
      <c r="D39" s="42" t="n">
        <f aca="false">(SUMPRODUCT((1-(C39))^('7. Cash flow'!$A$7:$A$86/4)*'7. Cash flow'!$C$7:$C$86/(1+(('3. Assumptions'!$B$6+'6. The ladder'!$B$6)))^('7. Cash flow'!$A$7:$A$86/4))+SUMPRODUCT((1-(C39))^(('7. Cash flow'!$A$7:$A$86-1)/4)*(1-(1-(C39))^0.25)*'7. Cash flow'!$D$7:$D$86/(1+(('3. Assumptions'!$B$6+'6. The ladder'!$C$6)))^('7. Cash flow'!$A$7:$A$86/4))+(1-(C39))^'3. Assumptions'!$B$9*'7. Cash flow'!$D$87/(1+(('3. Assumptions'!$B$6+'6. The ladder'!$C$6)))^'3. Assumptions'!$B$9)/(1+'3. Assumptions'!$B$14)-('2. The tape'!$C$17/'3. Assumptions'!$B$4)</f>
        <v>-0.121470838785172</v>
      </c>
      <c r="F39" s="41" t="n">
        <f aca="false">IF(I38&gt;0,H38,F38)</f>
        <v>0.0576608620584011</v>
      </c>
      <c r="G39" s="41" t="n">
        <f aca="false">IF(I38&gt;0,G38,H38)</f>
        <v>0.0576608623377979</v>
      </c>
      <c r="H39" s="41" t="n">
        <f aca="false">(F39+G39)/2</f>
        <v>0.0576608621980995</v>
      </c>
      <c r="I39" s="42" t="n">
        <f aca="false">(SUMPRODUCT((1-(H39))^('7. Cash flow'!$A$7:$A$86/4)*'7. Cash flow'!$C$7:$C$86/(1+(('3. Assumptions'!$B$6+'6. The ladder'!$B$7)))^('7. Cash flow'!$A$7:$A$86/4))+SUMPRODUCT((1-(H39))^(('7. Cash flow'!$A$7:$A$86-1)/4)*(1-(1-(H39))^0.25)*'7. Cash flow'!$D$7:$D$86/(1+(('3. Assumptions'!$B$6+'6. The ladder'!$C$7)))^('7. Cash flow'!$A$7:$A$86/4))+(1-(H39))^'3. Assumptions'!$B$9*'7. Cash flow'!$D$87/(1+(('3. Assumptions'!$B$6+'6. The ladder'!$C$7)))^'3. Assumptions'!$B$9)/(1+'3. Assumptions'!$B$14)-('2. The tape'!$C$17/'3. Assumptions'!$B$4)</f>
        <v>-0.116276532411575</v>
      </c>
      <c r="K39" s="41" t="n">
        <f aca="false">IF(N38&gt;0,M38,K38)</f>
        <v>0.0449128325097263</v>
      </c>
      <c r="L39" s="41" t="n">
        <f aca="false">IF(N38&gt;0,L38,M38)</f>
        <v>0.0449128327891231</v>
      </c>
      <c r="M39" s="41" t="n">
        <f aca="false">(K39+L39)/2</f>
        <v>0.0449128326494247</v>
      </c>
      <c r="N39" s="42" t="n">
        <f aca="false">(SUMPRODUCT((1-(M39))^('7. Cash flow'!$A$7:$A$86/4)*'7. Cash flow'!$C$7:$C$86/(1+(('3. Assumptions'!$B$6+'6. The ladder'!$B$8)))^('7. Cash flow'!$A$7:$A$86/4))+SUMPRODUCT((1-(M39))^(('7. Cash flow'!$A$7:$A$86-1)/4)*(1-(1-(M39))^0.25)*'7. Cash flow'!$D$7:$D$86/(1+(('3. Assumptions'!$B$6+'6. The ladder'!$C$8)))^('7. Cash flow'!$A$7:$A$86/4))+(1-(M39))^'3. Assumptions'!$B$9*'7. Cash flow'!$D$87/(1+(('3. Assumptions'!$B$6+'6. The ladder'!$C$8)))^'3. Assumptions'!$B$9)/(1+'3. Assumptions'!$B$14)-('2. The tape'!$C$17/'3. Assumptions'!$B$4)</f>
        <v>0.0563612580299377</v>
      </c>
      <c r="P39" s="41" t="n">
        <f aca="false">IF(S38&gt;0,R38,P38)</f>
        <v>0.0322850346565247</v>
      </c>
      <c r="Q39" s="41" t="n">
        <f aca="false">IF(S38&gt;0,Q38,R38)</f>
        <v>0.0322850349359214</v>
      </c>
      <c r="R39" s="41" t="n">
        <f aca="false">(P39+Q39)/2</f>
        <v>0.032285034796223</v>
      </c>
      <c r="S39" s="42" t="n">
        <f aca="false">(SUMPRODUCT((1-(R39))^('7. Cash flow'!$A$7:$A$86/4)*'7. Cash flow'!$C$7:$C$86/(1+(('3. Assumptions'!$B$6+'6. The ladder'!$B$9)))^('7. Cash flow'!$A$7:$A$86/4))+SUMPRODUCT((1-(R39))^(('7. Cash flow'!$A$7:$A$86-1)/4)*(1-(1-(R39))^0.25)*'7. Cash flow'!$D$7:$D$86/(1+(('3. Assumptions'!$B$6+'6. The ladder'!$C$9)))^('7. Cash flow'!$A$7:$A$86/4))+(1-(R39))^'3. Assumptions'!$B$9*'7. Cash flow'!$D$87/(1+(('3. Assumptions'!$B$6+'6. The ladder'!$C$9)))^'3. Assumptions'!$B$9)/(1+'3. Assumptions'!$B$14)-('2. The tape'!$C$17/'3. Assumptions'!$B$4)</f>
        <v>0.0113386511802673</v>
      </c>
      <c r="U39" s="41" t="n">
        <f aca="false">IF(X38&gt;0,W38,U38)</f>
        <v>0.0322850346565247</v>
      </c>
      <c r="V39" s="41" t="n">
        <f aca="false">IF(X38&gt;0,V38,W38)</f>
        <v>0.0322850349359214</v>
      </c>
      <c r="W39" s="41" t="n">
        <f aca="false">(U39+V39)/2</f>
        <v>0.032285034796223</v>
      </c>
      <c r="X39" s="42" t="n">
        <f aca="false">(SUMPRODUCT((1-(W39))^('7. Cash flow'!$A$7:$A$86/4)*'7. Cash flow'!$C$7:$C$86/(1+('3. Assumptions'!$B$28))^('7. Cash flow'!$A$7:$A$86/4))+SUMPRODUCT((1-(W39))^(('7. Cash flow'!$A$7:$A$86-1)/4)*(1-(1-(W39))^0.25)*'7. Cash flow'!$D$7:$D$86/(1+('3. Assumptions'!$B$29))^('7. Cash flow'!$A$7:$A$86/4))+(1-(W39))^'3. Assumptions'!$B$9*'7. Cash flow'!$D$87/(1+('3. Assumptions'!$B$29))^'3. Assumptions'!$B$9)/(1+'3. Assumptions'!$B$14)-('2. The tape'!$C$17/'3. Assumptions'!$B$4)</f>
        <v>0.0113386511802673</v>
      </c>
      <c r="Z39" s="41" t="n">
        <f aca="false">IF(AC38&gt;0,AB38,Z38)</f>
        <v>0.00364530191291123</v>
      </c>
      <c r="AA39" s="41" t="n">
        <f aca="false">IF(AC38&gt;0,AA38,AB38)</f>
        <v>0.00364530207589269</v>
      </c>
      <c r="AB39" s="41" t="n">
        <f aca="false">(Z39+AA39)/2</f>
        <v>0.00364530199440196</v>
      </c>
      <c r="AC39" s="42" t="n">
        <f aca="false">(SUMPRODUCT((1-(('3. Assumptions'!$B$21/(1-'3. Assumptions'!$B$22))))^('7. Cash flow'!$A$7:$A$86/4)*'7. Cash flow'!$C$7:$C$86/(1+('3. Assumptions'!$B$6+AB39))^('7. Cash flow'!$A$7:$A$86/4))+SUMPRODUCT((1-(('3. Assumptions'!$B$21/(1-'3. Assumptions'!$B$22))))^(('7. Cash flow'!$A$7:$A$86-1)/4)*(1-(1-(('3. Assumptions'!$B$21/(1-'3. Assumptions'!$B$22))))^0.25)*'7. Cash flow'!$D$7:$D$86/(1+('3. Assumptions'!$B$6+AB39))^('7. Cash flow'!$A$7:$A$86/4))+(1-(('3. Assumptions'!$B$21/(1-'3. Assumptions'!$B$22))))^'3. Assumptions'!$B$9*'7. Cash flow'!$D$87/(1+('3. Assumptions'!$B$6+AB39))^'3. Assumptions'!$B$9)/(1+'3. Assumptions'!$B$14)-('2. The tape'!$C$17/'3. Assumptions'!$B$4)</f>
        <v>0.0502825379371643</v>
      </c>
      <c r="AE39" s="41" t="n">
        <f aca="false">IF(AH38&gt;0,AG38,AE38)</f>
        <v>0.0501035708002746</v>
      </c>
      <c r="AF39" s="41" t="n">
        <f aca="false">IF(AH38&gt;0,AF38,AG38)</f>
        <v>0.050103570939973</v>
      </c>
      <c r="AG39" s="41" t="n">
        <f aca="false">(AE39+AF39)/2</f>
        <v>0.0501035708701238</v>
      </c>
      <c r="AH39" s="42" t="n">
        <f aca="false">(SUMPRODUCT((1-(('3. Assumptions'!$B$21/(1-'3. Assumptions'!$B$22))))^('7. Cash flow'!$A$7:$A$86/4)*'7. Cash flow'!$C$7:$C$86/(1+(AG39))^('7. Cash flow'!$A$7:$A$86/4))+SUMPRODUCT((1-(('3. Assumptions'!$B$21/(1-'3. Assumptions'!$B$22))))^(('7. Cash flow'!$A$7:$A$86-1)/4)*(1-(1-(('3. Assumptions'!$B$21/(1-'3. Assumptions'!$B$22))))^0.25)*'7. Cash flow'!$D$7:$D$86/(1+(AG39))^('7. Cash flow'!$A$7:$A$86/4))+(1-(('3. Assumptions'!$B$21/(1-'3. Assumptions'!$B$22))))^'3. Assumptions'!$B$9*'7. Cash flow'!$D$87/(1+(AG39))^'3.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-0.0553179085254669</v>
      </c>
      <c r="AJ39" s="41" t="n">
        <f aca="false">IF(AM38&gt;0,AL38,AJ38)</f>
        <v>-0.00180680474732071</v>
      </c>
      <c r="AK39" s="41" t="n">
        <f aca="false">IF(AM38&gt;0,AK38,AL38)</f>
        <v>-0.00180680458433926</v>
      </c>
      <c r="AL39" s="41" t="n">
        <f aca="false">(AJ39+AK39)/2</f>
        <v>-0.00180680466582999</v>
      </c>
      <c r="AM39" s="42" t="n">
        <f aca="false">SUMPRODUCT((1-('3. Assumptions'!$B$21/(1-'3. Assumptions'!$B$22)))^('7. Cash flow'!$A$7:$A$26/4)*('3. Assumptions'!$B$6+'3. Assumptions'!$B$21)/4/(1+'3. Assumptions'!$B$6+AL39)^('7. Cash flow'!$A$7:$A$26/4))+SUMPRODUCT((1-('3. Assumptions'!$B$21/(1-'3. Assumptions'!$B$22)))^(('7. Cash flow'!$A$7:$A$26-1)/4)*(1-(1-('3. Assumptions'!$B$21/(1-'3. Assumptions'!$B$22)))^0.25)*'3. Assumptions'!$B$22/(1+'3. Assumptions'!$B$6+AL39)^('7. Cash flow'!$A$7:$A$26/4))+(1-('3. Assumptions'!$B$21/(1-'3. Assumptions'!$B$22)))^5/(1+'3. Assumptions'!$B$6+AL39)^5-1</f>
        <v>-1.67406088991129E-010</v>
      </c>
    </row>
    <row r="40" customFormat="false" ht="15" hidden="false" customHeight="false" outlineLevel="0" collapsed="false">
      <c r="A40" s="41" t="n">
        <f aca="false">IF(D39&gt;0,C39,A39)</f>
        <v>0.0702608454041183</v>
      </c>
      <c r="B40" s="41" t="n">
        <f aca="false">IF(D39&gt;0,B39,C39)</f>
        <v>0.0702608455438167</v>
      </c>
      <c r="C40" s="41" t="n">
        <f aca="false">(A40+B40)/2</f>
        <v>0.0702608454739675</v>
      </c>
      <c r="D40" s="42" t="n">
        <f aca="false">(SUMPRODUCT((1-(C40))^('7. Cash flow'!$A$7:$A$86/4)*'7. Cash flow'!$C$7:$C$86/(1+(('3. Assumptions'!$B$6+'6. The ladder'!$B$6)))^('7. Cash flow'!$A$7:$A$86/4))+SUMPRODUCT((1-(C40))^(('7. Cash flow'!$A$7:$A$86-1)/4)*(1-(1-(C40))^0.25)*'7. Cash flow'!$D$7:$D$86/(1+(('3. Assumptions'!$B$6+'6. The ladder'!$C$6)))^('7. Cash flow'!$A$7:$A$86/4))+(1-(C40))^'3. Assumptions'!$B$9*'7. Cash flow'!$D$87/(1+(('3. Assumptions'!$B$6+'6. The ladder'!$C$6)))^'3. Assumptions'!$B$9)/(1+'3. Assumptions'!$B$14)-('2. The tape'!$C$17/'3. Assumptions'!$B$4)</f>
        <v>-0.0604914724826813</v>
      </c>
      <c r="F40" s="41" t="n">
        <f aca="false">IF(I39&gt;0,H39,F39)</f>
        <v>0.0576608620584011</v>
      </c>
      <c r="G40" s="41" t="n">
        <f aca="false">IF(I39&gt;0,G39,H39)</f>
        <v>0.0576608621980995</v>
      </c>
      <c r="H40" s="41" t="n">
        <f aca="false">(F40+G40)/2</f>
        <v>0.0576608621282503</v>
      </c>
      <c r="I40" s="42" t="n">
        <f aca="false">(SUMPRODUCT((1-(H40))^('7. Cash flow'!$A$7:$A$86/4)*'7. Cash flow'!$C$7:$C$86/(1+(('3. Assumptions'!$B$6+'6. The ladder'!$B$7)))^('7. Cash flow'!$A$7:$A$86/4))+SUMPRODUCT((1-(H40))^(('7. Cash flow'!$A$7:$A$86-1)/4)*(1-(1-(H40))^0.25)*'7. Cash flow'!$D$7:$D$86/(1+(('3. Assumptions'!$B$6+'6. The ladder'!$C$7)))^('7. Cash flow'!$A$7:$A$86/4))+(1-(H40))^'3. Assumptions'!$B$9*'7. Cash flow'!$D$87/(1+(('3. Assumptions'!$B$6+'6. The ladder'!$C$7)))^'3. Assumptions'!$B$9)/(1+'3. Assumptions'!$B$14)-('2. The tape'!$C$17/'3. Assumptions'!$B$4)</f>
        <v>-0.0555188357830048</v>
      </c>
      <c r="K40" s="41" t="n">
        <f aca="false">IF(N39&gt;0,M39,K39)</f>
        <v>0.0449128326494247</v>
      </c>
      <c r="L40" s="41" t="n">
        <f aca="false">IF(N39&gt;0,L39,M39)</f>
        <v>0.0449128327891231</v>
      </c>
      <c r="M40" s="41" t="n">
        <f aca="false">(K40+L40)/2</f>
        <v>0.0449128327192739</v>
      </c>
      <c r="N40" s="42" t="n">
        <f aca="false">(SUMPRODUCT((1-(M40))^('7. Cash flow'!$A$7:$A$86/4)*'7. Cash flow'!$C$7:$C$86/(1+(('3. Assumptions'!$B$6+'6. The ladder'!$B$8)))^('7. Cash flow'!$A$7:$A$86/4))+SUMPRODUCT((1-(M40))^(('7. Cash flow'!$A$7:$A$86-1)/4)*(1-(1-(M40))^0.25)*'7. Cash flow'!$D$7:$D$86/(1+(('3. Assumptions'!$B$6+'6. The ladder'!$C$8)))^('7. Cash flow'!$A$7:$A$86/4))+(1-(M40))^'3. Assumptions'!$B$9*'7. Cash flow'!$D$87/(1+(('3. Assumptions'!$B$6+'6. The ladder'!$C$8)))^'3. Assumptions'!$B$9)/(1+'3. Assumptions'!$B$14)-('2. The tape'!$C$17/'3. Assumptions'!$B$4)</f>
        <v>-0.00826555490493774</v>
      </c>
      <c r="P40" s="41" t="n">
        <f aca="false">IF(S39&gt;0,R39,P39)</f>
        <v>0.032285034796223</v>
      </c>
      <c r="Q40" s="41" t="n">
        <f aca="false">IF(S39&gt;0,Q39,R39)</f>
        <v>0.0322850349359214</v>
      </c>
      <c r="R40" s="41" t="n">
        <f aca="false">(P40+Q40)/2</f>
        <v>0.0322850348660722</v>
      </c>
      <c r="S40" s="42" t="n">
        <f aca="false">(SUMPRODUCT((1-(R40))^('7. Cash flow'!$A$7:$A$86/4)*'7. Cash flow'!$C$7:$C$86/(1+(('3. Assumptions'!$B$6+'6. The ladder'!$B$9)))^('7. Cash flow'!$A$7:$A$86/4))+SUMPRODUCT((1-(R40))^(('7. Cash flow'!$A$7:$A$86-1)/4)*(1-(1-(R40))^0.25)*'7. Cash flow'!$D$7:$D$86/(1+(('3. Assumptions'!$B$6+'6. The ladder'!$C$9)))^('7. Cash flow'!$A$7:$A$86/4))+(1-(R40))^'3. Assumptions'!$B$9*'7. Cash flow'!$D$87/(1+(('3. Assumptions'!$B$6+'6. The ladder'!$C$9)))^'3. Assumptions'!$B$9)/(1+'3. Assumptions'!$B$14)-('2. The tape'!$C$17/'3. Assumptions'!$B$4)</f>
        <v>-0.0589022040367126</v>
      </c>
      <c r="U40" s="41" t="n">
        <f aca="false">IF(X39&gt;0,W39,U39)</f>
        <v>0.032285034796223</v>
      </c>
      <c r="V40" s="41" t="n">
        <f aca="false">IF(X39&gt;0,V39,W39)</f>
        <v>0.0322850349359214</v>
      </c>
      <c r="W40" s="41" t="n">
        <f aca="false">(U40+V40)/2</f>
        <v>0.0322850348660722</v>
      </c>
      <c r="X40" s="42" t="n">
        <f aca="false">(SUMPRODUCT((1-(W40))^('7. Cash flow'!$A$7:$A$86/4)*'7. Cash flow'!$C$7:$C$86/(1+('3. Assumptions'!$B$28))^('7. Cash flow'!$A$7:$A$86/4))+SUMPRODUCT((1-(W40))^(('7. Cash flow'!$A$7:$A$86-1)/4)*(1-(1-(W40))^0.25)*'7. Cash flow'!$D$7:$D$86/(1+('3. Assumptions'!$B$29))^('7. Cash flow'!$A$7:$A$86/4))+(1-(W40))^'3. Assumptions'!$B$9*'7. Cash flow'!$D$87/(1+('3. Assumptions'!$B$29))^'3. Assumptions'!$B$9)/(1+'3. Assumptions'!$B$14)-('2. The tape'!$C$17/'3. Assumptions'!$B$4)</f>
        <v>-0.0589022040367126</v>
      </c>
      <c r="Z40" s="41" t="n">
        <f aca="false">IF(AC39&gt;0,AB39,Z39)</f>
        <v>0.00364530199440196</v>
      </c>
      <c r="AA40" s="41" t="n">
        <f aca="false">IF(AC39&gt;0,AA39,AB39)</f>
        <v>0.00364530207589269</v>
      </c>
      <c r="AB40" s="41" t="n">
        <f aca="false">(Z40+AA40)/2</f>
        <v>0.00364530203514732</v>
      </c>
      <c r="AC40" s="42" t="n">
        <f aca="false">(SUMPRODUCT((1-(('3. Assumptions'!$B$21/(1-'3. Assumptions'!$B$22))))^('7. Cash flow'!$A$7:$A$86/4)*'7. Cash flow'!$C$7:$C$86/(1+('3. Assumptions'!$B$6+AB40))^('7. Cash flow'!$A$7:$A$86/4))+SUMPRODUCT((1-(('3. Assumptions'!$B$21/(1-'3. Assumptions'!$B$22))))^(('7. Cash flow'!$A$7:$A$86-1)/4)*(1-(1-(('3. Assumptions'!$B$21/(1-'3. Assumptions'!$B$22))))^0.25)*'7. Cash flow'!$D$7:$D$86/(1+('3. Assumptions'!$B$6+AB40))^('7. Cash flow'!$A$7:$A$86/4))+(1-(('3. Assumptions'!$B$21/(1-'3. Assumptions'!$B$22))))^'3. Assumptions'!$B$9*'7. Cash flow'!$D$87/(1+('3. Assumptions'!$B$6+AB40))^'3. Assumptions'!$B$9)/(1+'3. Assumptions'!$B$14)-('2. The tape'!$C$17/'3. Assumptions'!$B$4)</f>
        <v>-0.0099145770072937</v>
      </c>
      <c r="AE40" s="41" t="n">
        <f aca="false">IF(AH39&gt;0,AG39,AE39)</f>
        <v>0.0501035708002746</v>
      </c>
      <c r="AF40" s="41" t="n">
        <f aca="false">IF(AH39&gt;0,AF39,AG39)</f>
        <v>0.0501035708701238</v>
      </c>
      <c r="AG40" s="41" t="n">
        <f aca="false">(AE40+AF40)/2</f>
        <v>0.0501035708351992</v>
      </c>
      <c r="AH40" s="42" t="n">
        <f aca="false">(SUMPRODUCT((1-(('3. Assumptions'!$B$21/(1-'3. Assumptions'!$B$22))))^('7. Cash flow'!$A$7:$A$86/4)*'7. Cash flow'!$C$7:$C$86/(1+(AG40))^('7. Cash flow'!$A$7:$A$86/4))+SUMPRODUCT((1-(('3. Assumptions'!$B$21/(1-'3. Assumptions'!$B$22))))^(('7. Cash flow'!$A$7:$A$86-1)/4)*(1-(1-(('3. Assumptions'!$B$21/(1-'3. Assumptions'!$B$22))))^0.25)*'7. Cash flow'!$D$7:$D$86/(1+(AG40))^('7. Cash flow'!$A$7:$A$86/4))+(1-(('3. Assumptions'!$B$21/(1-'3. Assumptions'!$B$22))))^'3. Assumptions'!$B$9*'7. Cash flow'!$D$87/(1+(AG40))^'3.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-0.0158681869506836</v>
      </c>
      <c r="AJ40" s="41" t="n">
        <f aca="false">IF(AM39&gt;0,AL39,AJ39)</f>
        <v>-0.00180680474732071</v>
      </c>
      <c r="AK40" s="41" t="n">
        <f aca="false">IF(AM39&gt;0,AK39,AL39)</f>
        <v>-0.00180680466582999</v>
      </c>
      <c r="AL40" s="41" t="n">
        <f aca="false">(AJ40+AK40)/2</f>
        <v>-0.00180680470657535</v>
      </c>
      <c r="AM40" s="42" t="n">
        <f aca="false">SUMPRODUCT((1-('3. Assumptions'!$B$21/(1-'3. Assumptions'!$B$22)))^('7. Cash flow'!$A$7:$A$26/4)*('3. Assumptions'!$B$6+'3. Assumptions'!$B$21)/4/(1+'3. Assumptions'!$B$6+AL40)^('7. Cash flow'!$A$7:$A$26/4))+SUMPRODUCT((1-('3. Assumptions'!$B$21/(1-'3. Assumptions'!$B$22)))^(('7. Cash flow'!$A$7:$A$26-1)/4)*(1-(1-('3. Assumptions'!$B$21/(1-'3. Assumptions'!$B$22)))^0.25)*'3. Assumptions'!$B$22/(1+'3. Assumptions'!$B$6+AL40)^('7. Cash flow'!$A$7:$A$26/4))+(1-('3. Assumptions'!$B$21/(1-'3. Assumptions'!$B$22)))^5/(1+'3. Assumptions'!$B$6+AL40)^5-1</f>
        <v>-5.4962701057093E-012</v>
      </c>
    </row>
    <row r="41" customFormat="false" ht="15" hidden="false" customHeight="false" outlineLevel="0" collapsed="false">
      <c r="A41" s="41" t="n">
        <f aca="false">IF(D40&gt;0,C40,A40)</f>
        <v>0.0702608454041183</v>
      </c>
      <c r="B41" s="41" t="n">
        <f aca="false">IF(D40&gt;0,B40,C40)</f>
        <v>0.0702608454739675</v>
      </c>
      <c r="C41" s="41" t="n">
        <f aca="false">(A41+B41)/2</f>
        <v>0.0702608454390429</v>
      </c>
      <c r="D41" s="42" t="n">
        <f aca="false">(SUMPRODUCT((1-(C41))^('7. Cash flow'!$A$7:$A$86/4)*'7. Cash flow'!$C$7:$C$86/(1+(('3. Assumptions'!$B$6+'6. The ladder'!$B$6)))^('7. Cash flow'!$A$7:$A$86/4))+SUMPRODUCT((1-(C41))^(('7. Cash flow'!$A$7:$A$86-1)/4)*(1-(1-(C41))^0.25)*'7. Cash flow'!$D$7:$D$86/(1+(('3. Assumptions'!$B$6+'6. The ladder'!$C$6)))^('7. Cash flow'!$A$7:$A$86/4))+(1-(C41))^'3. Assumptions'!$B$9*'7. Cash flow'!$D$87/(1+(('3. Assumptions'!$B$6+'6. The ladder'!$C$6)))^'3. Assumptions'!$B$9)/(1+'3. Assumptions'!$B$14)-('2. The tape'!$C$17/'3. Assumptions'!$B$4)</f>
        <v>-0.0300019383430481</v>
      </c>
      <c r="F41" s="41" t="n">
        <f aca="false">IF(I40&gt;0,H40,F40)</f>
        <v>0.0576608620584011</v>
      </c>
      <c r="G41" s="41" t="n">
        <f aca="false">IF(I40&gt;0,G40,H40)</f>
        <v>0.0576608621282503</v>
      </c>
      <c r="H41" s="41" t="n">
        <f aca="false">(F41+G41)/2</f>
        <v>0.0576608620933257</v>
      </c>
      <c r="I41" s="42" t="n">
        <f aca="false">(SUMPRODUCT((1-(H41))^('7. Cash flow'!$A$7:$A$86/4)*'7. Cash flow'!$C$7:$C$86/(1+(('3. Assumptions'!$B$6+'6. The ladder'!$B$7)))^('7. Cash flow'!$A$7:$A$86/4))+SUMPRODUCT((1-(H41))^(('7. Cash flow'!$A$7:$A$86-1)/4)*(1-(1-(H41))^0.25)*'7. Cash flow'!$D$7:$D$86/(1+(('3. Assumptions'!$B$6+'6. The ladder'!$C$7)))^('7. Cash flow'!$A$7:$A$86/4))+(1-(H41))^'3. Assumptions'!$B$9*'7. Cash flow'!$D$87/(1+(('3. Assumptions'!$B$6+'6. The ladder'!$C$7)))^'3. Assumptions'!$B$9)/(1+'3. Assumptions'!$B$14)-('2. The tape'!$C$17/'3. Assumptions'!$B$4)</f>
        <v>-0.0251401364803314</v>
      </c>
      <c r="K41" s="41" t="n">
        <f aca="false">IF(N40&gt;0,M40,K40)</f>
        <v>0.0449128326494247</v>
      </c>
      <c r="L41" s="41" t="n">
        <f aca="false">IF(N40&gt;0,L40,M40)</f>
        <v>0.0449128327192739</v>
      </c>
      <c r="M41" s="41" t="n">
        <f aca="false">(K41+L41)/2</f>
        <v>0.0449128326843493</v>
      </c>
      <c r="N41" s="42" t="n">
        <f aca="false">(SUMPRODUCT((1-(M41))^('7. Cash flow'!$A$7:$A$86/4)*'7. Cash flow'!$C$7:$C$86/(1+(('3. Assumptions'!$B$6+'6. The ladder'!$B$8)))^('7. Cash flow'!$A$7:$A$86/4))+SUMPRODUCT((1-(M41))^(('7. Cash flow'!$A$7:$A$86-1)/4)*(1-(1-(M41))^0.25)*'7. Cash flow'!$D$7:$D$86/(1+(('3. Assumptions'!$B$6+'6. The ladder'!$C$8)))^('7. Cash flow'!$A$7:$A$86/4))+(1-(M41))^'3. Assumptions'!$B$9*'7. Cash flow'!$D$87/(1+(('3. Assumptions'!$B$6+'6. The ladder'!$C$8)))^'3. Assumptions'!$B$9)/(1+'3. Assumptions'!$B$14)-('2. The tape'!$C$17/'3. Assumptions'!$B$4)</f>
        <v>0.0240479111671448</v>
      </c>
      <c r="P41" s="41" t="n">
        <f aca="false">IF(S40&gt;0,R40,P40)</f>
        <v>0.032285034796223</v>
      </c>
      <c r="Q41" s="41" t="n">
        <f aca="false">IF(S40&gt;0,Q40,R40)</f>
        <v>0.0322850348660722</v>
      </c>
      <c r="R41" s="41" t="n">
        <f aca="false">(P41+Q41)/2</f>
        <v>0.0322850348311476</v>
      </c>
      <c r="S41" s="42" t="n">
        <f aca="false">(SUMPRODUCT((1-(R41))^('7. Cash flow'!$A$7:$A$86/4)*'7. Cash flow'!$C$7:$C$86/(1+(('3. Assumptions'!$B$6+'6. The ladder'!$B$9)))^('7. Cash flow'!$A$7:$A$86/4))+SUMPRODUCT((1-(R41))^(('7. Cash flow'!$A$7:$A$86-1)/4)*(1-(1-(R41))^0.25)*'7. Cash flow'!$D$7:$D$86/(1+(('3. Assumptions'!$B$6+'6. The ladder'!$C$9)))^('7. Cash flow'!$A$7:$A$86/4))+(1-(R41))^'3. Assumptions'!$B$9*'7. Cash flow'!$D$87/(1+(('3. Assumptions'!$B$6+'6. The ladder'!$C$9)))^'3. Assumptions'!$B$9)/(1+'3. Assumptions'!$B$14)-('2. The tape'!$C$17/'3. Assumptions'!$B$4)</f>
        <v>-0.0237817466259003</v>
      </c>
      <c r="U41" s="41" t="n">
        <f aca="false">IF(X40&gt;0,W40,U40)</f>
        <v>0.032285034796223</v>
      </c>
      <c r="V41" s="41" t="n">
        <f aca="false">IF(X40&gt;0,V40,W40)</f>
        <v>0.0322850348660722</v>
      </c>
      <c r="W41" s="41" t="n">
        <f aca="false">(U41+V41)/2</f>
        <v>0.0322850348311476</v>
      </c>
      <c r="X41" s="42" t="n">
        <f aca="false">(SUMPRODUCT((1-(W41))^('7. Cash flow'!$A$7:$A$86/4)*'7. Cash flow'!$C$7:$C$86/(1+('3. Assumptions'!$B$28))^('7. Cash flow'!$A$7:$A$86/4))+SUMPRODUCT((1-(W41))^(('7. Cash flow'!$A$7:$A$86-1)/4)*(1-(1-(W41))^0.25)*'7. Cash flow'!$D$7:$D$86/(1+('3. Assumptions'!$B$29))^('7. Cash flow'!$A$7:$A$86/4))+(1-(W41))^'3. Assumptions'!$B$9*'7. Cash flow'!$D$87/(1+('3. Assumptions'!$B$29))^'3. Assumptions'!$B$9)/(1+'3. Assumptions'!$B$14)-('2. The tape'!$C$17/'3. Assumptions'!$B$4)</f>
        <v>-0.0237817466259003</v>
      </c>
      <c r="Z41" s="41" t="n">
        <f aca="false">IF(AC40&gt;0,AB40,Z40)</f>
        <v>0.00364530199440196</v>
      </c>
      <c r="AA41" s="41" t="n">
        <f aca="false">IF(AC40&gt;0,AA40,AB40)</f>
        <v>0.00364530203514732</v>
      </c>
      <c r="AB41" s="41" t="n">
        <f aca="false">(Z41+AA41)/2</f>
        <v>0.00364530201477464</v>
      </c>
      <c r="AC41" s="42" t="n">
        <f aca="false">(SUMPRODUCT((1-(('3. Assumptions'!$B$21/(1-'3. Assumptions'!$B$22))))^('7. Cash flow'!$A$7:$A$86/4)*'7. Cash flow'!$C$7:$C$86/(1+('3. Assumptions'!$B$6+AB41))^('7. Cash flow'!$A$7:$A$86/4))+SUMPRODUCT((1-(('3. Assumptions'!$B$21/(1-'3. Assumptions'!$B$22))))^(('7. Cash flow'!$A$7:$A$86-1)/4)*(1-(1-(('3. Assumptions'!$B$21/(1-'3. Assumptions'!$B$22))))^0.25)*'7. Cash flow'!$D$7:$D$86/(1+('3. Assumptions'!$B$6+AB41))^('7. Cash flow'!$A$7:$A$86/4))+(1-(('3. Assumptions'!$B$21/(1-'3. Assumptions'!$B$22))))^'3. Assumptions'!$B$9*'7. Cash flow'!$D$87/(1+('3. Assumptions'!$B$6+AB41))^'3. Assumptions'!$B$9)/(1+'3. Assumptions'!$B$14)-('2. The tape'!$C$17/'3. Assumptions'!$B$4)</f>
        <v>0.020183801651001</v>
      </c>
      <c r="AE41" s="41" t="n">
        <f aca="false">IF(AH40&gt;0,AG40,AE40)</f>
        <v>0.0501035708002746</v>
      </c>
      <c r="AF41" s="41" t="n">
        <f aca="false">IF(AH40&gt;0,AF40,AG40)</f>
        <v>0.0501035708351992</v>
      </c>
      <c r="AG41" s="41" t="n">
        <f aca="false">(AE41+AF41)/2</f>
        <v>0.0501035708177369</v>
      </c>
      <c r="AH41" s="42" t="n">
        <f aca="false">(SUMPRODUCT((1-(('3. Assumptions'!$B$21/(1-'3. Assumptions'!$B$22))))^('7. Cash flow'!$A$7:$A$86/4)*'7. Cash flow'!$C$7:$C$86/(1+(AG41))^('7. Cash flow'!$A$7:$A$86/4))+SUMPRODUCT((1-(('3. Assumptions'!$B$21/(1-'3. Assumptions'!$B$22))))^(('7. Cash flow'!$A$7:$A$86-1)/4)*(1-(1-(('3. Assumptions'!$B$21/(1-'3. Assumptions'!$B$22))))^0.25)*'7. Cash flow'!$D$7:$D$86/(1+(AG41))^('7. Cash flow'!$A$7:$A$86/4))+(1-(('3. Assumptions'!$B$21/(1-'3. Assumptions'!$B$22))))^'3. Assumptions'!$B$9*'7. Cash flow'!$D$87/(1+(AG41))^'3.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0.00385653972625732</v>
      </c>
      <c r="AJ41" s="41" t="n">
        <f aca="false">IF(AM40&gt;0,AL40,AJ40)</f>
        <v>-0.00180680474732071</v>
      </c>
      <c r="AK41" s="41" t="n">
        <f aca="false">IF(AM40&gt;0,AK40,AL40)</f>
        <v>-0.00180680470657535</v>
      </c>
      <c r="AL41" s="41" t="n">
        <f aca="false">(AJ41+AK41)/2</f>
        <v>-0.00180680472694803</v>
      </c>
      <c r="AM41" s="42" t="n">
        <f aca="false">SUMPRODUCT((1-('3. Assumptions'!$B$21/(1-'3. Assumptions'!$B$22)))^('7. Cash flow'!$A$7:$A$26/4)*('3. Assumptions'!$B$6+'3. Assumptions'!$B$21)/4/(1+'3. Assumptions'!$B$6+AL41)^('7. Cash flow'!$A$7:$A$26/4))+SUMPRODUCT((1-('3. Assumptions'!$B$21/(1-'3. Assumptions'!$B$22)))^(('7. Cash flow'!$A$7:$A$26-1)/4)*(1-(1-('3. Assumptions'!$B$21/(1-'3. Assumptions'!$B$22)))^0.25)*'3. Assumptions'!$B$22/(1+'3. Assumptions'!$B$6+AL41)^('7. Cash flow'!$A$7:$A$26/4))+(1-('3. Assumptions'!$B$21/(1-'3. Assumptions'!$B$22)))^5/(1+'3. Assumptions'!$B$6+AL41)^5-1</f>
        <v>7.54583062700931E-011</v>
      </c>
    </row>
    <row r="42" customFormat="false" ht="15" hidden="false" customHeight="false" outlineLevel="0" collapsed="false">
      <c r="A42" s="41" t="n">
        <f aca="false">IF(D41&gt;0,C41,A41)</f>
        <v>0.0702608454041183</v>
      </c>
      <c r="B42" s="41" t="n">
        <f aca="false">IF(D41&gt;0,B41,C41)</f>
        <v>0.0702608454390429</v>
      </c>
      <c r="C42" s="41" t="n">
        <f aca="false">(A42+B42)/2</f>
        <v>0.0702608454215806</v>
      </c>
      <c r="D42" s="42" t="n">
        <f aca="false">(SUMPRODUCT((1-(C42))^('7. Cash flow'!$A$7:$A$86/4)*'7. Cash flow'!$C$7:$C$86/(1+(('3. Assumptions'!$B$6+'6. The ladder'!$B$6)))^('7. Cash flow'!$A$7:$A$86/4))+SUMPRODUCT((1-(C42))^(('7. Cash flow'!$A$7:$A$86-1)/4)*(1-(1-(C42))^0.25)*'7. Cash flow'!$D$7:$D$86/(1+(('3. Assumptions'!$B$6+'6. The ladder'!$C$6)))^('7. Cash flow'!$A$7:$A$86/4))+(1-(C42))^'3. Assumptions'!$B$9*'7. Cash flow'!$D$87/(1+(('3. Assumptions'!$B$6+'6. The ladder'!$C$6)))^'3. Assumptions'!$B$9)/(1+'3. Assumptions'!$B$14)-('2. The tape'!$C$17/'3. Assumptions'!$B$4)</f>
        <v>-0.0147572159767151</v>
      </c>
      <c r="F42" s="41" t="n">
        <f aca="false">IF(I41&gt;0,H41,F41)</f>
        <v>0.0576608620584011</v>
      </c>
      <c r="G42" s="41" t="n">
        <f aca="false">IF(I41&gt;0,G41,H41)</f>
        <v>0.0576608620933257</v>
      </c>
      <c r="H42" s="41" t="n">
        <f aca="false">(F42+G42)/2</f>
        <v>0.0576608620758634</v>
      </c>
      <c r="I42" s="42" t="n">
        <f aca="false">(SUMPRODUCT((1-(H42))^('7. Cash flow'!$A$7:$A$86/4)*'7. Cash flow'!$C$7:$C$86/(1+(('3. Assumptions'!$B$6+'6. The ladder'!$B$7)))^('7. Cash flow'!$A$7:$A$86/4))+SUMPRODUCT((1-(H42))^(('7. Cash flow'!$A$7:$A$86-1)/4)*(1-(1-(H42))^0.25)*'7. Cash flow'!$D$7:$D$86/(1+(('3. Assumptions'!$B$6+'6. The ladder'!$C$7)))^('7. Cash flow'!$A$7:$A$86/4))+(1-(H42))^'3. Assumptions'!$B$9*'7. Cash flow'!$D$87/(1+(('3. Assumptions'!$B$6+'6. The ladder'!$C$7)))^'3. Assumptions'!$B$9)/(1+'3. Assumptions'!$B$14)-('2. The tape'!$C$17/'3. Assumptions'!$B$4)</f>
        <v>-0.00995054841041565</v>
      </c>
      <c r="K42" s="41" t="n">
        <f aca="false">IF(N41&gt;0,M41,K41)</f>
        <v>0.0449128326843493</v>
      </c>
      <c r="L42" s="41" t="n">
        <f aca="false">IF(N41&gt;0,L41,M41)</f>
        <v>0.0449128327192739</v>
      </c>
      <c r="M42" s="41" t="n">
        <f aca="false">(K42+L42)/2</f>
        <v>0.0449128327018116</v>
      </c>
      <c r="N42" s="42" t="n">
        <f aca="false">(SUMPRODUCT((1-(M42))^('7. Cash flow'!$A$7:$A$86/4)*'7. Cash flow'!$C$7:$C$86/(1+(('3. Assumptions'!$B$6+'6. The ladder'!$B$8)))^('7. Cash flow'!$A$7:$A$86/4))+SUMPRODUCT((1-(M42))^(('7. Cash flow'!$A$7:$A$86-1)/4)*(1-(1-(M42))^0.25)*'7. Cash flow'!$D$7:$D$86/(1+(('3. Assumptions'!$B$6+'6. The ladder'!$C$8)))^('7. Cash flow'!$A$7:$A$86/4))+(1-(M42))^'3. Assumptions'!$B$9*'7. Cash flow'!$D$87/(1+(('3. Assumptions'!$B$6+'6. The ladder'!$C$8)))^'3. Assumptions'!$B$9)/(1+'3. Assumptions'!$B$14)-('2. The tape'!$C$17/'3. Assumptions'!$B$4)</f>
        <v>0.00789117813110352</v>
      </c>
      <c r="P42" s="41" t="n">
        <f aca="false">IF(S41&gt;0,R41,P41)</f>
        <v>0.032285034796223</v>
      </c>
      <c r="Q42" s="41" t="n">
        <f aca="false">IF(S41&gt;0,Q41,R41)</f>
        <v>0.0322850348311476</v>
      </c>
      <c r="R42" s="41" t="n">
        <f aca="false">(P42+Q42)/2</f>
        <v>0.0322850348136853</v>
      </c>
      <c r="S42" s="42" t="n">
        <f aca="false">(SUMPRODUCT((1-(R42))^('7. Cash flow'!$A$7:$A$86/4)*'7. Cash flow'!$C$7:$C$86/(1+(('3. Assumptions'!$B$6+'6. The ladder'!$B$9)))^('7. Cash flow'!$A$7:$A$86/4))+SUMPRODUCT((1-(R42))^(('7. Cash flow'!$A$7:$A$86-1)/4)*(1-(1-(R42))^0.25)*'7. Cash flow'!$D$7:$D$86/(1+(('3. Assumptions'!$B$6+'6. The ladder'!$C$9)))^('7. Cash flow'!$A$7:$A$86/4))+(1-(R42))^'3. Assumptions'!$B$9*'7. Cash flow'!$D$87/(1+(('3. Assumptions'!$B$6+'6. The ladder'!$C$9)))^'3. Assumptions'!$B$9)/(1+'3. Assumptions'!$B$14)-('2. The tape'!$C$17/'3. Assumptions'!$B$4)</f>
        <v>-0.00622153282165527</v>
      </c>
      <c r="U42" s="41" t="n">
        <f aca="false">IF(X41&gt;0,W41,U41)</f>
        <v>0.032285034796223</v>
      </c>
      <c r="V42" s="41" t="n">
        <f aca="false">IF(X41&gt;0,V41,W41)</f>
        <v>0.0322850348311476</v>
      </c>
      <c r="W42" s="41" t="n">
        <f aca="false">(U42+V42)/2</f>
        <v>0.0322850348136853</v>
      </c>
      <c r="X42" s="42" t="n">
        <f aca="false">(SUMPRODUCT((1-(W42))^('7. Cash flow'!$A$7:$A$86/4)*'7. Cash flow'!$C$7:$C$86/(1+('3. Assumptions'!$B$28))^('7. Cash flow'!$A$7:$A$86/4))+SUMPRODUCT((1-(W42))^(('7. Cash flow'!$A$7:$A$86-1)/4)*(1-(1-(W42))^0.25)*'7. Cash flow'!$D$7:$D$86/(1+('3. Assumptions'!$B$29))^('7. Cash flow'!$A$7:$A$86/4))+(1-(W42))^'3. Assumptions'!$B$9*'7. Cash flow'!$D$87/(1+('3. Assumptions'!$B$29))^'3. Assumptions'!$B$9)/(1+'3. Assumptions'!$B$14)-('2. The tape'!$C$17/'3. Assumptions'!$B$4)</f>
        <v>-0.00622153282165527</v>
      </c>
      <c r="Z42" s="41" t="n">
        <f aca="false">IF(AC41&gt;0,AB41,Z41)</f>
        <v>0.00364530201477464</v>
      </c>
      <c r="AA42" s="41" t="n">
        <f aca="false">IF(AC41&gt;0,AA41,AB41)</f>
        <v>0.00364530203514732</v>
      </c>
      <c r="AB42" s="41" t="n">
        <f aca="false">(Z42+AA42)/2</f>
        <v>0.00364530202496098</v>
      </c>
      <c r="AC42" s="42" t="n">
        <f aca="false">(SUMPRODUCT((1-(('3. Assumptions'!$B$21/(1-'3. Assumptions'!$B$22))))^('7. Cash flow'!$A$7:$A$86/4)*'7. Cash flow'!$C$7:$C$86/(1+('3. Assumptions'!$B$6+AB42))^('7. Cash flow'!$A$7:$A$86/4))+SUMPRODUCT((1-(('3. Assumptions'!$B$21/(1-'3. Assumptions'!$B$22))))^(('7. Cash flow'!$A$7:$A$86-1)/4)*(1-(1-(('3. Assumptions'!$B$21/(1-'3. Assumptions'!$B$22))))^0.25)*'7. Cash flow'!$D$7:$D$86/(1+('3. Assumptions'!$B$6+AB42))^('7. Cash flow'!$A$7:$A$86/4))+(1-(('3. Assumptions'!$B$21/(1-'3. Assumptions'!$B$22))))^'3. Assumptions'!$B$9*'7. Cash flow'!$D$87/(1+('3. Assumptions'!$B$6+AB42))^'3. Assumptions'!$B$9)/(1+'3. Assumptions'!$B$14)-('2. The tape'!$C$17/'3. Assumptions'!$B$4)</f>
        <v>0.00513461232185364</v>
      </c>
      <c r="AE42" s="41" t="n">
        <f aca="false">IF(AH41&gt;0,AG41,AE41)</f>
        <v>0.0501035708177369</v>
      </c>
      <c r="AF42" s="41" t="n">
        <f aca="false">IF(AH41&gt;0,AF41,AG41)</f>
        <v>0.0501035708351992</v>
      </c>
      <c r="AG42" s="41" t="n">
        <f aca="false">(AE42+AF42)/2</f>
        <v>0.0501035708264681</v>
      </c>
      <c r="AH42" s="42" t="n">
        <f aca="false">(SUMPRODUCT((1-(('3. Assumptions'!$B$21/(1-'3. Assumptions'!$B$22))))^('7. Cash flow'!$A$7:$A$86/4)*'7. Cash flow'!$C$7:$C$86/(1+(AG42))^('7. Cash flow'!$A$7:$A$86/4))+SUMPRODUCT((1-(('3. Assumptions'!$B$21/(1-'3. Assumptions'!$B$22))))^(('7. Cash flow'!$A$7:$A$86-1)/4)*(1-(1-(('3. Assumptions'!$B$21/(1-'3. Assumptions'!$B$22))))^0.25)*'7. Cash flow'!$D$7:$D$86/(1+(AG42))^('7. Cash flow'!$A$7:$A$86/4))+(1-(('3. Assumptions'!$B$21/(1-'3. Assumptions'!$B$22))))^'3. Assumptions'!$B$9*'7. Cash flow'!$D$87/(1+(AG42))^'3.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-0.00600597262382507</v>
      </c>
      <c r="AJ42" s="41" t="n">
        <f aca="false">IF(AM41&gt;0,AL41,AJ41)</f>
        <v>-0.00180680472694803</v>
      </c>
      <c r="AK42" s="41" t="n">
        <f aca="false">IF(AM41&gt;0,AK41,AL41)</f>
        <v>-0.00180680470657535</v>
      </c>
      <c r="AL42" s="41" t="n">
        <f aca="false">(AJ42+AK42)/2</f>
        <v>-0.00180680471676169</v>
      </c>
      <c r="AM42" s="42" t="n">
        <f aca="false">SUMPRODUCT((1-('3. Assumptions'!$B$21/(1-'3. Assumptions'!$B$22)))^('7. Cash flow'!$A$7:$A$26/4)*('3. Assumptions'!$B$6+'3. Assumptions'!$B$21)/4/(1+'3. Assumptions'!$B$6+AL42)^('7. Cash flow'!$A$7:$A$26/4))+SUMPRODUCT((1-('3. Assumptions'!$B$21/(1-'3. Assumptions'!$B$22)))^(('7. Cash flow'!$A$7:$A$26-1)/4)*(1-(1-('3. Assumptions'!$B$21/(1-'3. Assumptions'!$B$22)))^0.25)*'3. Assumptions'!$B$22/(1+'3. Assumptions'!$B$6+AL42)^('7. Cash flow'!$A$7:$A$26/4))+(1-('3. Assumptions'!$B$21/(1-'3. Assumptions'!$B$22)))^5/(1+'3. Assumptions'!$B$6+AL42)^5-1</f>
        <v>3.49809070598894E-011</v>
      </c>
    </row>
    <row r="43" customFormat="false" ht="15" hidden="false" customHeight="false" outlineLevel="0" collapsed="false">
      <c r="A43" s="41" t="n">
        <f aca="false">IF(D42&gt;0,C42,A42)</f>
        <v>0.0702608454041183</v>
      </c>
      <c r="B43" s="41" t="n">
        <f aca="false">IF(D42&gt;0,B42,C42)</f>
        <v>0.0702608454215806</v>
      </c>
      <c r="C43" s="41" t="n">
        <f aca="false">(A43+B43)/2</f>
        <v>0.0702608454128494</v>
      </c>
      <c r="D43" s="42" t="n">
        <f aca="false">(SUMPRODUCT((1-(C43))^('7. Cash flow'!$A$7:$A$86/4)*'7. Cash flow'!$C$7:$C$86/(1+(('3. Assumptions'!$B$6+'6. The ladder'!$B$6)))^('7. Cash flow'!$A$7:$A$86/4))+SUMPRODUCT((1-(C43))^(('7. Cash flow'!$A$7:$A$86-1)/4)*(1-(1-(C43))^0.25)*'7. Cash flow'!$D$7:$D$86/(1+(('3. Assumptions'!$B$6+'6. The ladder'!$C$6)))^('7. Cash flow'!$A$7:$A$86/4))+(1-(C43))^'3. Assumptions'!$B$9*'7. Cash flow'!$D$87/(1+(('3. Assumptions'!$B$6+'6. The ladder'!$C$6)))^'3. Assumptions'!$B$9)/(1+'3. Assumptions'!$B$14)-('2. The tape'!$C$17/'3. Assumptions'!$B$4)</f>
        <v>-0.0071345865726471</v>
      </c>
      <c r="F43" s="41" t="n">
        <f aca="false">IF(I42&gt;0,H42,F42)</f>
        <v>0.0576608620584011</v>
      </c>
      <c r="G43" s="41" t="n">
        <f aca="false">IF(I42&gt;0,G42,H42)</f>
        <v>0.0576608620758634</v>
      </c>
      <c r="H43" s="41" t="n">
        <f aca="false">(F43+G43)/2</f>
        <v>0.0576608620671322</v>
      </c>
      <c r="I43" s="42" t="n">
        <f aca="false">(SUMPRODUCT((1-(H43))^('7. Cash flow'!$A$7:$A$86/4)*'7. Cash flow'!$C$7:$C$86/(1+(('3. Assumptions'!$B$6+'6. The ladder'!$B$7)))^('7. Cash flow'!$A$7:$A$86/4))+SUMPRODUCT((1-(H43))^(('7. Cash flow'!$A$7:$A$86-1)/4)*(1-(1-(H43))^0.25)*'7. Cash flow'!$D$7:$D$86/(1+(('3. Assumptions'!$B$6+'6. The ladder'!$C$7)))^('7. Cash flow'!$A$7:$A$86/4))+(1-(H43))^'3. Assumptions'!$B$9*'7. Cash flow'!$D$87/(1+(('3. Assumptions'!$B$6+'6. The ladder'!$C$7)))^'3. Assumptions'!$B$9)/(1+'3. Assumptions'!$B$14)-('2. The tape'!$C$17/'3. Assumptions'!$B$4)</f>
        <v>-0.00235575437545776</v>
      </c>
      <c r="K43" s="41" t="n">
        <f aca="false">IF(N42&gt;0,M42,K42)</f>
        <v>0.0449128327018116</v>
      </c>
      <c r="L43" s="41" t="n">
        <f aca="false">IF(N42&gt;0,L42,M42)</f>
        <v>0.0449128327192739</v>
      </c>
      <c r="M43" s="41" t="n">
        <f aca="false">(K43+L43)/2</f>
        <v>0.0449128327105427</v>
      </c>
      <c r="N43" s="42" t="n">
        <f aca="false">(SUMPRODUCT((1-(M43))^('7. Cash flow'!$A$7:$A$86/4)*'7. Cash flow'!$C$7:$C$86/(1+(('3. Assumptions'!$B$6+'6. The ladder'!$B$8)))^('7. Cash flow'!$A$7:$A$86/4))+SUMPRODUCT((1-(M43))^(('7. Cash flow'!$A$7:$A$86-1)/4)*(1-(1-(M43))^0.25)*'7. Cash flow'!$D$7:$D$86/(1+(('3. Assumptions'!$B$6+'6. The ladder'!$C$8)))^('7. Cash flow'!$A$7:$A$86/4))+(1-(M43))^'3. Assumptions'!$B$9*'7. Cash flow'!$D$87/(1+(('3. Assumptions'!$B$6+'6. The ladder'!$C$8)))^'3. Assumptions'!$B$9)/(1+'3. Assumptions'!$B$14)-('2. The tape'!$C$17/'3. Assumptions'!$B$4)</f>
        <v>-0.000187218189239502</v>
      </c>
      <c r="P43" s="41" t="n">
        <f aca="false">IF(S42&gt;0,R42,P42)</f>
        <v>0.032285034796223</v>
      </c>
      <c r="Q43" s="41" t="n">
        <f aca="false">IF(S42&gt;0,Q42,R42)</f>
        <v>0.0322850348136853</v>
      </c>
      <c r="R43" s="41" t="n">
        <f aca="false">(P43+Q43)/2</f>
        <v>0.0322850348049542</v>
      </c>
      <c r="S43" s="42" t="n">
        <f aca="false">(SUMPRODUCT((1-(R43))^('7. Cash flow'!$A$7:$A$86/4)*'7. Cash flow'!$C$7:$C$86/(1+(('3. Assumptions'!$B$6+'6. The ladder'!$B$9)))^('7. Cash flow'!$A$7:$A$86/4))+SUMPRODUCT((1-(R43))^(('7. Cash flow'!$A$7:$A$86-1)/4)*(1-(1-(R43))^0.25)*'7. Cash flow'!$D$7:$D$86/(1+(('3. Assumptions'!$B$6+'6. The ladder'!$C$9)))^('7. Cash flow'!$A$7:$A$86/4))+(1-(R43))^'3. Assumptions'!$B$9*'7. Cash flow'!$D$87/(1+(('3. Assumptions'!$B$6+'6. The ladder'!$C$9)))^'3. Assumptions'!$B$9)/(1+'3. Assumptions'!$B$14)-('2. The tape'!$C$17/'3. Assumptions'!$B$4)</f>
        <v>0.00255867838859558</v>
      </c>
      <c r="U43" s="41" t="n">
        <f aca="false">IF(X42&gt;0,W42,U42)</f>
        <v>0.032285034796223</v>
      </c>
      <c r="V43" s="41" t="n">
        <f aca="false">IF(X42&gt;0,V42,W42)</f>
        <v>0.0322850348136853</v>
      </c>
      <c r="W43" s="41" t="n">
        <f aca="false">(U43+V43)/2</f>
        <v>0.0322850348049542</v>
      </c>
      <c r="X43" s="42" t="n">
        <f aca="false">(SUMPRODUCT((1-(W43))^('7. Cash flow'!$A$7:$A$86/4)*'7. Cash flow'!$C$7:$C$86/(1+('3. Assumptions'!$B$28))^('7. Cash flow'!$A$7:$A$86/4))+SUMPRODUCT((1-(W43))^(('7. Cash flow'!$A$7:$A$86-1)/4)*(1-(1-(W43))^0.25)*'7. Cash flow'!$D$7:$D$86/(1+('3. Assumptions'!$B$29))^('7. Cash flow'!$A$7:$A$86/4))+(1-(W43))^'3. Assumptions'!$B$9*'7. Cash flow'!$D$87/(1+('3. Assumptions'!$B$29))^'3. Assumptions'!$B$9)/(1+'3. Assumptions'!$B$14)-('2. The tape'!$C$17/'3. Assumptions'!$B$4)</f>
        <v>0.00255867838859558</v>
      </c>
      <c r="Z43" s="41" t="n">
        <f aca="false">IF(AC42&gt;0,AB42,Z42)</f>
        <v>0.00364530202496098</v>
      </c>
      <c r="AA43" s="41" t="n">
        <f aca="false">IF(AC42&gt;0,AA42,AB42)</f>
        <v>0.00364530203514732</v>
      </c>
      <c r="AB43" s="41" t="n">
        <f aca="false">(Z43+AA43)/2</f>
        <v>0.00364530203005415</v>
      </c>
      <c r="AC43" s="42" t="n">
        <f aca="false">(SUMPRODUCT((1-(('3. Assumptions'!$B$21/(1-'3. Assumptions'!$B$22))))^('7. Cash flow'!$A$7:$A$86/4)*'7. Cash flow'!$C$7:$C$86/(1+('3. Assumptions'!$B$6+AB43))^('7. Cash flow'!$A$7:$A$86/4))+SUMPRODUCT((1-(('3. Assumptions'!$B$21/(1-'3. Assumptions'!$B$22))))^(('7. Cash flow'!$A$7:$A$86-1)/4)*(1-(1-(('3. Assumptions'!$B$21/(1-'3. Assumptions'!$B$22))))^0.25)*'7. Cash flow'!$D$7:$D$86/(1+('3. Assumptions'!$B$6+AB43))^('7. Cash flow'!$A$7:$A$86/4))+(1-(('3. Assumptions'!$B$21/(1-'3. Assumptions'!$B$22))))^'3. Assumptions'!$B$9*'7. Cash flow'!$D$87/(1+('3. Assumptions'!$B$6+AB43))^'3. Assumptions'!$B$9)/(1+'3. Assumptions'!$B$14)-('2. The tape'!$C$17/'3. Assumptions'!$B$4)</f>
        <v>-0.00239017605781555</v>
      </c>
      <c r="AE43" s="41" t="n">
        <f aca="false">IF(AH42&gt;0,AG42,AE42)</f>
        <v>0.0501035708177369</v>
      </c>
      <c r="AF43" s="41" t="n">
        <f aca="false">IF(AH42&gt;0,AF42,AG42)</f>
        <v>0.0501035708264681</v>
      </c>
      <c r="AG43" s="41" t="n">
        <f aca="false">(AE43+AF43)/2</f>
        <v>0.0501035708221025</v>
      </c>
      <c r="AH43" s="42" t="n">
        <f aca="false">(SUMPRODUCT((1-(('3. Assumptions'!$B$21/(1-'3. Assumptions'!$B$22))))^('7. Cash flow'!$A$7:$A$86/4)*'7. Cash flow'!$C$7:$C$86/(1+(AG43))^('7. Cash flow'!$A$7:$A$86/4))+SUMPRODUCT((1-(('3. Assumptions'!$B$21/(1-'3. Assumptions'!$B$22))))^(('7. Cash flow'!$A$7:$A$86-1)/4)*(1-(1-(('3. Assumptions'!$B$21/(1-'3. Assumptions'!$B$22))))^0.25)*'7. Cash flow'!$D$7:$D$86/(1+(AG43))^('7. Cash flow'!$A$7:$A$86/4))+(1-(('3. Assumptions'!$B$21/(1-'3. Assumptions'!$B$22))))^'3. Assumptions'!$B$9*'7. Cash flow'!$D$87/(1+(AG43))^'3.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-0.00107470154762268</v>
      </c>
      <c r="AJ43" s="41" t="n">
        <f aca="false">IF(AM42&gt;0,AL42,AJ42)</f>
        <v>-0.00180680471676169</v>
      </c>
      <c r="AK43" s="41" t="n">
        <f aca="false">IF(AM42&gt;0,AK42,AL42)</f>
        <v>-0.00180680470657535</v>
      </c>
      <c r="AL43" s="41" t="n">
        <f aca="false">(AJ43+AK43)/2</f>
        <v>-0.00180680471166852</v>
      </c>
      <c r="AM43" s="42" t="n">
        <f aca="false">SUMPRODUCT((1-('3. Assumptions'!$B$21/(1-'3. Assumptions'!$B$22)))^('7. Cash flow'!$A$7:$A$26/4)*('3. Assumptions'!$B$6+'3. Assumptions'!$B$21)/4/(1+'3. Assumptions'!$B$6+AL43)^('7. Cash flow'!$A$7:$A$26/4))+SUMPRODUCT((1-('3. Assumptions'!$B$21/(1-'3. Assumptions'!$B$22)))^(('7. Cash flow'!$A$7:$A$26-1)/4)*(1-(1-('3. Assumptions'!$B$21/(1-'3. Assumptions'!$B$22)))^0.25)*'3. Assumptions'!$B$22/(1+'3. Assumptions'!$B$6+AL43)^('7. Cash flow'!$A$7:$A$26/4))+(1-('3. Assumptions'!$B$21/(1-'3. Assumptions'!$B$22)))^5/(1+'3. Assumptions'!$B$6+AL43)^5-1</f>
        <v>1.47428735886024E-011</v>
      </c>
    </row>
    <row r="44" customFormat="false" ht="15" hidden="false" customHeight="false" outlineLevel="0" collapsed="false">
      <c r="A44" s="41" t="n">
        <f aca="false">IF(D43&gt;0,C43,A43)</f>
        <v>0.0702608454041183</v>
      </c>
      <c r="B44" s="41" t="n">
        <f aca="false">IF(D43&gt;0,B43,C43)</f>
        <v>0.0702608454128494</v>
      </c>
      <c r="C44" s="41" t="n">
        <f aca="false">(A44+B44)/2</f>
        <v>0.0702608454084839</v>
      </c>
      <c r="D44" s="42" t="n">
        <f aca="false">(SUMPRODUCT((1-(C44))^('7. Cash flow'!$A$7:$A$86/4)*'7. Cash flow'!$C$7:$C$86/(1+(('3. Assumptions'!$B$6+'6. The ladder'!$B$6)))^('7. Cash flow'!$A$7:$A$86/4))+SUMPRODUCT((1-(C44))^(('7. Cash flow'!$A$7:$A$86-1)/4)*(1-(1-(C44))^0.25)*'7. Cash flow'!$D$7:$D$86/(1+(('3. Assumptions'!$B$6+'6. The ladder'!$C$6)))^('7. Cash flow'!$A$7:$A$86/4))+(1-(C44))^'3. Assumptions'!$B$9*'7. Cash flow'!$D$87/(1+(('3. Assumptions'!$B$6+'6. The ladder'!$C$6)))^'3. Assumptions'!$B$9)/(1+'3. Assumptions'!$B$14)-('2. The tape'!$C$17/'3. Assumptions'!$B$4)</f>
        <v>-0.00332346558570862</v>
      </c>
      <c r="F44" s="41" t="n">
        <f aca="false">IF(I43&gt;0,H43,F43)</f>
        <v>0.0576608620584011</v>
      </c>
      <c r="G44" s="41" t="n">
        <f aca="false">IF(I43&gt;0,G43,H43)</f>
        <v>0.0576608620671322</v>
      </c>
      <c r="H44" s="41" t="n">
        <f aca="false">(F44+G44)/2</f>
        <v>0.0576608620627667</v>
      </c>
      <c r="I44" s="42" t="n">
        <f aca="false">(SUMPRODUCT((1-(H44))^('7. Cash flow'!$A$7:$A$86/4)*'7. Cash flow'!$C$7:$C$86/(1+(('3. Assumptions'!$B$6+'6. The ladder'!$B$7)))^('7. Cash flow'!$A$7:$A$86/4))+SUMPRODUCT((1-(H44))^(('7. Cash flow'!$A$7:$A$86-1)/4)*(1-(1-(H44))^0.25)*'7. Cash flow'!$D$7:$D$86/(1+(('3. Assumptions'!$B$6+'6. The ladder'!$C$7)))^('7. Cash flow'!$A$7:$A$86/4))+(1-(H44))^'3. Assumptions'!$B$9*'7. Cash flow'!$D$87/(1+(('3. Assumptions'!$B$6+'6. The ladder'!$C$7)))^'3. Assumptions'!$B$9)/(1+'3. Assumptions'!$B$14)-('2. The tape'!$C$17/'3. Assumptions'!$B$4)</f>
        <v>0.00144141912460327</v>
      </c>
      <c r="K44" s="41" t="n">
        <f aca="false">IF(N43&gt;0,M43,K43)</f>
        <v>0.0449128327018116</v>
      </c>
      <c r="L44" s="41" t="n">
        <f aca="false">IF(N43&gt;0,L43,M43)</f>
        <v>0.0449128327105427</v>
      </c>
      <c r="M44" s="41" t="n">
        <f aca="false">(K44+L44)/2</f>
        <v>0.0449128327061772</v>
      </c>
      <c r="N44" s="42" t="n">
        <f aca="false">(SUMPRODUCT((1-(M44))^('7. Cash flow'!$A$7:$A$86/4)*'7. Cash flow'!$C$7:$C$86/(1+(('3. Assumptions'!$B$6+'6. The ladder'!$B$8)))^('7. Cash flow'!$A$7:$A$86/4))+SUMPRODUCT((1-(M44))^(('7. Cash flow'!$A$7:$A$86-1)/4)*(1-(1-(M44))^0.25)*'7. Cash flow'!$D$7:$D$86/(1+(('3. Assumptions'!$B$6+'6. The ladder'!$C$8)))^('7. Cash flow'!$A$7:$A$86/4))+(1-(M44))^'3. Assumptions'!$B$9*'7. Cash flow'!$D$87/(1+(('3. Assumptions'!$B$6+'6. The ladder'!$C$8)))^'3. Assumptions'!$B$9)/(1+'3. Assumptions'!$B$14)-('2. The tape'!$C$17/'3. Assumptions'!$B$4)</f>
        <v>0.00385189056396484</v>
      </c>
      <c r="P44" s="41" t="n">
        <f aca="false">IF(S43&gt;0,R43,P43)</f>
        <v>0.0322850348049542</v>
      </c>
      <c r="Q44" s="41" t="n">
        <f aca="false">IF(S43&gt;0,Q43,R43)</f>
        <v>0.0322850348136853</v>
      </c>
      <c r="R44" s="41" t="n">
        <f aca="false">(P44+Q44)/2</f>
        <v>0.0322850348093198</v>
      </c>
      <c r="S44" s="42" t="n">
        <f aca="false">(SUMPRODUCT((1-(R44))^('7. Cash flow'!$A$7:$A$86/4)*'7. Cash flow'!$C$7:$C$86/(1+(('3. Assumptions'!$B$6+'6. The ladder'!$B$9)))^('7. Cash flow'!$A$7:$A$86/4))+SUMPRODUCT((1-(R44))^(('7. Cash flow'!$A$7:$A$86-1)/4)*(1-(1-(R44))^0.25)*'7. Cash flow'!$D$7:$D$86/(1+(('3. Assumptions'!$B$6+'6. The ladder'!$C$9)))^('7. Cash flow'!$A$7:$A$86/4))+(1-(R44))^'3. Assumptions'!$B$9*'7. Cash flow'!$D$87/(1+(('3. Assumptions'!$B$6+'6. The ladder'!$C$9)))^'3. Assumptions'!$B$9)/(1+'3. Assumptions'!$B$14)-('2. The tape'!$C$17/'3. Assumptions'!$B$4)</f>
        <v>-0.00183126330375671</v>
      </c>
      <c r="U44" s="41" t="n">
        <f aca="false">IF(X43&gt;0,W43,U43)</f>
        <v>0.0322850348049542</v>
      </c>
      <c r="V44" s="41" t="n">
        <f aca="false">IF(X43&gt;0,V43,W43)</f>
        <v>0.0322850348136853</v>
      </c>
      <c r="W44" s="41" t="n">
        <f aca="false">(U44+V44)/2</f>
        <v>0.0322850348093198</v>
      </c>
      <c r="X44" s="42" t="n">
        <f aca="false">(SUMPRODUCT((1-(W44))^('7. Cash flow'!$A$7:$A$86/4)*'7. Cash flow'!$C$7:$C$86/(1+('3. Assumptions'!$B$28))^('7. Cash flow'!$A$7:$A$86/4))+SUMPRODUCT((1-(W44))^(('7. Cash flow'!$A$7:$A$86-1)/4)*(1-(1-(W44))^0.25)*'7. Cash flow'!$D$7:$D$86/(1+('3. Assumptions'!$B$29))^('7. Cash flow'!$A$7:$A$86/4))+(1-(W44))^'3. Assumptions'!$B$9*'7. Cash flow'!$D$87/(1+('3. Assumptions'!$B$29))^'3. Assumptions'!$B$9)/(1+'3. Assumptions'!$B$14)-('2. The tape'!$C$17/'3. Assumptions'!$B$4)</f>
        <v>-0.00183126330375671</v>
      </c>
      <c r="Z44" s="41" t="n">
        <f aca="false">IF(AC43&gt;0,AB43,Z43)</f>
        <v>0.00364530202496098</v>
      </c>
      <c r="AA44" s="41" t="n">
        <f aca="false">IF(AC43&gt;0,AA43,AB43)</f>
        <v>0.00364530203005415</v>
      </c>
      <c r="AB44" s="41" t="n">
        <f aca="false">(Z44+AA44)/2</f>
        <v>0.00364530202750757</v>
      </c>
      <c r="AC44" s="42" t="n">
        <f aca="false">(SUMPRODUCT((1-(('3. Assumptions'!$B$21/(1-'3. Assumptions'!$B$22))))^('7. Cash flow'!$A$7:$A$86/4)*'7. Cash flow'!$C$7:$C$86/(1+('3. Assumptions'!$B$6+AB44))^('7. Cash flow'!$A$7:$A$86/4))+SUMPRODUCT((1-(('3. Assumptions'!$B$21/(1-'3. Assumptions'!$B$22))))^(('7. Cash flow'!$A$7:$A$86-1)/4)*(1-(1-(('3. Assumptions'!$B$21/(1-'3. Assumptions'!$B$22))))^0.25)*'7. Cash flow'!$D$7:$D$86/(1+('3. Assumptions'!$B$6+AB44))^('7. Cash flow'!$A$7:$A$86/4))+(1-(('3. Assumptions'!$B$21/(1-'3. Assumptions'!$B$22))))^'3. Assumptions'!$B$9*'7. Cash flow'!$D$87/(1+('3. Assumptions'!$B$6+AB44))^'3. Assumptions'!$B$9)/(1+'3. Assumptions'!$B$14)-('2. The tape'!$C$17/'3. Assumptions'!$B$4)</f>
        <v>0.00137221813201904</v>
      </c>
      <c r="AE44" s="41" t="n">
        <f aca="false">IF(AH43&gt;0,AG43,AE43)</f>
        <v>0.0501035708177369</v>
      </c>
      <c r="AF44" s="41" t="n">
        <f aca="false">IF(AH43&gt;0,AF43,AG43)</f>
        <v>0.0501035708221025</v>
      </c>
      <c r="AG44" s="41" t="n">
        <f aca="false">(AE44+AF44)/2</f>
        <v>0.0501035708199197</v>
      </c>
      <c r="AH44" s="42" t="n">
        <f aca="false">(SUMPRODUCT((1-(('3. Assumptions'!$B$21/(1-'3. Assumptions'!$B$22))))^('7. Cash flow'!$A$7:$A$86/4)*'7. Cash flow'!$C$7:$C$86/(1+(AG44))^('7. Cash flow'!$A$7:$A$86/4))+SUMPRODUCT((1-(('3. Assumptions'!$B$21/(1-'3. Assumptions'!$B$22))))^(('7. Cash flow'!$A$7:$A$86-1)/4)*(1-(1-(('3. Assumptions'!$B$21/(1-'3. Assumptions'!$B$22))))^0.25)*'7. Cash flow'!$D$7:$D$86/(1+(AG44))^('7. Cash flow'!$A$7:$A$86/4))+(1-(('3. Assumptions'!$B$21/(1-'3. Assumptions'!$B$22))))^'3. Assumptions'!$B$9*'7. Cash flow'!$D$87/(1+(AG44))^'3.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0.00139081478118896</v>
      </c>
      <c r="AJ44" s="41" t="n">
        <f aca="false">IF(AM43&gt;0,AL43,AJ43)</f>
        <v>-0.00180680471166852</v>
      </c>
      <c r="AK44" s="41" t="n">
        <f aca="false">IF(AM43&gt;0,AK43,AL43)</f>
        <v>-0.00180680470657535</v>
      </c>
      <c r="AL44" s="41" t="n">
        <f aca="false">(AJ44+AK44)/2</f>
        <v>-0.00180680470912194</v>
      </c>
      <c r="AM44" s="42" t="n">
        <f aca="false">SUMPRODUCT((1-('3. Assumptions'!$B$21/(1-'3. Assumptions'!$B$22)))^('7. Cash flow'!$A$7:$A$26/4)*('3. Assumptions'!$B$6+'3. Assumptions'!$B$21)/4/(1+'3. Assumptions'!$B$6+AL44)^('7. Cash flow'!$A$7:$A$26/4))+SUMPRODUCT((1-('3. Assumptions'!$B$21/(1-'3. Assumptions'!$B$22)))^(('7. Cash flow'!$A$7:$A$26-1)/4)*(1-(1-('3. Assumptions'!$B$21/(1-'3. Assumptions'!$B$22)))^0.25)*'3. Assumptions'!$B$22/(1+'3. Assumptions'!$B$6+AL44)^('7. Cash flow'!$A$7:$A$26/4))+(1-('3. Assumptions'!$B$21/(1-'3. Assumptions'!$B$22)))^5/(1+'3. Assumptions'!$B$6+AL44)^5-1</f>
        <v>4.623412763749E-012</v>
      </c>
    </row>
    <row r="45" customFormat="false" ht="15" hidden="false" customHeight="false" outlineLevel="0" collapsed="false">
      <c r="A45" s="41" t="n">
        <f aca="false">IF(D44&gt;0,C44,A44)</f>
        <v>0.0702608454041183</v>
      </c>
      <c r="B45" s="41" t="n">
        <f aca="false">IF(D44&gt;0,B44,C44)</f>
        <v>0.0702608454084839</v>
      </c>
      <c r="C45" s="41" t="n">
        <f aca="false">(A45+B45)/2</f>
        <v>0.0702608454063011</v>
      </c>
      <c r="D45" s="42" t="n">
        <f aca="false">(SUMPRODUCT((1-(C45))^('7. Cash flow'!$A$7:$A$86/4)*'7. Cash flow'!$C$7:$C$86/(1+(('3. Assumptions'!$B$6+'6. The ladder'!$B$6)))^('7. Cash flow'!$A$7:$A$86/4))+SUMPRODUCT((1-(C45))^(('7. Cash flow'!$A$7:$A$86-1)/4)*(1-(1-(C45))^0.25)*'7. Cash flow'!$D$7:$D$86/(1+(('3. Assumptions'!$B$6+'6. The ladder'!$C$6)))^('7. Cash flow'!$A$7:$A$86/4))+(1-(C45))^'3. Assumptions'!$B$9*'7. Cash flow'!$D$87/(1+(('3. Assumptions'!$B$6+'6. The ladder'!$C$6)))^'3. Assumptions'!$B$9)/(1+'3. Assumptions'!$B$14)-('2. The tape'!$C$17/'3. Assumptions'!$B$4)</f>
        <v>-0.00141778588294983</v>
      </c>
      <c r="F45" s="41" t="n">
        <f aca="false">IF(I44&gt;0,H44,F44)</f>
        <v>0.0576608620627667</v>
      </c>
      <c r="G45" s="41" t="n">
        <f aca="false">IF(I44&gt;0,G44,H44)</f>
        <v>0.0576608620671322</v>
      </c>
      <c r="H45" s="41" t="n">
        <f aca="false">(F45+G45)/2</f>
        <v>0.0576608620649495</v>
      </c>
      <c r="I45" s="42" t="n">
        <f aca="false">(SUMPRODUCT((1-(H45))^('7. Cash flow'!$A$7:$A$86/4)*'7. Cash flow'!$C$7:$C$86/(1+(('3. Assumptions'!$B$6+'6. The ladder'!$B$7)))^('7. Cash flow'!$A$7:$A$86/4))+SUMPRODUCT((1-(H45))^(('7. Cash flow'!$A$7:$A$86-1)/4)*(1-(1-(H45))^0.25)*'7. Cash flow'!$D$7:$D$86/(1+(('3. Assumptions'!$B$6+'6. The ladder'!$C$7)))^('7. Cash flow'!$A$7:$A$86/4))+(1-(H45))^'3. Assumptions'!$B$9*'7. Cash flow'!$D$87/(1+(('3. Assumptions'!$B$6+'6. The ladder'!$C$7)))^'3. Assumptions'!$B$9)/(1+'3. Assumptions'!$B$14)-('2. The tape'!$C$17/'3. Assumptions'!$B$4)</f>
        <v>-0.000457316637039185</v>
      </c>
      <c r="K45" s="41" t="n">
        <f aca="false">IF(N44&gt;0,M44,K44)</f>
        <v>0.0449128327061772</v>
      </c>
      <c r="L45" s="41" t="n">
        <f aca="false">IF(N44&gt;0,L44,M44)</f>
        <v>0.0449128327105427</v>
      </c>
      <c r="M45" s="41" t="n">
        <f aca="false">(K45+L45)/2</f>
        <v>0.0449128327083599</v>
      </c>
      <c r="N45" s="42" t="n">
        <f aca="false">(SUMPRODUCT((1-(M45))^('7. Cash flow'!$A$7:$A$86/4)*'7. Cash flow'!$C$7:$C$86/(1+(('3. Assumptions'!$B$6+'6. The ladder'!$B$8)))^('7. Cash flow'!$A$7:$A$86/4))+SUMPRODUCT((1-(M45))^(('7. Cash flow'!$A$7:$A$86-1)/4)*(1-(1-(M45))^0.25)*'7. Cash flow'!$D$7:$D$86/(1+(('3. Assumptions'!$B$6+'6. The ladder'!$C$8)))^('7. Cash flow'!$A$7:$A$86/4))+(1-(M45))^'3. Assumptions'!$B$9*'7. Cash flow'!$D$87/(1+(('3. Assumptions'!$B$6+'6. The ladder'!$C$8)))^'3. Assumptions'!$B$9)/(1+'3. Assumptions'!$B$14)-('2. The tape'!$C$17/'3. Assumptions'!$B$4)</f>
        <v>0.00183260440826416</v>
      </c>
      <c r="P45" s="41" t="n">
        <f aca="false">IF(S44&gt;0,R44,P44)</f>
        <v>0.0322850348049542</v>
      </c>
      <c r="Q45" s="41" t="n">
        <f aca="false">IF(S44&gt;0,Q44,R44)</f>
        <v>0.0322850348093198</v>
      </c>
      <c r="R45" s="41" t="n">
        <f aca="false">(P45+Q45)/2</f>
        <v>0.032285034807137</v>
      </c>
      <c r="S45" s="42" t="n">
        <f aca="false">(SUMPRODUCT((1-(R45))^('7. Cash flow'!$A$7:$A$86/4)*'7. Cash flow'!$C$7:$C$86/(1+(('3. Assumptions'!$B$6+'6. The ladder'!$B$9)))^('7. Cash flow'!$A$7:$A$86/4))+SUMPRODUCT((1-(R45))^(('7. Cash flow'!$A$7:$A$86-1)/4)*(1-(1-(R45))^0.25)*'7. Cash flow'!$D$7:$D$86/(1+(('3. Assumptions'!$B$6+'6. The ladder'!$C$9)))^('7. Cash flow'!$A$7:$A$86/4))+(1-(R45))^'3. Assumptions'!$B$9*'7. Cash flow'!$D$87/(1+(('3. Assumptions'!$B$6+'6. The ladder'!$C$9)))^'3. Assumptions'!$B$9)/(1+'3. Assumptions'!$B$14)-('2. The tape'!$C$17/'3. Assumptions'!$B$4)</f>
        <v>0.000363677740097046</v>
      </c>
      <c r="U45" s="41" t="n">
        <f aca="false">IF(X44&gt;0,W44,U44)</f>
        <v>0.0322850348049542</v>
      </c>
      <c r="V45" s="41" t="n">
        <f aca="false">IF(X44&gt;0,V44,W44)</f>
        <v>0.0322850348093198</v>
      </c>
      <c r="W45" s="41" t="n">
        <f aca="false">(U45+V45)/2</f>
        <v>0.032285034807137</v>
      </c>
      <c r="X45" s="42" t="n">
        <f aca="false">(SUMPRODUCT((1-(W45))^('7. Cash flow'!$A$7:$A$86/4)*'7. Cash flow'!$C$7:$C$86/(1+('3. Assumptions'!$B$28))^('7. Cash flow'!$A$7:$A$86/4))+SUMPRODUCT((1-(W45))^(('7. Cash flow'!$A$7:$A$86-1)/4)*(1-(1-(W45))^0.25)*'7. Cash flow'!$D$7:$D$86/(1+('3. Assumptions'!$B$29))^('7. Cash flow'!$A$7:$A$86/4))+(1-(W45))^'3. Assumptions'!$B$9*'7. Cash flow'!$D$87/(1+('3. Assumptions'!$B$29))^'3. Assumptions'!$B$9)/(1+'3. Assumptions'!$B$14)-('2. The tape'!$C$17/'3. Assumptions'!$B$4)</f>
        <v>0.000363677740097046</v>
      </c>
      <c r="Z45" s="41" t="n">
        <f aca="false">IF(AC44&gt;0,AB44,Z44)</f>
        <v>0.00364530202750757</v>
      </c>
      <c r="AA45" s="41" t="n">
        <f aca="false">IF(AC44&gt;0,AA44,AB44)</f>
        <v>0.00364530203005415</v>
      </c>
      <c r="AB45" s="41" t="n">
        <f aca="false">(Z45+AA45)/2</f>
        <v>0.00364530202878086</v>
      </c>
      <c r="AC45" s="42" t="n">
        <f aca="false">(SUMPRODUCT((1-(('3. Assumptions'!$B$21/(1-'3. Assumptions'!$B$22))))^('7. Cash flow'!$A$7:$A$86/4)*'7. Cash flow'!$C$7:$C$86/(1+('3. Assumptions'!$B$6+AB45))^('7. Cash flow'!$A$7:$A$86/4))+SUMPRODUCT((1-(('3. Assumptions'!$B$21/(1-'3. Assumptions'!$B$22))))^(('7. Cash flow'!$A$7:$A$86-1)/4)*(1-(1-(('3. Assumptions'!$B$21/(1-'3. Assumptions'!$B$22))))^0.25)*'7. Cash flow'!$D$7:$D$86/(1+('3. Assumptions'!$B$6+AB45))^('7. Cash flow'!$A$7:$A$86/4))+(1-(('3. Assumptions'!$B$21/(1-'3. Assumptions'!$B$22))))^'3. Assumptions'!$B$9*'7. Cash flow'!$D$87/(1+('3. Assumptions'!$B$6+AB45))^'3. Assumptions'!$B$9)/(1+'3. Assumptions'!$B$14)-('2. The tape'!$C$17/'3. Assumptions'!$B$4)</f>
        <v>-0.000508815050125122</v>
      </c>
      <c r="AE45" s="41" t="n">
        <f aca="false">IF(AH44&gt;0,AG44,AE44)</f>
        <v>0.0501035708199197</v>
      </c>
      <c r="AF45" s="41" t="n">
        <f aca="false">IF(AH44&gt;0,AF44,AG44)</f>
        <v>0.0501035708221025</v>
      </c>
      <c r="AG45" s="41" t="n">
        <f aca="false">(AE45+AF45)/2</f>
        <v>0.0501035708210111</v>
      </c>
      <c r="AH45" s="42" t="n">
        <f aca="false">(SUMPRODUCT((1-(('3. Assumptions'!$B$21/(1-'3. Assumptions'!$B$22))))^('7. Cash flow'!$A$7:$A$86/4)*'7. Cash flow'!$C$7:$C$86/(1+(AG45))^('7. Cash flow'!$A$7:$A$86/4))+SUMPRODUCT((1-(('3. Assumptions'!$B$21/(1-'3. Assumptions'!$B$22))))^(('7. Cash flow'!$A$7:$A$86-1)/4)*(1-(1-(('3. Assumptions'!$B$21/(1-'3. Assumptions'!$B$22))))^0.25)*'7. Cash flow'!$D$7:$D$86/(1+(AG45))^('7. Cash flow'!$A$7:$A$86/4))+(1-(('3. Assumptions'!$B$21/(1-'3. Assumptions'!$B$22))))^'3. Assumptions'!$B$9*'7. Cash flow'!$D$87/(1+(AG45))^'3.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0.000158041715621948</v>
      </c>
      <c r="AJ45" s="41" t="n">
        <f aca="false">IF(AM44&gt;0,AL44,AJ44)</f>
        <v>-0.00180680470912194</v>
      </c>
      <c r="AK45" s="41" t="n">
        <f aca="false">IF(AM44&gt;0,AK44,AL44)</f>
        <v>-0.00180680470657535</v>
      </c>
      <c r="AL45" s="41" t="n">
        <f aca="false">(AJ45+AK45)/2</f>
        <v>-0.00180680470784864</v>
      </c>
      <c r="AM45" s="42" t="n">
        <f aca="false">SUMPRODUCT((1-('3. Assumptions'!$B$21/(1-'3. Assumptions'!$B$22)))^('7. Cash flow'!$A$7:$A$26/4)*('3. Assumptions'!$B$6+'3. Assumptions'!$B$21)/4/(1+'3. Assumptions'!$B$6+AL45)^('7. Cash flow'!$A$7:$A$26/4))+SUMPRODUCT((1-('3. Assumptions'!$B$21/(1-'3. Assumptions'!$B$22)))^(('7. Cash flow'!$A$7:$A$26-1)/4)*(1-(1-('3. Assumptions'!$B$21/(1-'3. Assumptions'!$B$22)))^0.25)*'3. Assumptions'!$B$22/(1+'3. Assumptions'!$B$6+AL45)^('7. Cash flow'!$A$7:$A$26/4))+(1-('3. Assumptions'!$B$21/(1-'3. Assumptions'!$B$22)))^5/(1+'3. Assumptions'!$B$6+AL45)^5-1</f>
        <v>-4.36872760189999E-013</v>
      </c>
    </row>
    <row r="46" customFormat="false" ht="15" hidden="false" customHeight="false" outlineLevel="0" collapsed="false">
      <c r="A46" s="41" t="n">
        <f aca="false">IF(D45&gt;0,C45,A45)</f>
        <v>0.0702608454041183</v>
      </c>
      <c r="B46" s="41" t="n">
        <f aca="false">IF(D45&gt;0,B45,C45)</f>
        <v>0.0702608454063011</v>
      </c>
      <c r="C46" s="41" t="n">
        <f aca="false">(A46+B46)/2</f>
        <v>0.0702608454052097</v>
      </c>
      <c r="D46" s="42" t="n">
        <f aca="false">(SUMPRODUCT((1-(C46))^('7. Cash flow'!$A$7:$A$86/4)*'7. Cash flow'!$C$7:$C$86/(1+(('3. Assumptions'!$B$6+'6. The ladder'!$B$6)))^('7. Cash flow'!$A$7:$A$86/4))+SUMPRODUCT((1-(C46))^(('7. Cash flow'!$A$7:$A$86-1)/4)*(1-(1-(C46))^0.25)*'7. Cash flow'!$D$7:$D$86/(1+(('3. Assumptions'!$B$6+'6. The ladder'!$C$6)))^('7. Cash flow'!$A$7:$A$86/4))+(1-(C46))^'3. Assumptions'!$B$9*'7. Cash flow'!$D$87/(1+(('3. Assumptions'!$B$6+'6. The ladder'!$C$6)))^'3. Assumptions'!$B$9)/(1+'3. Assumptions'!$B$14)-('2. The tape'!$C$17/'3. Assumptions'!$B$4)</f>
        <v>-0.000465184450149536</v>
      </c>
      <c r="F46" s="41" t="n">
        <f aca="false">IF(I45&gt;0,H45,F45)</f>
        <v>0.0576608620627667</v>
      </c>
      <c r="G46" s="41" t="n">
        <f aca="false">IF(I45&gt;0,G45,H45)</f>
        <v>0.0576608620649495</v>
      </c>
      <c r="H46" s="41" t="n">
        <f aca="false">(F46+G46)/2</f>
        <v>0.0576608620638581</v>
      </c>
      <c r="I46" s="42" t="n">
        <f aca="false">(SUMPRODUCT((1-(H46))^('7. Cash flow'!$A$7:$A$86/4)*'7. Cash flow'!$C$7:$C$86/(1+(('3. Assumptions'!$B$6+'6. The ladder'!$B$7)))^('7. Cash flow'!$A$7:$A$86/4))+SUMPRODUCT((1-(H46))^(('7. Cash flow'!$A$7:$A$86-1)/4)*(1-(1-(H46))^0.25)*'7. Cash flow'!$D$7:$D$86/(1+(('3. Assumptions'!$B$6+'6. The ladder'!$C$7)))^('7. Cash flow'!$A$7:$A$86/4))+(1-(H46))^'3. Assumptions'!$B$9*'7. Cash flow'!$D$87/(1+(('3. Assumptions'!$B$6+'6. The ladder'!$C$7)))^'3. Assumptions'!$B$9)/(1+'3. Assumptions'!$B$14)-('2. The tape'!$C$17/'3. Assumptions'!$B$4)</f>
        <v>0.000492304563522339</v>
      </c>
      <c r="K46" s="41" t="n">
        <f aca="false">IF(N45&gt;0,M45,K45)</f>
        <v>0.0449128327083599</v>
      </c>
      <c r="L46" s="41" t="n">
        <f aca="false">IF(N45&gt;0,L45,M45)</f>
        <v>0.0449128327105427</v>
      </c>
      <c r="M46" s="41" t="n">
        <f aca="false">(K46+L46)/2</f>
        <v>0.0449128327094513</v>
      </c>
      <c r="N46" s="42" t="n">
        <f aca="false">(SUMPRODUCT((1-(M46))^('7. Cash flow'!$A$7:$A$86/4)*'7. Cash flow'!$C$7:$C$86/(1+(('3. Assumptions'!$B$6+'6. The ladder'!$B$8)))^('7. Cash flow'!$A$7:$A$86/4))+SUMPRODUCT((1-(M46))^(('7. Cash flow'!$A$7:$A$86-1)/4)*(1-(1-(M46))^0.25)*'7. Cash flow'!$D$7:$D$86/(1+(('3. Assumptions'!$B$6+'6. The ladder'!$C$8)))^('7. Cash flow'!$A$7:$A$86/4))+(1-(M46))^'3. Assumptions'!$B$9*'7. Cash flow'!$D$87/(1+(('3. Assumptions'!$B$6+'6. The ladder'!$C$8)))^'3. Assumptions'!$B$9)/(1+'3. Assumptions'!$B$14)-('2. The tape'!$C$17/'3. Assumptions'!$B$4)</f>
        <v>0.000822454690933228</v>
      </c>
      <c r="P46" s="41" t="n">
        <f aca="false">IF(S45&gt;0,R45,P45)</f>
        <v>0.032285034807137</v>
      </c>
      <c r="Q46" s="41" t="n">
        <f aca="false">IF(S45&gt;0,Q45,R45)</f>
        <v>0.0322850348093198</v>
      </c>
      <c r="R46" s="41" t="n">
        <f aca="false">(P46+Q46)/2</f>
        <v>0.0322850348082284</v>
      </c>
      <c r="S46" s="42" t="n">
        <f aca="false">(SUMPRODUCT((1-(R46))^('7. Cash flow'!$A$7:$A$86/4)*'7. Cash flow'!$C$7:$C$86/(1+(('3. Assumptions'!$B$6+'6. The ladder'!$B$9)))^('7. Cash flow'!$A$7:$A$86/4))+SUMPRODUCT((1-(R46))^(('7. Cash flow'!$A$7:$A$86-1)/4)*(1-(1-(R46))^0.25)*'7. Cash flow'!$D$7:$D$86/(1+(('3. Assumptions'!$B$6+'6. The ladder'!$C$9)))^('7. Cash flow'!$A$7:$A$86/4))+(1-(R46))^'3. Assumptions'!$B$9*'7. Cash flow'!$D$87/(1+(('3. Assumptions'!$B$6+'6. The ladder'!$C$9)))^'3. Assumptions'!$B$9)/(1+'3. Assumptions'!$B$14)-('2. The tape'!$C$17/'3. Assumptions'!$B$4)</f>
        <v>-0.000733852386474609</v>
      </c>
      <c r="U46" s="41" t="n">
        <f aca="false">IF(X45&gt;0,W45,U45)</f>
        <v>0.032285034807137</v>
      </c>
      <c r="V46" s="41" t="n">
        <f aca="false">IF(X45&gt;0,V45,W45)</f>
        <v>0.0322850348093198</v>
      </c>
      <c r="W46" s="41" t="n">
        <f aca="false">(U46+V46)/2</f>
        <v>0.0322850348082284</v>
      </c>
      <c r="X46" s="42" t="n">
        <f aca="false">(SUMPRODUCT((1-(W46))^('7. Cash flow'!$A$7:$A$86/4)*'7. Cash flow'!$C$7:$C$86/(1+('3. Assumptions'!$B$28))^('7. Cash flow'!$A$7:$A$86/4))+SUMPRODUCT((1-(W46))^(('7. Cash flow'!$A$7:$A$86-1)/4)*(1-(1-(W46))^0.25)*'7. Cash flow'!$D$7:$D$86/(1+('3. Assumptions'!$B$29))^('7. Cash flow'!$A$7:$A$86/4))+(1-(W46))^'3. Assumptions'!$B$9*'7. Cash flow'!$D$87/(1+('3. Assumptions'!$B$29))^'3. Assumptions'!$B$9)/(1+'3. Assumptions'!$B$14)-('2. The tape'!$C$17/'3. Assumptions'!$B$4)</f>
        <v>-0.000733852386474609</v>
      </c>
      <c r="Z46" s="41" t="n">
        <f aca="false">IF(AC45&gt;0,AB45,Z45)</f>
        <v>0.00364530202750757</v>
      </c>
      <c r="AA46" s="41" t="n">
        <f aca="false">IF(AC45&gt;0,AA45,AB45)</f>
        <v>0.00364530202878086</v>
      </c>
      <c r="AB46" s="41" t="n">
        <f aca="false">(Z46+AA46)/2</f>
        <v>0.00364530202814421</v>
      </c>
      <c r="AC46" s="42" t="n">
        <f aca="false">(SUMPRODUCT((1-(('3. Assumptions'!$B$21/(1-'3. Assumptions'!$B$22))))^('7. Cash flow'!$A$7:$A$86/4)*'7. Cash flow'!$C$7:$C$86/(1+('3. Assumptions'!$B$6+AB46))^('7. Cash flow'!$A$7:$A$86/4))+SUMPRODUCT((1-(('3. Assumptions'!$B$21/(1-'3. Assumptions'!$B$22))))^(('7. Cash flow'!$A$7:$A$86-1)/4)*(1-(1-(('3. Assumptions'!$B$21/(1-'3. Assumptions'!$B$22))))^0.25)*'7. Cash flow'!$D$7:$D$86/(1+('3. Assumptions'!$B$6+AB46))^('7. Cash flow'!$A$7:$A$86/4))+(1-(('3. Assumptions'!$B$21/(1-'3. Assumptions'!$B$22))))^'3. Assumptions'!$B$9*'7. Cash flow'!$D$87/(1+('3. Assumptions'!$B$6+AB46))^'3. Assumptions'!$B$9)/(1+'3. Assumptions'!$B$14)-('2. The tape'!$C$17/'3. Assumptions'!$B$4)</f>
        <v>0.000431686639785767</v>
      </c>
      <c r="AE46" s="41" t="n">
        <f aca="false">IF(AH45&gt;0,AG45,AE45)</f>
        <v>0.0501035708210111</v>
      </c>
      <c r="AF46" s="41" t="n">
        <f aca="false">IF(AH45&gt;0,AF45,AG45)</f>
        <v>0.0501035708221025</v>
      </c>
      <c r="AG46" s="41" t="n">
        <f aca="false">(AE46+AF46)/2</f>
        <v>0.0501035708215568</v>
      </c>
      <c r="AH46" s="42" t="n">
        <f aca="false">(SUMPRODUCT((1-(('3. Assumptions'!$B$21/(1-'3. Assumptions'!$B$22))))^('7. Cash flow'!$A$7:$A$86/4)*'7. Cash flow'!$C$7:$C$86/(1+(AG46))^('7. Cash flow'!$A$7:$A$86/4))+SUMPRODUCT((1-(('3. Assumptions'!$B$21/(1-'3. Assumptions'!$B$22))))^(('7. Cash flow'!$A$7:$A$86-1)/4)*(1-(1-(('3. Assumptions'!$B$21/(1-'3. Assumptions'!$B$22))))^0.25)*'7. Cash flow'!$D$7:$D$86/(1+(AG46))^('7. Cash flow'!$A$7:$A$86/4))+(1-(('3. Assumptions'!$B$21/(1-'3. Assumptions'!$B$22))))^'3. Assumptions'!$B$9*'7. Cash flow'!$D$87/(1+(AG46))^'3.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-0.000458210706710815</v>
      </c>
      <c r="AJ46" s="41" t="n">
        <f aca="false">IF(AM45&gt;0,AL45,AJ45)</f>
        <v>-0.00180680470912194</v>
      </c>
      <c r="AK46" s="41" t="n">
        <f aca="false">IF(AM45&gt;0,AK45,AL45)</f>
        <v>-0.00180680470784864</v>
      </c>
      <c r="AL46" s="41" t="n">
        <f aca="false">(AJ46+AK46)/2</f>
        <v>-0.00180680470848529</v>
      </c>
      <c r="AM46" s="42" t="n">
        <f aca="false">SUMPRODUCT((1-('3. Assumptions'!$B$21/(1-'3. Assumptions'!$B$22)))^('7. Cash flow'!$A$7:$A$26/4)*('3. Assumptions'!$B$6+'3. Assumptions'!$B$21)/4/(1+'3. Assumptions'!$B$6+AL46)^('7. Cash flow'!$A$7:$A$26/4))+SUMPRODUCT((1-('3. Assumptions'!$B$21/(1-'3. Assumptions'!$B$22)))^(('7. Cash flow'!$A$7:$A$26-1)/4)*(1-(1-('3. Assumptions'!$B$21/(1-'3. Assumptions'!$B$22)))^0.25)*'3. Assumptions'!$B$22/(1+'3. Assumptions'!$B$6+AL46)^('7. Cash flow'!$A$7:$A$26/4))+(1-('3. Assumptions'!$B$21/(1-'3. Assumptions'!$B$22)))^5/(1+'3. Assumptions'!$B$6+AL46)^5-1</f>
        <v>2.09365857983812E-012</v>
      </c>
    </row>
    <row r="47" customFormat="false" ht="15" hidden="false" customHeight="false" outlineLevel="0" collapsed="false">
      <c r="A47" s="41" t="n">
        <f aca="false">IF(D46&gt;0,C46,A46)</f>
        <v>0.0702608454041183</v>
      </c>
      <c r="B47" s="41" t="n">
        <f aca="false">IF(D46&gt;0,B46,C46)</f>
        <v>0.0702608454052097</v>
      </c>
      <c r="C47" s="41" t="n">
        <f aca="false">(A47+B47)/2</f>
        <v>0.070260845404664</v>
      </c>
      <c r="D47" s="42" t="n">
        <f aca="false">(SUMPRODUCT((1-(C47))^('7. Cash flow'!$A$7:$A$86/4)*'7. Cash flow'!$C$7:$C$86/(1+(('3. Assumptions'!$B$6+'6. The ladder'!$B$6)))^('7. Cash flow'!$A$7:$A$86/4))+SUMPRODUCT((1-(C47))^(('7. Cash flow'!$A$7:$A$86-1)/4)*(1-(1-(C47))^0.25)*'7. Cash flow'!$D$7:$D$86/(1+(('3. Assumptions'!$B$6+'6. The ladder'!$C$6)))^('7. Cash flow'!$A$7:$A$86/4))+(1-(C47))^'3. Assumptions'!$B$9*'7. Cash flow'!$D$87/(1+(('3. Assumptions'!$B$6+'6. The ladder'!$C$6)))^'3. Assumptions'!$B$9)/(1+'3. Assumptions'!$B$14)-('2. The tape'!$C$17/'3. Assumptions'!$B$4)</f>
        <v>1.1146068572998E-005</v>
      </c>
      <c r="F47" s="41" t="n">
        <f aca="false">IF(I46&gt;0,H46,F46)</f>
        <v>0.0576608620638581</v>
      </c>
      <c r="G47" s="41" t="n">
        <f aca="false">IF(I46&gt;0,G46,H46)</f>
        <v>0.0576608620649495</v>
      </c>
      <c r="H47" s="41" t="n">
        <f aca="false">(F47+G47)/2</f>
        <v>0.0576608620644038</v>
      </c>
      <c r="I47" s="42" t="n">
        <f aca="false">(SUMPRODUCT((1-(H47))^('7. Cash flow'!$A$7:$A$86/4)*'7. Cash flow'!$C$7:$C$86/(1+(('3. Assumptions'!$B$6+'6. The ladder'!$B$7)))^('7. Cash flow'!$A$7:$A$86/4))+SUMPRODUCT((1-(H47))^(('7. Cash flow'!$A$7:$A$86-1)/4)*(1-(1-(H47))^0.25)*'7. Cash flow'!$D$7:$D$86/(1+(('3. Assumptions'!$B$6+'6. The ladder'!$C$7)))^('7. Cash flow'!$A$7:$A$86/4))+(1-(H47))^'3. Assumptions'!$B$9*'7. Cash flow'!$D$87/(1+(('3. Assumptions'!$B$6+'6. The ladder'!$C$7)))^'3. Assumptions'!$B$9)/(1+'3. Assumptions'!$B$14)-('2. The tape'!$C$17/'3. Assumptions'!$B$4)</f>
        <v>1.75535678863525E-005</v>
      </c>
      <c r="K47" s="41" t="n">
        <f aca="false">IF(N46&gt;0,M46,K46)</f>
        <v>0.0449128327094513</v>
      </c>
      <c r="L47" s="41" t="n">
        <f aca="false">IF(N46&gt;0,L46,M46)</f>
        <v>0.0449128327105427</v>
      </c>
      <c r="M47" s="41" t="n">
        <f aca="false">(K47+L47)/2</f>
        <v>0.044912832709997</v>
      </c>
      <c r="N47" s="42" t="n">
        <f aca="false">(SUMPRODUCT((1-(M47))^('7. Cash flow'!$A$7:$A$86/4)*'7. Cash flow'!$C$7:$C$86/(1+(('3. Assumptions'!$B$6+'6. The ladder'!$B$8)))^('7. Cash flow'!$A$7:$A$86/4))+SUMPRODUCT((1-(M47))^(('7. Cash flow'!$A$7:$A$86-1)/4)*(1-(1-(M47))^0.25)*'7. Cash flow'!$D$7:$D$86/(1+(('3. Assumptions'!$B$6+'6. The ladder'!$C$8)))^('7. Cash flow'!$A$7:$A$86/4))+(1-(M47))^'3. Assumptions'!$B$9*'7. Cash flow'!$D$87/(1+(('3. Assumptions'!$B$6+'6. The ladder'!$C$8)))^'3. Assumptions'!$B$9)/(1+'3. Assumptions'!$B$14)-('2. The tape'!$C$17/'3. Assumptions'!$B$4)</f>
        <v>0.000317633152008057</v>
      </c>
      <c r="P47" s="41" t="n">
        <f aca="false">IF(S46&gt;0,R46,P46)</f>
        <v>0.032285034807137</v>
      </c>
      <c r="Q47" s="41" t="n">
        <f aca="false">IF(S46&gt;0,Q46,R46)</f>
        <v>0.0322850348082284</v>
      </c>
      <c r="R47" s="41" t="n">
        <f aca="false">(P47+Q47)/2</f>
        <v>0.0322850348076827</v>
      </c>
      <c r="S47" s="42" t="n">
        <f aca="false">(SUMPRODUCT((1-(R47))^('7. Cash flow'!$A$7:$A$86/4)*'7. Cash flow'!$C$7:$C$86/(1+(('3. Assumptions'!$B$6+'6. The ladder'!$B$9)))^('7. Cash flow'!$A$7:$A$86/4))+SUMPRODUCT((1-(R47))^(('7. Cash flow'!$A$7:$A$86-1)/4)*(1-(1-(R47))^0.25)*'7. Cash flow'!$D$7:$D$86/(1+(('3. Assumptions'!$B$6+'6. The ladder'!$C$9)))^('7. Cash flow'!$A$7:$A$86/4))+(1-(R47))^'3. Assumptions'!$B$9*'7. Cash flow'!$D$87/(1+(('3. Assumptions'!$B$6+'6. The ladder'!$C$9)))^'3. Assumptions'!$B$9)/(1+'3. Assumptions'!$B$14)-('2. The tape'!$C$17/'3. Assumptions'!$B$4)</f>
        <v>-0.000185161828994751</v>
      </c>
      <c r="U47" s="41" t="n">
        <f aca="false">IF(X46&gt;0,W46,U46)</f>
        <v>0.032285034807137</v>
      </c>
      <c r="V47" s="41" t="n">
        <f aca="false">IF(X46&gt;0,V46,W46)</f>
        <v>0.0322850348082284</v>
      </c>
      <c r="W47" s="41" t="n">
        <f aca="false">(U47+V47)/2</f>
        <v>0.0322850348076827</v>
      </c>
      <c r="X47" s="42" t="n">
        <f aca="false">(SUMPRODUCT((1-(W47))^('7. Cash flow'!$A$7:$A$86/4)*'7. Cash flow'!$C$7:$C$86/(1+('3. Assumptions'!$B$28))^('7. Cash flow'!$A$7:$A$86/4))+SUMPRODUCT((1-(W47))^(('7. Cash flow'!$A$7:$A$86-1)/4)*(1-(1-(W47))^0.25)*'7. Cash flow'!$D$7:$D$86/(1+('3. Assumptions'!$B$29))^('7. Cash flow'!$A$7:$A$86/4))+(1-(W47))^'3. Assumptions'!$B$9*'7. Cash flow'!$D$87/(1+('3. Assumptions'!$B$29))^'3. Assumptions'!$B$9)/(1+'3. Assumptions'!$B$14)-('2. The tape'!$C$17/'3. Assumptions'!$B$4)</f>
        <v>-0.000185161828994751</v>
      </c>
      <c r="Z47" s="41" t="n">
        <f aca="false">IF(AC46&gt;0,AB46,Z46)</f>
        <v>0.00364530202814421</v>
      </c>
      <c r="AA47" s="41" t="n">
        <f aca="false">IF(AC46&gt;0,AA46,AB46)</f>
        <v>0.00364530202878086</v>
      </c>
      <c r="AB47" s="41" t="n">
        <f aca="false">(Z47+AA47)/2</f>
        <v>0.00364530202846254</v>
      </c>
      <c r="AC47" s="42" t="n">
        <f aca="false">(SUMPRODUCT((1-(('3. Assumptions'!$B$21/(1-'3. Assumptions'!$B$22))))^('7. Cash flow'!$A$7:$A$86/4)*'7. Cash flow'!$C$7:$C$86/(1+('3. Assumptions'!$B$6+AB47))^('7. Cash flow'!$A$7:$A$86/4))+SUMPRODUCT((1-(('3. Assumptions'!$B$21/(1-'3. Assumptions'!$B$22))))^(('7. Cash flow'!$A$7:$A$86-1)/4)*(1-(1-(('3. Assumptions'!$B$21/(1-'3. Assumptions'!$B$22))))^0.25)*'7. Cash flow'!$D$7:$D$86/(1+('3. Assumptions'!$B$6+AB47))^('7. Cash flow'!$A$7:$A$86/4))+(1-(('3. Assumptions'!$B$21/(1-'3. Assumptions'!$B$22))))^'3. Assumptions'!$B$9*'7. Cash flow'!$D$87/(1+('3. Assumptions'!$B$6+AB47))^'3. Assumptions'!$B$9)/(1+'3. Assumptions'!$B$14)-('2. The tape'!$C$17/'3. Assumptions'!$B$4)</f>
        <v>-3.87132167816162E-005</v>
      </c>
      <c r="AE47" s="41" t="n">
        <f aca="false">IF(AH46&gt;0,AG46,AE46)</f>
        <v>0.0501035708210111</v>
      </c>
      <c r="AF47" s="41" t="n">
        <f aca="false">IF(AH46&gt;0,AF46,AG46)</f>
        <v>0.0501035708215568</v>
      </c>
      <c r="AG47" s="41" t="n">
        <f aca="false">(AE47+AF47)/2</f>
        <v>0.0501035708212839</v>
      </c>
      <c r="AH47" s="42" t="n">
        <f aca="false">(SUMPRODUCT((1-(('3. Assumptions'!$B$21/(1-'3. Assumptions'!$B$22))))^('7. Cash flow'!$A$7:$A$86/4)*'7. Cash flow'!$C$7:$C$86/(1+(AG47))^('7. Cash flow'!$A$7:$A$86/4))+SUMPRODUCT((1-(('3. Assumptions'!$B$21/(1-'3. Assumptions'!$B$22))))^(('7. Cash flow'!$A$7:$A$86-1)/4)*(1-(1-(('3. Assumptions'!$B$21/(1-'3. Assumptions'!$B$22))))^0.25)*'7. Cash flow'!$D$7:$D$86/(1+(AG47))^('7. Cash flow'!$A$7:$A$86/4))+(1-(('3. Assumptions'!$B$21/(1-'3. Assumptions'!$B$22))))^'3. Assumptions'!$B$9*'7. Cash flow'!$D$87/(1+(AG47))^'3.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-0.000150203704833984</v>
      </c>
      <c r="AJ47" s="41" t="n">
        <f aca="false">IF(AM46&gt;0,AL46,AJ46)</f>
        <v>-0.00180680470848529</v>
      </c>
      <c r="AK47" s="41" t="n">
        <f aca="false">IF(AM46&gt;0,AK46,AL46)</f>
        <v>-0.00180680470784864</v>
      </c>
      <c r="AL47" s="41" t="n">
        <f aca="false">(AJ47+AK47)/2</f>
        <v>-0.00180680470816697</v>
      </c>
      <c r="AM47" s="42" t="n">
        <f aca="false">SUMPRODUCT((1-('3. Assumptions'!$B$21/(1-'3. Assumptions'!$B$22)))^('7. Cash flow'!$A$7:$A$26/4)*('3. Assumptions'!$B$6+'3. Assumptions'!$B$21)/4/(1+'3. Assumptions'!$B$6+AL47)^('7. Cash flow'!$A$7:$A$26/4))+SUMPRODUCT((1-('3. Assumptions'!$B$21/(1-'3. Assumptions'!$B$22)))^(('7. Cash flow'!$A$7:$A$26-1)/4)*(1-(1-('3. Assumptions'!$B$21/(1-'3. Assumptions'!$B$22)))^0.25)*'3. Assumptions'!$B$22/(1+'3. Assumptions'!$B$6+AL47)^('7. Cash flow'!$A$7:$A$26/4))+(1-('3. Assumptions'!$B$21/(1-'3. Assumptions'!$B$22)))^5/(1+'3. Assumptions'!$B$6+AL47)^5-1</f>
        <v>8.28226376370367E-013</v>
      </c>
    </row>
    <row r="48" customFormat="false" ht="15" hidden="false" customHeight="false" outlineLevel="0" collapsed="false">
      <c r="A48" s="41" t="n">
        <f aca="false">IF(D47&gt;0,C47,A47)</f>
        <v>0.070260845404664</v>
      </c>
      <c r="B48" s="41" t="n">
        <f aca="false">IF(D47&gt;0,B47,C47)</f>
        <v>0.0702608454052097</v>
      </c>
      <c r="C48" s="41" t="n">
        <f aca="false">(A48+B48)/2</f>
        <v>0.0702608454049368</v>
      </c>
      <c r="D48" s="42" t="n">
        <f aca="false">(SUMPRODUCT((1-(C48))^('7. Cash flow'!$A$7:$A$86/4)*'7. Cash flow'!$C$7:$C$86/(1+(('3. Assumptions'!$B$6+'6. The ladder'!$B$6)))^('7. Cash flow'!$A$7:$A$86/4))+SUMPRODUCT((1-(C48))^(('7. Cash flow'!$A$7:$A$86-1)/4)*(1-(1-(C48))^0.25)*'7. Cash flow'!$D$7:$D$86/(1+(('3. Assumptions'!$B$6+'6. The ladder'!$C$6)))^('7. Cash flow'!$A$7:$A$86/4))+(1-(C48))^'3. Assumptions'!$B$9*'7. Cash flow'!$D$87/(1+(('3. Assumptions'!$B$6+'6. The ladder'!$C$6)))^'3. Assumptions'!$B$9)/(1+'3. Assumptions'!$B$14)-('2. The tape'!$C$17/'3. Assumptions'!$B$4)</f>
        <v>-0.0002269446849823</v>
      </c>
      <c r="F48" s="41" t="n">
        <f aca="false">IF(I47&gt;0,H47,F47)</f>
        <v>0.0576608620644038</v>
      </c>
      <c r="G48" s="41" t="n">
        <f aca="false">IF(I47&gt;0,G47,H47)</f>
        <v>0.0576608620649495</v>
      </c>
      <c r="H48" s="41" t="n">
        <f aca="false">(F48+G48)/2</f>
        <v>0.0576608620646766</v>
      </c>
      <c r="I48" s="42" t="n">
        <f aca="false">(SUMPRODUCT((1-(H48))^('7. Cash flow'!$A$7:$A$86/4)*'7. Cash flow'!$C$7:$C$86/(1+(('3. Assumptions'!$B$6+'6. The ladder'!$B$7)))^('7. Cash flow'!$A$7:$A$86/4))+SUMPRODUCT((1-(H48))^(('7. Cash flow'!$A$7:$A$86-1)/4)*(1-(1-(H48))^0.25)*'7. Cash flow'!$D$7:$D$86/(1+(('3. Assumptions'!$B$6+'6. The ladder'!$C$7)))^('7. Cash flow'!$A$7:$A$86/4))+(1-(H48))^'3. Assumptions'!$B$9*'7. Cash flow'!$D$87/(1+(('3. Assumptions'!$B$6+'6. The ladder'!$C$7)))^'3. Assumptions'!$B$9)/(1+'3. Assumptions'!$B$14)-('2. The tape'!$C$17/'3. Assumptions'!$B$4)</f>
        <v>-0.000219762325286865</v>
      </c>
      <c r="K48" s="41" t="n">
        <f aca="false">IF(N47&gt;0,M47,K47)</f>
        <v>0.044912832709997</v>
      </c>
      <c r="L48" s="41" t="n">
        <f aca="false">IF(N47&gt;0,L47,M47)</f>
        <v>0.0449128327105427</v>
      </c>
      <c r="M48" s="41" t="n">
        <f aca="false">(K48+L48)/2</f>
        <v>0.0449128327102699</v>
      </c>
      <c r="N48" s="42" t="n">
        <f aca="false">(SUMPRODUCT((1-(M48))^('7. Cash flow'!$A$7:$A$86/4)*'7. Cash flow'!$C$7:$C$86/(1+(('3. Assumptions'!$B$6+'6. The ladder'!$B$8)))^('7. Cash flow'!$A$7:$A$86/4))+SUMPRODUCT((1-(M48))^(('7. Cash flow'!$A$7:$A$86-1)/4)*(1-(1-(M48))^0.25)*'7. Cash flow'!$D$7:$D$86/(1+(('3. Assumptions'!$B$6+'6. The ladder'!$C$8)))^('7. Cash flow'!$A$7:$A$86/4))+(1-(M48))^'3. Assumptions'!$B$9*'7. Cash flow'!$D$87/(1+(('3. Assumptions'!$B$6+'6. The ladder'!$C$8)))^'3. Assumptions'!$B$9)/(1+'3. Assumptions'!$B$14)-('2. The tape'!$C$17/'3. Assumptions'!$B$4)</f>
        <v>6.51180744171143E-005</v>
      </c>
      <c r="P48" s="41" t="n">
        <f aca="false">IF(S47&gt;0,R47,P47)</f>
        <v>0.032285034807137</v>
      </c>
      <c r="Q48" s="41" t="n">
        <f aca="false">IF(S47&gt;0,Q47,R47)</f>
        <v>0.0322850348076827</v>
      </c>
      <c r="R48" s="41" t="n">
        <f aca="false">(P48+Q48)/2</f>
        <v>0.0322850348074098</v>
      </c>
      <c r="S48" s="42" t="n">
        <f aca="false">(SUMPRODUCT((1-(R48))^('7. Cash flow'!$A$7:$A$86/4)*'7. Cash flow'!$C$7:$C$86/(1+(('3. Assumptions'!$B$6+'6. The ladder'!$B$9)))^('7. Cash flow'!$A$7:$A$86/4))+SUMPRODUCT((1-(R48))^(('7. Cash flow'!$A$7:$A$86-1)/4)*(1-(1-(R48))^0.25)*'7. Cash flow'!$D$7:$D$86/(1+(('3. Assumptions'!$B$6+'6. The ladder'!$C$9)))^('7. Cash flow'!$A$7:$A$86/4))+(1-(R48))^'3. Assumptions'!$B$9*'7. Cash flow'!$D$87/(1+(('3. Assumptions'!$B$6+'6. The ladder'!$C$9)))^'3. Assumptions'!$B$9)/(1+'3. Assumptions'!$B$14)-('2. The tape'!$C$17/'3. Assumptions'!$B$4)</f>
        <v>8.93473625183106E-005</v>
      </c>
      <c r="U48" s="41" t="n">
        <f aca="false">IF(X47&gt;0,W47,U47)</f>
        <v>0.032285034807137</v>
      </c>
      <c r="V48" s="41" t="n">
        <f aca="false">IF(X47&gt;0,V47,W47)</f>
        <v>0.0322850348076827</v>
      </c>
      <c r="W48" s="41" t="n">
        <f aca="false">(U48+V48)/2</f>
        <v>0.0322850348074098</v>
      </c>
      <c r="X48" s="42" t="n">
        <f aca="false">(SUMPRODUCT((1-(W48))^('7. Cash flow'!$A$7:$A$86/4)*'7. Cash flow'!$C$7:$C$86/(1+('3. Assumptions'!$B$28))^('7. Cash flow'!$A$7:$A$86/4))+SUMPRODUCT((1-(W48))^(('7. Cash flow'!$A$7:$A$86-1)/4)*(1-(1-(W48))^0.25)*'7. Cash flow'!$D$7:$D$86/(1+('3. Assumptions'!$B$29))^('7. Cash flow'!$A$7:$A$86/4))+(1-(W48))^'3. Assumptions'!$B$9*'7. Cash flow'!$D$87/(1+('3. Assumptions'!$B$29))^'3. Assumptions'!$B$9)/(1+'3. Assumptions'!$B$14)-('2. The tape'!$C$17/'3. Assumptions'!$B$4)</f>
        <v>8.93473625183106E-005</v>
      </c>
      <c r="Z48" s="41" t="n">
        <f aca="false">IF(AC47&gt;0,AB47,Z47)</f>
        <v>0.00364530202814421</v>
      </c>
      <c r="AA48" s="41" t="n">
        <f aca="false">IF(AC47&gt;0,AA47,AB47)</f>
        <v>0.00364530202846254</v>
      </c>
      <c r="AB48" s="41" t="n">
        <f aca="false">(Z48+AA48)/2</f>
        <v>0.00364530202830338</v>
      </c>
      <c r="AC48" s="42" t="n">
        <f aca="false">(SUMPRODUCT((1-(('3. Assumptions'!$B$21/(1-'3. Assumptions'!$B$22))))^('7. Cash flow'!$A$7:$A$86/4)*'7. Cash flow'!$C$7:$C$86/(1+('3. Assumptions'!$B$6+AB48))^('7. Cash flow'!$A$7:$A$86/4))+SUMPRODUCT((1-(('3. Assumptions'!$B$21/(1-'3. Assumptions'!$B$22))))^(('7. Cash flow'!$A$7:$A$86-1)/4)*(1-(1-(('3. Assumptions'!$B$21/(1-'3. Assumptions'!$B$22))))^0.25)*'7. Cash flow'!$D$7:$D$86/(1+('3. Assumptions'!$B$6+AB48))^('7. Cash flow'!$A$7:$A$86/4))+(1-(('3. Assumptions'!$B$21/(1-'3. Assumptions'!$B$22))))^'3. Assumptions'!$B$9*'7. Cash flow'!$D$87/(1+('3. Assumptions'!$B$6+AB48))^'3. Assumptions'!$B$9)/(1+'3. Assumptions'!$B$14)-('2. The tape'!$C$17/'3. Assumptions'!$B$4)</f>
        <v>0.000196486711502075</v>
      </c>
      <c r="AE48" s="41" t="n">
        <f aca="false">IF(AH47&gt;0,AG47,AE47)</f>
        <v>0.0501035708210111</v>
      </c>
      <c r="AF48" s="41" t="n">
        <f aca="false">IF(AH47&gt;0,AF47,AG47)</f>
        <v>0.0501035708212839</v>
      </c>
      <c r="AG48" s="41" t="n">
        <f aca="false">(AE48+AF48)/2</f>
        <v>0.0501035708211475</v>
      </c>
      <c r="AH48" s="42" t="n">
        <f aca="false">(SUMPRODUCT((1-(('3. Assumptions'!$B$21/(1-'3. Assumptions'!$B$22))))^('7. Cash flow'!$A$7:$A$86/4)*'7. Cash flow'!$C$7:$C$86/(1+(AG48))^('7. Cash flow'!$A$7:$A$86/4))+SUMPRODUCT((1-(('3. Assumptions'!$B$21/(1-'3. Assumptions'!$B$22))))^(('7. Cash flow'!$A$7:$A$86-1)/4)*(1-(1-(('3. Assumptions'!$B$21/(1-'3. Assumptions'!$B$22))))^0.25)*'7. Cash flow'!$D$7:$D$86/(1+(AG48))^('7. Cash flow'!$A$7:$A$86/4))+(1-(('3. Assumptions'!$B$21/(1-'3. Assumptions'!$B$22))))^'3. Assumptions'!$B$9*'7. Cash flow'!$D$87/(1+(AG48))^'3.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4.02331352233887E-006</v>
      </c>
      <c r="AJ48" s="41" t="n">
        <f aca="false">IF(AM47&gt;0,AL47,AJ47)</f>
        <v>-0.00180680470816697</v>
      </c>
      <c r="AK48" s="41" t="n">
        <f aca="false">IF(AM47&gt;0,AK47,AL47)</f>
        <v>-0.00180680470784864</v>
      </c>
      <c r="AL48" s="41" t="n">
        <f aca="false">(AJ48+AK48)/2</f>
        <v>-0.00180680470800781</v>
      </c>
      <c r="AM48" s="42" t="n">
        <f aca="false">SUMPRODUCT((1-('3. Assumptions'!$B$21/(1-'3. Assumptions'!$B$22)))^('7. Cash flow'!$A$7:$A$26/4)*('3. Assumptions'!$B$6+'3. Assumptions'!$B$21)/4/(1+'3. Assumptions'!$B$6+AL48)^('7. Cash flow'!$A$7:$A$26/4))+SUMPRODUCT((1-('3. Assumptions'!$B$21/(1-'3. Assumptions'!$B$22)))^(('7. Cash flow'!$A$7:$A$26-1)/4)*(1-(1-('3. Assumptions'!$B$21/(1-'3. Assumptions'!$B$22)))^0.25)*'3. Assumptions'!$B$22/(1+'3. Assumptions'!$B$6+AL48)^('7. Cash flow'!$A$7:$A$26/4))+(1-('3. Assumptions'!$B$21/(1-'3. Assumptions'!$B$22)))^5/(1+'3. Assumptions'!$B$6+AL48)^5-1</f>
        <v>1.95843341543878E-013</v>
      </c>
    </row>
    <row r="49" customFormat="false" ht="15" hidden="false" customHeight="false" outlineLevel="0" collapsed="false">
      <c r="A49" s="41" t="n">
        <f aca="false">IF(D48&gt;0,C48,A48)</f>
        <v>0.070260845404664</v>
      </c>
      <c r="B49" s="41" t="n">
        <f aca="false">IF(D48&gt;0,B48,C48)</f>
        <v>0.0702608454049368</v>
      </c>
      <c r="C49" s="41" t="n">
        <f aca="false">(A49+B49)/2</f>
        <v>0.0702608454048004</v>
      </c>
      <c r="D49" s="42" t="n">
        <f aca="false">(SUMPRODUCT((1-(C49))^('7. Cash flow'!$A$7:$A$86/4)*'7. Cash flow'!$C$7:$C$86/(1+(('3. Assumptions'!$B$6+'6. The ladder'!$B$6)))^('7. Cash flow'!$A$7:$A$86/4))+SUMPRODUCT((1-(C49))^(('7. Cash flow'!$A$7:$A$86-1)/4)*(1-(1-(C49))^0.25)*'7. Cash flow'!$D$7:$D$86/(1+(('3. Assumptions'!$B$6+'6. The ladder'!$C$6)))^('7. Cash flow'!$A$7:$A$86/4))+(1-(C49))^'3. Assumptions'!$B$9*'7. Cash flow'!$D$87/(1+(('3. Assumptions'!$B$6+'6. The ladder'!$C$6)))^'3. Assumptions'!$B$9)/(1+'3. Assumptions'!$B$14)-('2. The tape'!$C$17/'3. Assumptions'!$B$4)</f>
        <v>-0.000107675790786743</v>
      </c>
      <c r="F49" s="41" t="n">
        <f aca="false">IF(I48&gt;0,H48,F48)</f>
        <v>0.0576608620644038</v>
      </c>
      <c r="G49" s="41" t="n">
        <f aca="false">IF(I48&gt;0,G48,H48)</f>
        <v>0.0576608620646766</v>
      </c>
      <c r="H49" s="41" t="n">
        <f aca="false">(F49+G49)/2</f>
        <v>0.0576608620645402</v>
      </c>
      <c r="I49" s="42" t="n">
        <f aca="false">(SUMPRODUCT((1-(H49))^('7. Cash flow'!$A$7:$A$86/4)*'7. Cash flow'!$C$7:$C$86/(1+(('3. Assumptions'!$B$6+'6. The ladder'!$B$7)))^('7. Cash flow'!$A$7:$A$86/4))+SUMPRODUCT((1-(H49))^(('7. Cash flow'!$A$7:$A$86-1)/4)*(1-(1-(H49))^0.25)*'7. Cash flow'!$D$7:$D$86/(1+(('3. Assumptions'!$B$6+'6. The ladder'!$C$7)))^('7. Cash flow'!$A$7:$A$86/4))+(1-(H49))^'3. Assumptions'!$B$9*'7. Cash flow'!$D$87/(1+(('3. Assumptions'!$B$6+'6. The ladder'!$C$7)))^'3. Assumptions'!$B$9)/(1+'3. Assumptions'!$B$14)-('2. The tape'!$C$17/'3. Assumptions'!$B$4)</f>
        <v>-0.000101029872894287</v>
      </c>
      <c r="K49" s="41" t="n">
        <f aca="false">IF(N48&gt;0,M48,K48)</f>
        <v>0.0449128327102699</v>
      </c>
      <c r="L49" s="41" t="n">
        <f aca="false">IF(N48&gt;0,L48,M48)</f>
        <v>0.0449128327105427</v>
      </c>
      <c r="M49" s="41" t="n">
        <f aca="false">(K49+L49)/2</f>
        <v>0.0449128327104063</v>
      </c>
      <c r="N49" s="42" t="n">
        <f aca="false">(SUMPRODUCT((1-(M49))^('7. Cash flow'!$A$7:$A$86/4)*'7. Cash flow'!$C$7:$C$86/(1+(('3. Assumptions'!$B$6+'6. The ladder'!$B$8)))^('7. Cash flow'!$A$7:$A$86/4))+SUMPRODUCT((1-(M49))^(('7. Cash flow'!$A$7:$A$86-1)/4)*(1-(1-(M49))^0.25)*'7. Cash flow'!$D$7:$D$86/(1+(('3. Assumptions'!$B$6+'6. The ladder'!$C$8)))^('7. Cash flow'!$A$7:$A$86/4))+(1-(M49))^'3. Assumptions'!$B$9*'7. Cash flow'!$D$87/(1+(('3. Assumptions'!$B$6+'6. The ladder'!$C$8)))^'3. Assumptions'!$B$9)/(1+'3. Assumptions'!$B$14)-('2. The tape'!$C$17/'3. Assumptions'!$B$4)</f>
        <v>-6.09159469604492E-005</v>
      </c>
      <c r="P49" s="41" t="n">
        <f aca="false">IF(S48&gt;0,R48,P48)</f>
        <v>0.0322850348074098</v>
      </c>
      <c r="Q49" s="41" t="n">
        <f aca="false">IF(S48&gt;0,Q48,R48)</f>
        <v>0.0322850348076827</v>
      </c>
      <c r="R49" s="41" t="n">
        <f aca="false">(P49+Q49)/2</f>
        <v>0.0322850348075463</v>
      </c>
      <c r="S49" s="42" t="n">
        <f aca="false">(SUMPRODUCT((1-(R49))^('7. Cash flow'!$A$7:$A$86/4)*'7. Cash flow'!$C$7:$C$86/(1+(('3. Assumptions'!$B$6+'6. The ladder'!$B$9)))^('7. Cash flow'!$A$7:$A$86/4))+SUMPRODUCT((1-(R49))^(('7. Cash flow'!$A$7:$A$86-1)/4)*(1-(1-(R49))^0.25)*'7. Cash flow'!$D$7:$D$86/(1+(('3. Assumptions'!$B$6+'6. The ladder'!$C$9)))^('7. Cash flow'!$A$7:$A$86/4))+(1-(R49))^'3. Assumptions'!$B$9*'7. Cash flow'!$D$87/(1+(('3. Assumptions'!$B$6+'6. The ladder'!$C$9)))^'3. Assumptions'!$B$9)/(1+'3. Assumptions'!$B$14)-('2. The tape'!$C$17/'3. Assumptions'!$B$4)</f>
        <v>-4.81307506561279E-005</v>
      </c>
      <c r="U49" s="41" t="n">
        <f aca="false">IF(X48&gt;0,W48,U48)</f>
        <v>0.0322850348074098</v>
      </c>
      <c r="V49" s="41" t="n">
        <f aca="false">IF(X48&gt;0,V48,W48)</f>
        <v>0.0322850348076827</v>
      </c>
      <c r="W49" s="41" t="n">
        <f aca="false">(U49+V49)/2</f>
        <v>0.0322850348075463</v>
      </c>
      <c r="X49" s="42" t="n">
        <f aca="false">(SUMPRODUCT((1-(W49))^('7. Cash flow'!$A$7:$A$86/4)*'7. Cash flow'!$C$7:$C$86/(1+('3. Assumptions'!$B$28))^('7. Cash flow'!$A$7:$A$86/4))+SUMPRODUCT((1-(W49))^(('7. Cash flow'!$A$7:$A$86-1)/4)*(1-(1-(W49))^0.25)*'7. Cash flow'!$D$7:$D$86/(1+('3. Assumptions'!$B$29))^('7. Cash flow'!$A$7:$A$86/4))+(1-(W49))^'3. Assumptions'!$B$9*'7. Cash flow'!$D$87/(1+('3. Assumptions'!$B$29))^'3. Assumptions'!$B$9)/(1+'3. Assumptions'!$B$14)-('2. The tape'!$C$17/'3. Assumptions'!$B$4)</f>
        <v>-4.81307506561279E-005</v>
      </c>
      <c r="Z49" s="41" t="n">
        <f aca="false">IF(AC48&gt;0,AB48,Z48)</f>
        <v>0.00364530202830338</v>
      </c>
      <c r="AA49" s="41" t="n">
        <f aca="false">IF(AC48&gt;0,AA48,AB48)</f>
        <v>0.00364530202846254</v>
      </c>
      <c r="AB49" s="41" t="n">
        <f aca="false">(Z49+AA49)/2</f>
        <v>0.00364530202838296</v>
      </c>
      <c r="AC49" s="42" t="n">
        <f aca="false">(SUMPRODUCT((1-(('3. Assumptions'!$B$21/(1-'3. Assumptions'!$B$22))))^('7. Cash flow'!$A$7:$A$86/4)*'7. Cash flow'!$C$7:$C$86/(1+('3. Assumptions'!$B$6+AB49))^('7. Cash flow'!$A$7:$A$86/4))+SUMPRODUCT((1-(('3. Assumptions'!$B$21/(1-'3. Assumptions'!$B$22))))^(('7. Cash flow'!$A$7:$A$86-1)/4)*(1-(1-(('3. Assumptions'!$B$21/(1-'3. Assumptions'!$B$22))))^0.25)*'7. Cash flow'!$D$7:$D$86/(1+('3. Assumptions'!$B$6+AB49))^('7. Cash flow'!$A$7:$A$86/4))+(1-(('3. Assumptions'!$B$21/(1-'3. Assumptions'!$B$22))))^'3. Assumptions'!$B$9*'7. Cash flow'!$D$87/(1+('3. Assumptions'!$B$6+AB49))^'3. Assumptions'!$B$9)/(1+'3. Assumptions'!$B$14)-('2. The tape'!$C$17/'3. Assumptions'!$B$4)</f>
        <v>7.90655612945557E-005</v>
      </c>
      <c r="AE49" s="41" t="n">
        <f aca="false">IF(AH48&gt;0,AG48,AE48)</f>
        <v>0.0501035708211475</v>
      </c>
      <c r="AF49" s="41" t="n">
        <f aca="false">IF(AH48&gt;0,AF48,AG48)</f>
        <v>0.0501035708212839</v>
      </c>
      <c r="AG49" s="41" t="n">
        <f aca="false">(AE49+AF49)/2</f>
        <v>0.0501035708212157</v>
      </c>
      <c r="AH49" s="42" t="n">
        <f aca="false">(SUMPRODUCT((1-(('3. Assumptions'!$B$21/(1-'3. Assumptions'!$B$22))))^('7. Cash flow'!$A$7:$A$86/4)*'7. Cash flow'!$C$7:$C$86/(1+(AG49))^('7. Cash flow'!$A$7:$A$86/4))+SUMPRODUCT((1-(('3. Assumptions'!$B$21/(1-'3. Assumptions'!$B$22))))^(('7. Cash flow'!$A$7:$A$86-1)/4)*(1-(1-(('3. Assumptions'!$B$21/(1-'3. Assumptions'!$B$22))))^0.25)*'7. Cash flow'!$D$7:$D$86/(1+(AG49))^('7. Cash flow'!$A$7:$A$86/4))+(1-(('3. Assumptions'!$B$21/(1-'3. Assumptions'!$B$22))))^'3. Assumptions'!$B$9*'7. Cash flow'!$D$87/(1+(AG49))^'3.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-7.29560852050781E-005</v>
      </c>
      <c r="AJ49" s="41" t="n">
        <f aca="false">IF(AM48&gt;0,AL48,AJ48)</f>
        <v>-0.00180680470800781</v>
      </c>
      <c r="AK49" s="41" t="n">
        <f aca="false">IF(AM48&gt;0,AK48,AL48)</f>
        <v>-0.00180680470784864</v>
      </c>
      <c r="AL49" s="41" t="n">
        <f aca="false">(AJ49+AK49)/2</f>
        <v>-0.00180680470792822</v>
      </c>
      <c r="AM49" s="42" t="n">
        <f aca="false">SUMPRODUCT((1-('3. Assumptions'!$B$21/(1-'3. Assumptions'!$B$22)))^('7. Cash flow'!$A$7:$A$26/4)*('3. Assumptions'!$B$6+'3. Assumptions'!$B$21)/4/(1+'3. Assumptions'!$B$6+AL49)^('7. Cash flow'!$A$7:$A$26/4))+SUMPRODUCT((1-('3. Assumptions'!$B$21/(1-'3. Assumptions'!$B$22)))^(('7. Cash flow'!$A$7:$A$26-1)/4)*(1-(1-('3. Assumptions'!$B$21/(1-'3. Assumptions'!$B$22)))^0.25)*'3. Assumptions'!$B$22/(1+'3. Assumptions'!$B$6+AL49)^('7. Cash flow'!$A$7:$A$26/4))+(1-('3. Assumptions'!$B$21/(1-'3. Assumptions'!$B$22)))^5/(1+'3. Assumptions'!$B$6+AL49)^5-1</f>
        <v>-1.20126131264442E-013</v>
      </c>
    </row>
    <row r="50" customFormat="false" ht="15" hidden="false" customHeight="false" outlineLevel="0" collapsed="false">
      <c r="A50" s="41" t="n">
        <f aca="false">IF(D49&gt;0,C49,A49)</f>
        <v>0.070260845404664</v>
      </c>
      <c r="B50" s="41" t="n">
        <f aca="false">IF(D49&gt;0,B49,C49)</f>
        <v>0.0702608454048004</v>
      </c>
      <c r="C50" s="41" t="n">
        <f aca="false">(A50+B50)/2</f>
        <v>0.0702608454047322</v>
      </c>
      <c r="D50" s="42" t="n">
        <f aca="false">(SUMPRODUCT((1-(C50))^('7. Cash flow'!$A$7:$A$86/4)*'7. Cash flow'!$C$7:$C$86/(1+(('3. Assumptions'!$B$6+'6. The ladder'!$B$6)))^('7. Cash flow'!$A$7:$A$86/4))+SUMPRODUCT((1-(C50))^(('7. Cash flow'!$A$7:$A$86-1)/4)*(1-(1-(C50))^0.25)*'7. Cash flow'!$D$7:$D$86/(1+(('3. Assumptions'!$B$6+'6. The ladder'!$C$6)))^('7. Cash flow'!$A$7:$A$86/4))+(1-(C50))^'3. Assumptions'!$B$9*'7. Cash flow'!$D$87/(1+(('3. Assumptions'!$B$6+'6. The ladder'!$C$6)))^'3. Assumptions'!$B$9)/(1+'3. Assumptions'!$B$14)-('2. The tape'!$C$17/'3. Assumptions'!$B$4)</f>
        <v>-4.81009483337402E-005</v>
      </c>
      <c r="F50" s="41" t="n">
        <f aca="false">IF(I49&gt;0,H49,F49)</f>
        <v>0.0576608620644038</v>
      </c>
      <c r="G50" s="41" t="n">
        <f aca="false">IF(I49&gt;0,G49,H49)</f>
        <v>0.0576608620645402</v>
      </c>
      <c r="H50" s="41" t="n">
        <f aca="false">(F50+G50)/2</f>
        <v>0.057660862064472</v>
      </c>
      <c r="I50" s="42" t="n">
        <f aca="false">(SUMPRODUCT((1-(H50))^('7. Cash flow'!$A$7:$A$86/4)*'7. Cash flow'!$C$7:$C$86/(1+(('3. Assumptions'!$B$6+'6. The ladder'!$B$7)))^('7. Cash flow'!$A$7:$A$86/4))+SUMPRODUCT((1-(H50))^(('7. Cash flow'!$A$7:$A$86-1)/4)*(1-(1-(H50))^0.25)*'7. Cash flow'!$D$7:$D$86/(1+(('3. Assumptions'!$B$6+'6. The ladder'!$C$7)))^('7. Cash flow'!$A$7:$A$86/4))+(1-(H50))^'3. Assumptions'!$B$9*'7. Cash flow'!$D$87/(1+(('3. Assumptions'!$B$6+'6. The ladder'!$C$7)))^'3. Assumptions'!$B$9)/(1+'3. Assumptions'!$B$14)-('2. The tape'!$C$17/'3. Assumptions'!$B$4)</f>
        <v>-4.19020652770996E-005</v>
      </c>
      <c r="K50" s="41" t="n">
        <f aca="false">IF(N49&gt;0,M49,K49)</f>
        <v>0.0449128327102699</v>
      </c>
      <c r="L50" s="41" t="n">
        <f aca="false">IF(N49&gt;0,L49,M49)</f>
        <v>0.0449128327104063</v>
      </c>
      <c r="M50" s="41" t="n">
        <f aca="false">(K50+L50)/2</f>
        <v>0.0449128327103381</v>
      </c>
      <c r="N50" s="42" t="n">
        <f aca="false">(SUMPRODUCT((1-(M50))^('7. Cash flow'!$A$7:$A$86/4)*'7. Cash flow'!$C$7:$C$86/(1+(('3. Assumptions'!$B$6+'6. The ladder'!$B$8)))^('7. Cash flow'!$A$7:$A$86/4))+SUMPRODUCT((1-(M50))^(('7. Cash flow'!$A$7:$A$86-1)/4)*(1-(1-(M50))^0.25)*'7. Cash flow'!$D$7:$D$86/(1+(('3. Assumptions'!$B$6+'6. The ladder'!$C$8)))^('7. Cash flow'!$A$7:$A$86/4))+(1-(M50))^'3. Assumptions'!$B$9*'7. Cash flow'!$D$87/(1+(('3. Assumptions'!$B$6+'6. The ladder'!$C$8)))^'3. Assumptions'!$B$9)/(1+'3. Assumptions'!$B$14)-('2. The tape'!$C$17/'3. Assumptions'!$B$4)</f>
        <v>2.11596488952637E-006</v>
      </c>
      <c r="P50" s="41" t="n">
        <f aca="false">IF(S49&gt;0,R49,P49)</f>
        <v>0.0322850348074098</v>
      </c>
      <c r="Q50" s="41" t="n">
        <f aca="false">IF(S49&gt;0,Q49,R49)</f>
        <v>0.0322850348075463</v>
      </c>
      <c r="R50" s="41" t="n">
        <f aca="false">(P50+Q50)/2</f>
        <v>0.032285034807478</v>
      </c>
      <c r="S50" s="42" t="n">
        <f aca="false">(SUMPRODUCT((1-(R50))^('7. Cash flow'!$A$7:$A$86/4)*'7. Cash flow'!$C$7:$C$86/(1+(('3. Assumptions'!$B$6+'6. The ladder'!$B$9)))^('7. Cash flow'!$A$7:$A$86/4))+SUMPRODUCT((1-(R50))^(('7. Cash flow'!$A$7:$A$86-1)/4)*(1-(1-(R50))^0.25)*'7. Cash flow'!$D$7:$D$86/(1+(('3. Assumptions'!$B$6+'6. The ladder'!$C$9)))^('7. Cash flow'!$A$7:$A$86/4))+(1-(R50))^'3. Assumptions'!$B$9*'7. Cash flow'!$D$87/(1+(('3. Assumptions'!$B$6+'6. The ladder'!$C$9)))^'3. Assumptions'!$B$9)/(1+'3. Assumptions'!$B$14)-('2. The tape'!$C$17/'3. Assumptions'!$B$4)</f>
        <v>2.06828117370605E-005</v>
      </c>
      <c r="U50" s="41" t="n">
        <f aca="false">IF(X49&gt;0,W49,U49)</f>
        <v>0.0322850348074098</v>
      </c>
      <c r="V50" s="41" t="n">
        <f aca="false">IF(X49&gt;0,V49,W49)</f>
        <v>0.0322850348075463</v>
      </c>
      <c r="W50" s="41" t="n">
        <f aca="false">(U50+V50)/2</f>
        <v>0.032285034807478</v>
      </c>
      <c r="X50" s="42" t="n">
        <f aca="false">(SUMPRODUCT((1-(W50))^('7. Cash flow'!$A$7:$A$86/4)*'7. Cash flow'!$C$7:$C$86/(1+('3. Assumptions'!$B$28))^('7. Cash flow'!$A$7:$A$86/4))+SUMPRODUCT((1-(W50))^(('7. Cash flow'!$A$7:$A$86-1)/4)*(1-(1-(W50))^0.25)*'7. Cash flow'!$D$7:$D$86/(1+('3. Assumptions'!$B$29))^('7. Cash flow'!$A$7:$A$86/4))+(1-(W50))^'3. Assumptions'!$B$9*'7. Cash flow'!$D$87/(1+('3. Assumptions'!$B$29))^'3. Assumptions'!$B$9)/(1+'3. Assumptions'!$B$14)-('2. The tape'!$C$17/'3. Assumptions'!$B$4)</f>
        <v>2.06828117370605E-005</v>
      </c>
      <c r="Z50" s="41" t="n">
        <f aca="false">IF(AC49&gt;0,AB49,Z49)</f>
        <v>0.00364530202838296</v>
      </c>
      <c r="AA50" s="41" t="n">
        <f aca="false">IF(AC49&gt;0,AA49,AB49)</f>
        <v>0.00364530202846254</v>
      </c>
      <c r="AB50" s="41" t="n">
        <f aca="false">(Z50+AA50)/2</f>
        <v>0.00364530202842275</v>
      </c>
      <c r="AC50" s="42" t="n">
        <f aca="false">(SUMPRODUCT((1-(('3. Assumptions'!$B$21/(1-'3. Assumptions'!$B$22))))^('7. Cash flow'!$A$7:$A$86/4)*'7. Cash flow'!$C$7:$C$86/(1+('3. Assumptions'!$B$6+AB50))^('7. Cash flow'!$A$7:$A$86/4))+SUMPRODUCT((1-(('3. Assumptions'!$B$21/(1-'3. Assumptions'!$B$22))))^(('7. Cash flow'!$A$7:$A$86-1)/4)*(1-(1-(('3. Assumptions'!$B$21/(1-'3. Assumptions'!$B$22))))^0.25)*'7. Cash flow'!$D$7:$D$86/(1+('3. Assumptions'!$B$6+AB50))^('7. Cash flow'!$A$7:$A$86/4))+(1-(('3. Assumptions'!$B$21/(1-'3. Assumptions'!$B$22))))^'3. Assumptions'!$B$9*'7. Cash flow'!$D$87/(1+('3. Assumptions'!$B$6+AB50))^'3. Assumptions'!$B$9)/(1+'3. Assumptions'!$B$14)-('2. The tape'!$C$17/'3. Assumptions'!$B$4)</f>
        <v>2.03847885131836E-005</v>
      </c>
      <c r="AE50" s="41" t="n">
        <f aca="false">IF(AH49&gt;0,AG49,AE49)</f>
        <v>0.0501035708211475</v>
      </c>
      <c r="AF50" s="41" t="n">
        <f aca="false">IF(AH49&gt;0,AF49,AG49)</f>
        <v>0.0501035708212157</v>
      </c>
      <c r="AG50" s="41" t="n">
        <f aca="false">(AE50+AF50)/2</f>
        <v>0.0501035708211816</v>
      </c>
      <c r="AH50" s="42" t="n">
        <f aca="false">(SUMPRODUCT((1-(('3. Assumptions'!$B$21/(1-'3. Assumptions'!$B$22))))^('7. Cash flow'!$A$7:$A$86/4)*'7. Cash flow'!$C$7:$C$86/(1+(AG50))^('7. Cash flow'!$A$7:$A$86/4))+SUMPRODUCT((1-(('3. Assumptions'!$B$21/(1-'3. Assumptions'!$B$22))))^(('7. Cash flow'!$A$7:$A$86-1)/4)*(1-(1-(('3. Assumptions'!$B$21/(1-'3. Assumptions'!$B$22))))^0.25)*'7. Cash flow'!$D$7:$D$86/(1+(AG50))^('7. Cash flow'!$A$7:$A$86/4))+(1-(('3. Assumptions'!$B$21/(1-'3. Assumptions'!$B$22))))^'3. Assumptions'!$B$9*'7. Cash flow'!$D$87/(1+(AG50))^'3.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-3.46004962921143E-005</v>
      </c>
      <c r="AJ50" s="41" t="n">
        <f aca="false">IF(AM49&gt;0,AL49,AJ49)</f>
        <v>-0.00180680470800781</v>
      </c>
      <c r="AK50" s="41" t="n">
        <f aca="false">IF(AM49&gt;0,AK49,AL49)</f>
        <v>-0.00180680470792822</v>
      </c>
      <c r="AL50" s="41" t="n">
        <f aca="false">(AJ50+AK50)/2</f>
        <v>-0.00180680470796801</v>
      </c>
      <c r="AM50" s="42" t="n">
        <f aca="false">SUMPRODUCT((1-('3. Assumptions'!$B$21/(1-'3. Assumptions'!$B$22)))^('7. Cash flow'!$A$7:$A$26/4)*('3. Assumptions'!$B$6+'3. Assumptions'!$B$21)/4/(1+'3. Assumptions'!$B$6+AL50)^('7. Cash flow'!$A$7:$A$26/4))+SUMPRODUCT((1-('3. Assumptions'!$B$21/(1-'3. Assumptions'!$B$22)))^(('7. Cash flow'!$A$7:$A$26-1)/4)*(1-(1-('3. Assumptions'!$B$21/(1-'3. Assumptions'!$B$22)))^0.25)*'3. Assumptions'!$B$22/(1+'3. Assumptions'!$B$6+AL50)^('7. Cash flow'!$A$7:$A$26/4))+(1-('3. Assumptions'!$B$21/(1-'3. Assumptions'!$B$22)))^5/(1+'3. Assumptions'!$B$6+AL50)^5-1</f>
        <v>3.77475828372553E-014</v>
      </c>
    </row>
    <row r="51" customFormat="false" ht="15" hidden="false" customHeight="false" outlineLevel="0" collapsed="false">
      <c r="A51" s="41" t="n">
        <f aca="false">IF(D50&gt;0,C50,A50)</f>
        <v>0.070260845404664</v>
      </c>
      <c r="B51" s="41" t="n">
        <f aca="false">IF(D50&gt;0,B50,C50)</f>
        <v>0.0702608454047322</v>
      </c>
      <c r="C51" s="41" t="n">
        <f aca="false">(A51+B51)/2</f>
        <v>0.0702608454046981</v>
      </c>
      <c r="D51" s="42" t="n">
        <f aca="false">(SUMPRODUCT((1-(C51))^('7. Cash flow'!$A$7:$A$86/4)*'7. Cash flow'!$C$7:$C$86/(1+(('3. Assumptions'!$B$6+'6. The ladder'!$B$6)))^('7. Cash flow'!$A$7:$A$86/4))+SUMPRODUCT((1-(C51))^(('7. Cash flow'!$A$7:$A$86-1)/4)*(1-(1-(C51))^0.25)*'7. Cash flow'!$D$7:$D$86/(1+(('3. Assumptions'!$B$6+'6. The ladder'!$C$6)))^('7. Cash flow'!$A$7:$A$86/4))+(1-(C51))^'3. Assumptions'!$B$9*'7. Cash flow'!$D$87/(1+(('3. Assumptions'!$B$6+'6. The ladder'!$C$6)))^'3. Assumptions'!$B$9)/(1+'3. Assumptions'!$B$14)-('2. The tape'!$C$17/'3. Assumptions'!$B$4)</f>
        <v>-1.83284282684326E-005</v>
      </c>
      <c r="F51" s="41" t="n">
        <f aca="false">IF(I50&gt;0,H50,F50)</f>
        <v>0.0576608620644038</v>
      </c>
      <c r="G51" s="41" t="n">
        <f aca="false">IF(I50&gt;0,G50,H50)</f>
        <v>0.057660862064472</v>
      </c>
      <c r="H51" s="41" t="n">
        <f aca="false">(F51+G51)/2</f>
        <v>0.0576608620644379</v>
      </c>
      <c r="I51" s="42" t="n">
        <f aca="false">(SUMPRODUCT((1-(H51))^('7. Cash flow'!$A$7:$A$86/4)*'7. Cash flow'!$C$7:$C$86/(1+(('3. Assumptions'!$B$6+'6. The ladder'!$B$7)))^('7. Cash flow'!$A$7:$A$86/4))+SUMPRODUCT((1-(H51))^(('7. Cash flow'!$A$7:$A$86-1)/4)*(1-(1-(H51))^0.25)*'7. Cash flow'!$D$7:$D$86/(1+(('3. Assumptions'!$B$6+'6. The ladder'!$C$7)))^('7. Cash flow'!$A$7:$A$86/4))+(1-(H51))^'3. Assumptions'!$B$9*'7. Cash flow'!$D$87/(1+(('3. Assumptions'!$B$6+'6. The ladder'!$C$7)))^'3. Assumptions'!$B$9)/(1+'3. Assumptions'!$B$14)-('2. The tape'!$C$17/'3. Assumptions'!$B$4)</f>
        <v>-1.21891498565674E-005</v>
      </c>
      <c r="K51" s="41" t="n">
        <f aca="false">IF(N50&gt;0,M50,K50)</f>
        <v>0.0449128327103381</v>
      </c>
      <c r="L51" s="41" t="n">
        <f aca="false">IF(N50&gt;0,L50,M50)</f>
        <v>0.0449128327104063</v>
      </c>
      <c r="M51" s="41" t="n">
        <f aca="false">(K51+L51)/2</f>
        <v>0.0449128327103722</v>
      </c>
      <c r="N51" s="42" t="n">
        <f aca="false">(SUMPRODUCT((1-(M51))^('7. Cash flow'!$A$7:$A$86/4)*'7. Cash flow'!$C$7:$C$86/(1+(('3. Assumptions'!$B$6+'6. The ladder'!$B$8)))^('7. Cash flow'!$A$7:$A$86/4))+SUMPRODUCT((1-(M51))^(('7. Cash flow'!$A$7:$A$86-1)/4)*(1-(1-(M51))^0.25)*'7. Cash flow'!$D$7:$D$86/(1+(('3. Assumptions'!$B$6+'6. The ladder'!$C$8)))^('7. Cash flow'!$A$7:$A$86/4))+(1-(M51))^'3. Assumptions'!$B$9*'7. Cash flow'!$D$87/(1+(('3. Assumptions'!$B$6+'6. The ladder'!$C$8)))^'3. Assumptions'!$B$9)/(1+'3. Assumptions'!$B$14)-('2. The tape'!$C$17/'3. Assumptions'!$B$4)</f>
        <v>-2.92658805847168E-005</v>
      </c>
      <c r="P51" s="41" t="n">
        <f aca="false">IF(S50&gt;0,R50,P50)</f>
        <v>0.032285034807478</v>
      </c>
      <c r="Q51" s="41" t="n">
        <f aca="false">IF(S50&gt;0,Q50,R50)</f>
        <v>0.0322850348075463</v>
      </c>
      <c r="R51" s="41" t="n">
        <f aca="false">(P51+Q51)/2</f>
        <v>0.0322850348075121</v>
      </c>
      <c r="S51" s="42" t="n">
        <f aca="false">(SUMPRODUCT((1-(R51))^('7. Cash flow'!$A$7:$A$86/4)*'7. Cash flow'!$C$7:$C$86/(1+(('3. Assumptions'!$B$6+'6. The ladder'!$B$9)))^('7. Cash flow'!$A$7:$A$86/4))+SUMPRODUCT((1-(R51))^(('7. Cash flow'!$A$7:$A$86-1)/4)*(1-(1-(R51))^0.25)*'7. Cash flow'!$D$7:$D$86/(1+(('3. Assumptions'!$B$6+'6. The ladder'!$C$9)))^('7. Cash flow'!$A$7:$A$86/4))+(1-(R51))^'3. Assumptions'!$B$9*'7. Cash flow'!$D$87/(1+(('3. Assumptions'!$B$6+'6. The ladder'!$C$9)))^'3. Assumptions'!$B$9)/(1+'3. Assumptions'!$B$14)-('2. The tape'!$C$17/'3. Assumptions'!$B$4)</f>
        <v>-1.3500452041626E-005</v>
      </c>
      <c r="U51" s="41" t="n">
        <f aca="false">IF(X50&gt;0,W50,U50)</f>
        <v>0.032285034807478</v>
      </c>
      <c r="V51" s="41" t="n">
        <f aca="false">IF(X50&gt;0,V50,W50)</f>
        <v>0.0322850348075463</v>
      </c>
      <c r="W51" s="41" t="n">
        <f aca="false">(U51+V51)/2</f>
        <v>0.0322850348075121</v>
      </c>
      <c r="X51" s="42" t="n">
        <f aca="false">(SUMPRODUCT((1-(W51))^('7. Cash flow'!$A$7:$A$86/4)*'7. Cash flow'!$C$7:$C$86/(1+('3. Assumptions'!$B$28))^('7. Cash flow'!$A$7:$A$86/4))+SUMPRODUCT((1-(W51))^(('7. Cash flow'!$A$7:$A$86-1)/4)*(1-(1-(W51))^0.25)*'7. Cash flow'!$D$7:$D$86/(1+('3. Assumptions'!$B$29))^('7. Cash flow'!$A$7:$A$86/4))+(1-(W51))^'3. Assumptions'!$B$9*'7. Cash flow'!$D$87/(1+('3. Assumptions'!$B$29))^'3. Assumptions'!$B$9)/(1+'3. Assumptions'!$B$14)-('2. The tape'!$C$17/'3. Assumptions'!$B$4)</f>
        <v>-1.3500452041626E-005</v>
      </c>
      <c r="Z51" s="41" t="n">
        <f aca="false">IF(AC50&gt;0,AB50,Z50)</f>
        <v>0.00364530202842275</v>
      </c>
      <c r="AA51" s="41" t="n">
        <f aca="false">IF(AC50&gt;0,AA50,AB50)</f>
        <v>0.00364530202846254</v>
      </c>
      <c r="AB51" s="41" t="n">
        <f aca="false">(Z51+AA51)/2</f>
        <v>0.00364530202844264</v>
      </c>
      <c r="AC51" s="42" t="n">
        <f aca="false">(SUMPRODUCT((1-(('3. Assumptions'!$B$21/(1-'3. Assumptions'!$B$22))))^('7. Cash flow'!$A$7:$A$86/4)*'7. Cash flow'!$C$7:$C$86/(1+('3. Assumptions'!$B$6+AB51))^('7. Cash flow'!$A$7:$A$86/4))+SUMPRODUCT((1-(('3. Assumptions'!$B$21/(1-'3. Assumptions'!$B$22))))^(('7. Cash flow'!$A$7:$A$86-1)/4)*(1-(1-(('3. Assumptions'!$B$21/(1-'3. Assumptions'!$B$22))))^0.25)*'7. Cash flow'!$D$7:$D$86/(1+('3. Assumptions'!$B$6+AB51))^('7. Cash flow'!$A$7:$A$86/4))+(1-(('3. Assumptions'!$B$21/(1-'3. Assumptions'!$B$22))))^'3. Assumptions'!$B$9*'7. Cash flow'!$D$87/(1+('3. Assumptions'!$B$6+AB51))^'3. Assumptions'!$B$9)/(1+'3. Assumptions'!$B$14)-('2. The tape'!$C$17/'3. Assumptions'!$B$4)</f>
        <v>-9.17911529541016E-006</v>
      </c>
      <c r="AE51" s="41" t="n">
        <f aca="false">IF(AH50&gt;0,AG50,AE50)</f>
        <v>0.0501035708211475</v>
      </c>
      <c r="AF51" s="41" t="n">
        <f aca="false">IF(AH50&gt;0,AF50,AG50)</f>
        <v>0.0501035708211816</v>
      </c>
      <c r="AG51" s="41" t="n">
        <f aca="false">(AE51+AF51)/2</f>
        <v>0.0501035708211646</v>
      </c>
      <c r="AH51" s="42" t="n">
        <f aca="false">(SUMPRODUCT((1-(('3. Assumptions'!$B$21/(1-'3. Assumptions'!$B$22))))^('7. Cash flow'!$A$7:$A$86/4)*'7. Cash flow'!$C$7:$C$86/(1+(AG51))^('7. Cash flow'!$A$7:$A$86/4))+SUMPRODUCT((1-(('3. Assumptions'!$B$21/(1-'3. Assumptions'!$B$22))))^(('7. Cash flow'!$A$7:$A$86-1)/4)*(1-(1-(('3. Assumptions'!$B$21/(1-'3. Assumptions'!$B$22))))^0.25)*'7. Cash flow'!$D$7:$D$86/(1+(AG51))^('7. Cash flow'!$A$7:$A$86/4))+(1-(('3. Assumptions'!$B$21/(1-'3. Assumptions'!$B$22))))^'3. Assumptions'!$B$9*'7. Cash flow'!$D$87/(1+(AG51))^'3.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-1.52587890625E-005</v>
      </c>
      <c r="AJ51" s="41" t="n">
        <f aca="false">IF(AM50&gt;0,AL50,AJ50)</f>
        <v>-0.00180680470796801</v>
      </c>
      <c r="AK51" s="41" t="n">
        <f aca="false">IF(AM50&gt;0,AK50,AL50)</f>
        <v>-0.00180680470792822</v>
      </c>
      <c r="AL51" s="41" t="n">
        <f aca="false">(AJ51+AK51)/2</f>
        <v>-0.00180680470794812</v>
      </c>
      <c r="AM51" s="42" t="n">
        <f aca="false">SUMPRODUCT((1-('3. Assumptions'!$B$21/(1-'3. Assumptions'!$B$22)))^('7. Cash flow'!$A$7:$A$26/4)*('3. Assumptions'!$B$6+'3. Assumptions'!$B$21)/4/(1+'3. Assumptions'!$B$6+AL51)^('7. Cash flow'!$A$7:$A$26/4))+SUMPRODUCT((1-('3. Assumptions'!$B$21/(1-'3. Assumptions'!$B$22)))^(('7. Cash flow'!$A$7:$A$26-1)/4)*(1-(1-('3. Assumptions'!$B$21/(1-'3. Assumptions'!$B$22)))^0.25)*'3. Assumptions'!$B$22/(1+'3. Assumptions'!$B$6+AL51)^('7. Cash flow'!$A$7:$A$26/4))+(1-('3. Assumptions'!$B$21/(1-'3. Assumptions'!$B$22)))^5/(1+'3. Assumptions'!$B$6+AL51)^5-1</f>
        <v>-4.17443857259059E-014</v>
      </c>
    </row>
    <row r="52" customFormat="false" ht="15" hidden="false" customHeight="false" outlineLevel="0" collapsed="false">
      <c r="A52" s="41" t="n">
        <f aca="false">IF(D51&gt;0,C51,A51)</f>
        <v>0.070260845404664</v>
      </c>
      <c r="B52" s="41" t="n">
        <f aca="false">IF(D51&gt;0,B51,C51)</f>
        <v>0.0702608454046981</v>
      </c>
      <c r="C52" s="41" t="n">
        <f aca="false">(A52+B52)/2</f>
        <v>0.070260845404681</v>
      </c>
      <c r="D52" s="42" t="n">
        <f aca="false">(SUMPRODUCT((1-(C52))^('7. Cash flow'!$A$7:$A$86/4)*'7. Cash flow'!$C$7:$C$86/(1+(('3. Assumptions'!$B$6+'6. The ladder'!$B$6)))^('7. Cash flow'!$A$7:$A$86/4))+SUMPRODUCT((1-(C52))^(('7. Cash flow'!$A$7:$A$86-1)/4)*(1-(1-(C52))^0.25)*'7. Cash flow'!$D$7:$D$86/(1+(('3. Assumptions'!$B$6+'6. The ladder'!$C$6)))^('7. Cash flow'!$A$7:$A$86/4))+(1-(C52))^'3. Assumptions'!$B$9*'7. Cash flow'!$D$87/(1+(('3. Assumptions'!$B$6+'6. The ladder'!$C$6)))^'3. Assumptions'!$B$9)/(1+'3. Assumptions'!$B$14)-('2. The tape'!$C$17/'3. Assumptions'!$B$4)</f>
        <v>-3.48687171936035E-006</v>
      </c>
      <c r="F52" s="41" t="n">
        <f aca="false">IF(I51&gt;0,H51,F51)</f>
        <v>0.0576608620644038</v>
      </c>
      <c r="G52" s="41" t="n">
        <f aca="false">IF(I51&gt;0,G51,H51)</f>
        <v>0.0576608620644379</v>
      </c>
      <c r="H52" s="41" t="n">
        <f aca="false">(F52+G52)/2</f>
        <v>0.0576608620644208</v>
      </c>
      <c r="I52" s="42" t="n">
        <f aca="false">(SUMPRODUCT((1-(H52))^('7. Cash flow'!$A$7:$A$86/4)*'7. Cash flow'!$C$7:$C$86/(1+(('3. Assumptions'!$B$6+'6. The ladder'!$B$7)))^('7. Cash flow'!$A$7:$A$86/4))+SUMPRODUCT((1-(H52))^(('7. Cash flow'!$A$7:$A$86-1)/4)*(1-(1-(H52))^0.25)*'7. Cash flow'!$D$7:$D$86/(1+(('3. Assumptions'!$B$6+'6. The ladder'!$C$7)))^('7. Cash flow'!$A$7:$A$86/4))+(1-(H52))^'3. Assumptions'!$B$9*'7. Cash flow'!$D$87/(1+(('3. Assumptions'!$B$6+'6. The ladder'!$C$7)))^'3. Assumptions'!$B$9)/(1+'3. Assumptions'!$B$14)-('2. The tape'!$C$17/'3. Assumptions'!$B$4)</f>
        <v>2.77161598205566E-006</v>
      </c>
      <c r="K52" s="41" t="n">
        <f aca="false">IF(N51&gt;0,M51,K51)</f>
        <v>0.0449128327103381</v>
      </c>
      <c r="L52" s="41" t="n">
        <f aca="false">IF(N51&gt;0,L51,M51)</f>
        <v>0.0449128327103722</v>
      </c>
      <c r="M52" s="41" t="n">
        <f aca="false">(K52+L52)/2</f>
        <v>0.0449128327103552</v>
      </c>
      <c r="N52" s="42" t="n">
        <f aca="false">(SUMPRODUCT((1-(M52))^('7. Cash flow'!$A$7:$A$86/4)*'7. Cash flow'!$C$7:$C$86/(1+(('3. Assumptions'!$B$6+'6. The ladder'!$B$8)))^('7. Cash flow'!$A$7:$A$86/4))+SUMPRODUCT((1-(M52))^(('7. Cash flow'!$A$7:$A$86-1)/4)*(1-(1-(M52))^0.25)*'7. Cash flow'!$D$7:$D$86/(1+(('3. Assumptions'!$B$6+'6. The ladder'!$C$8)))^('7. Cash flow'!$A$7:$A$86/4))+(1-(M52))^'3. Assumptions'!$B$9*'7. Cash flow'!$D$87/(1+(('3. Assumptions'!$B$6+'6. The ladder'!$C$8)))^'3. Assumptions'!$B$9)/(1+'3. Assumptions'!$B$14)-('2. The tape'!$C$17/'3. Assumptions'!$B$4)</f>
        <v>-1.37090682983398E-005</v>
      </c>
      <c r="P52" s="41" t="n">
        <f aca="false">IF(S51&gt;0,R51,P51)</f>
        <v>0.032285034807478</v>
      </c>
      <c r="Q52" s="41" t="n">
        <f aca="false">IF(S51&gt;0,Q51,R51)</f>
        <v>0.0322850348075121</v>
      </c>
      <c r="R52" s="41" t="n">
        <f aca="false">(P52+Q52)/2</f>
        <v>0.0322850348074951</v>
      </c>
      <c r="S52" s="42" t="n">
        <f aca="false">(SUMPRODUCT((1-(R52))^('7. Cash flow'!$A$7:$A$86/4)*'7. Cash flow'!$C$7:$C$86/(1+(('3. Assumptions'!$B$6+'6. The ladder'!$B$9)))^('7. Cash flow'!$A$7:$A$86/4))+SUMPRODUCT((1-(R52))^(('7. Cash flow'!$A$7:$A$86-1)/4)*(1-(1-(R52))^0.25)*'7. Cash flow'!$D$7:$D$86/(1+(('3. Assumptions'!$B$6+'6. The ladder'!$C$9)))^('7. Cash flow'!$A$7:$A$86/4))+(1-(R52))^'3. Assumptions'!$B$9*'7. Cash flow'!$D$87/(1+(('3. Assumptions'!$B$6+'6. The ladder'!$C$9)))^'3. Assumptions'!$B$9)/(1+'3. Assumptions'!$B$14)-('2. The tape'!$C$17/'3. Assumptions'!$B$4)</f>
        <v>3.36766242980957E-006</v>
      </c>
      <c r="U52" s="41" t="n">
        <f aca="false">IF(X51&gt;0,W51,U51)</f>
        <v>0.032285034807478</v>
      </c>
      <c r="V52" s="41" t="n">
        <f aca="false">IF(X51&gt;0,V51,W51)</f>
        <v>0.0322850348075121</v>
      </c>
      <c r="W52" s="41" t="n">
        <f aca="false">(U52+V52)/2</f>
        <v>0.0322850348074951</v>
      </c>
      <c r="X52" s="42" t="n">
        <f aca="false">(SUMPRODUCT((1-(W52))^('7. Cash flow'!$A$7:$A$86/4)*'7. Cash flow'!$C$7:$C$86/(1+('3. Assumptions'!$B$28))^('7. Cash flow'!$A$7:$A$86/4))+SUMPRODUCT((1-(W52))^(('7. Cash flow'!$A$7:$A$86-1)/4)*(1-(1-(W52))^0.25)*'7. Cash flow'!$D$7:$D$86/(1+('3. Assumptions'!$B$29))^('7. Cash flow'!$A$7:$A$86/4))+(1-(W52))^'3. Assumptions'!$B$9*'7. Cash flow'!$D$87/(1+('3. Assumptions'!$B$29))^'3. Assumptions'!$B$9)/(1+'3. Assumptions'!$B$14)-('2. The tape'!$C$17/'3. Assumptions'!$B$4)</f>
        <v>3.36766242980957E-006</v>
      </c>
      <c r="Z52" s="41" t="n">
        <f aca="false">IF(AC51&gt;0,AB51,Z51)</f>
        <v>0.00364530202842275</v>
      </c>
      <c r="AA52" s="41" t="n">
        <f aca="false">IF(AC51&gt;0,AA51,AB51)</f>
        <v>0.00364530202844264</v>
      </c>
      <c r="AB52" s="41" t="n">
        <f aca="false">(Z52+AA52)/2</f>
        <v>0.00364530202843269</v>
      </c>
      <c r="AC52" s="42" t="n">
        <f aca="false">(SUMPRODUCT((1-(('3. Assumptions'!$B$21/(1-'3. Assumptions'!$B$22))))^('7. Cash flow'!$A$7:$A$86/4)*'7. Cash flow'!$C$7:$C$86/(1+('3. Assumptions'!$B$6+AB52))^('7. Cash flow'!$A$7:$A$86/4))+SUMPRODUCT((1-(('3. Assumptions'!$B$21/(1-'3. Assumptions'!$B$22))))^(('7. Cash flow'!$A$7:$A$86-1)/4)*(1-(1-(('3. Assumptions'!$B$21/(1-'3. Assumptions'!$B$22))))^0.25)*'7. Cash flow'!$D$7:$D$86/(1+('3. Assumptions'!$B$6+AB52))^('7. Cash flow'!$A$7:$A$86/4))+(1-(('3. Assumptions'!$B$21/(1-'3. Assumptions'!$B$22))))^'3. Assumptions'!$B$9*'7. Cash flow'!$D$87/(1+('3. Assumptions'!$B$6+AB52))^'3. Assumptions'!$B$9)/(1+'3. Assumptions'!$B$14)-('2. The tape'!$C$17/'3. Assumptions'!$B$4)</f>
        <v>5.57303428649902E-006</v>
      </c>
      <c r="AE52" s="41" t="n">
        <f aca="false">IF(AH51&gt;0,AG51,AE51)</f>
        <v>0.0501035708211475</v>
      </c>
      <c r="AF52" s="41" t="n">
        <f aca="false">IF(AH51&gt;0,AF51,AG51)</f>
        <v>0.0501035708211646</v>
      </c>
      <c r="AG52" s="41" t="n">
        <f aca="false">(AE52+AF52)/2</f>
        <v>0.050103570821156</v>
      </c>
      <c r="AH52" s="42" t="n">
        <f aca="false">(SUMPRODUCT((1-(('3. Assumptions'!$B$21/(1-'3. Assumptions'!$B$22))))^('7. Cash flow'!$A$7:$A$86/4)*'7. Cash flow'!$C$7:$C$86/(1+(AG52))^('7. Cash flow'!$A$7:$A$86/4))+SUMPRODUCT((1-(('3. Assumptions'!$B$21/(1-'3. Assumptions'!$B$22))))^(('7. Cash flow'!$A$7:$A$86-1)/4)*(1-(1-(('3. Assumptions'!$B$21/(1-'3. Assumptions'!$B$22))))^0.25)*'7. Cash flow'!$D$7:$D$86/(1+(AG52))^('7. Cash flow'!$A$7:$A$86/4))+(1-(('3. Assumptions'!$B$21/(1-'3. Assumptions'!$B$22))))^'3. Assumptions'!$B$9*'7. Cash flow'!$D$87/(1+(AG52))^'3.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-5.7220458984375E-006</v>
      </c>
      <c r="AJ52" s="41" t="n">
        <f aca="false">IF(AM51&gt;0,AL51,AJ51)</f>
        <v>-0.00180680470796801</v>
      </c>
      <c r="AK52" s="41" t="n">
        <f aca="false">IF(AM51&gt;0,AK51,AL51)</f>
        <v>-0.00180680470794812</v>
      </c>
      <c r="AL52" s="41" t="n">
        <f aca="false">(AJ52+AK52)/2</f>
        <v>-0.00180680470795807</v>
      </c>
      <c r="AM52" s="42" t="n">
        <f aca="false">SUMPRODUCT((1-('3. Assumptions'!$B$21/(1-'3. Assumptions'!$B$22)))^('7. Cash flow'!$A$7:$A$26/4)*('3. Assumptions'!$B$6+'3. Assumptions'!$B$21)/4/(1+'3. Assumptions'!$B$6+AL52)^('7. Cash flow'!$A$7:$A$26/4))+SUMPRODUCT((1-('3. Assumptions'!$B$21/(1-'3. Assumptions'!$B$22)))^(('7. Cash flow'!$A$7:$A$26-1)/4)*(1-(1-('3. Assumptions'!$B$21/(1-'3. Assumptions'!$B$22)))^0.25)*'3. Assumptions'!$B$22/(1+'3. Assumptions'!$B$6+AL52)^('7. Cash flow'!$A$7:$A$26/4))+(1-('3. Assumptions'!$B$21/(1-'3. Assumptions'!$B$22)))^5/(1+'3. Assumptions'!$B$6+AL52)^5-1</f>
        <v>0</v>
      </c>
    </row>
    <row r="53" customFormat="false" ht="15" hidden="false" customHeight="false" outlineLevel="0" collapsed="false">
      <c r="A53" s="41" t="n">
        <f aca="false">IF(D52&gt;0,C52,A52)</f>
        <v>0.070260845404664</v>
      </c>
      <c r="B53" s="41" t="n">
        <f aca="false">IF(D52&gt;0,B52,C52)</f>
        <v>0.070260845404681</v>
      </c>
      <c r="C53" s="41" t="n">
        <f aca="false">(A53+B53)/2</f>
        <v>0.0702608454046725</v>
      </c>
      <c r="D53" s="42" t="n">
        <f aca="false">(SUMPRODUCT((1-(C53))^('7. Cash flow'!$A$7:$A$86/4)*'7. Cash flow'!$C$7:$C$86/(1+(('3. Assumptions'!$B$6+'6. The ladder'!$B$6)))^('7. Cash flow'!$A$7:$A$86/4))+SUMPRODUCT((1-(C53))^(('7. Cash flow'!$A$7:$A$86-1)/4)*(1-(1-(C53))^0.25)*'7. Cash flow'!$D$7:$D$86/(1+(('3. Assumptions'!$B$6+'6. The ladder'!$C$6)))^('7. Cash flow'!$A$7:$A$86/4))+(1-(C53))^'3. Assumptions'!$B$9*'7. Cash flow'!$D$87/(1+(('3. Assumptions'!$B$6+'6. The ladder'!$C$6)))^'3. Assumptions'!$B$9)/(1+'3. Assumptions'!$B$14)-('2. The tape'!$C$17/'3. Assumptions'!$B$4)</f>
        <v>4.02331352233887E-006</v>
      </c>
      <c r="F53" s="41" t="n">
        <f aca="false">IF(I52&gt;0,H52,F52)</f>
        <v>0.0576608620644208</v>
      </c>
      <c r="G53" s="41" t="n">
        <f aca="false">IF(I52&gt;0,G52,H52)</f>
        <v>0.0576608620644379</v>
      </c>
      <c r="H53" s="41" t="n">
        <f aca="false">(F53+G53)/2</f>
        <v>0.0576608620644293</v>
      </c>
      <c r="I53" s="42" t="n">
        <f aca="false">(SUMPRODUCT((1-(H53))^('7. Cash flow'!$A$7:$A$86/4)*'7. Cash flow'!$C$7:$C$86/(1+(('3. Assumptions'!$B$6+'6. The ladder'!$B$7)))^('7. Cash flow'!$A$7:$A$86/4))+SUMPRODUCT((1-(H53))^(('7. Cash flow'!$A$7:$A$86-1)/4)*(1-(1-(H53))^0.25)*'7. Cash flow'!$D$7:$D$86/(1+(('3. Assumptions'!$B$6+'6. The ladder'!$C$7)))^('7. Cash flow'!$A$7:$A$86/4))+(1-(H53))^'3. Assumptions'!$B$9*'7. Cash flow'!$D$87/(1+(('3. Assumptions'!$B$6+'6. The ladder'!$C$7)))^'3. Assumptions'!$B$9)/(1+'3. Assumptions'!$B$14)-('2. The tape'!$C$17/'3. Assumptions'!$B$4)</f>
        <v>-4.70876693725586E-006</v>
      </c>
      <c r="K53" s="41" t="n">
        <f aca="false">IF(N52&gt;0,M52,K52)</f>
        <v>0.0449128327103381</v>
      </c>
      <c r="L53" s="41" t="n">
        <f aca="false">IF(N52&gt;0,L52,M52)</f>
        <v>0.0449128327103552</v>
      </c>
      <c r="M53" s="41" t="n">
        <f aca="false">(K53+L53)/2</f>
        <v>0.0449128327103466</v>
      </c>
      <c r="N53" s="42" t="n">
        <f aca="false">(SUMPRODUCT((1-(M53))^('7. Cash flow'!$A$7:$A$86/4)*'7. Cash flow'!$C$7:$C$86/(1+(('3. Assumptions'!$B$6+'6. The ladder'!$B$8)))^('7. Cash flow'!$A$7:$A$86/4))+SUMPRODUCT((1-(M53))^(('7. Cash flow'!$A$7:$A$86-1)/4)*(1-(1-(M53))^0.25)*'7. Cash flow'!$D$7:$D$86/(1+(('3. Assumptions'!$B$6+'6. The ladder'!$C$8)))^('7. Cash flow'!$A$7:$A$86/4))+(1-(M53))^'3. Assumptions'!$B$9*'7. Cash flow'!$D$87/(1+(('3. Assumptions'!$B$6+'6. The ladder'!$C$8)))^'3. Assumptions'!$B$9)/(1+'3. Assumptions'!$B$14)-('2. The tape'!$C$17/'3. Assumptions'!$B$4)</f>
        <v>-5.81145286560059E-006</v>
      </c>
      <c r="P53" s="41" t="n">
        <f aca="false">IF(S52&gt;0,R52,P52)</f>
        <v>0.0322850348074951</v>
      </c>
      <c r="Q53" s="41" t="n">
        <f aca="false">IF(S52&gt;0,Q52,R52)</f>
        <v>0.0322850348075121</v>
      </c>
      <c r="R53" s="41" t="n">
        <f aca="false">(P53+Q53)/2</f>
        <v>0.0322850348075036</v>
      </c>
      <c r="S53" s="42" t="n">
        <f aca="false">(SUMPRODUCT((1-(R53))^('7. Cash flow'!$A$7:$A$86/4)*'7. Cash flow'!$C$7:$C$86/(1+(('3. Assumptions'!$B$6+'6. The ladder'!$B$9)))^('7. Cash flow'!$A$7:$A$86/4))+SUMPRODUCT((1-(R53))^(('7. Cash flow'!$A$7:$A$86-1)/4)*(1-(1-(R53))^0.25)*'7. Cash flow'!$D$7:$D$86/(1+(('3. Assumptions'!$B$6+'6. The ladder'!$C$9)))^('7. Cash flow'!$A$7:$A$86/4))+(1-(R53))^'3. Assumptions'!$B$9*'7. Cash flow'!$D$87/(1+(('3. Assumptions'!$B$6+'6. The ladder'!$C$9)))^'3. Assumptions'!$B$9)/(1+'3. Assumptions'!$B$14)-('2. The tape'!$C$17/'3. Assumptions'!$B$4)</f>
        <v>-5.15580177307129E-006</v>
      </c>
      <c r="U53" s="41" t="n">
        <f aca="false">IF(X52&gt;0,W52,U52)</f>
        <v>0.0322850348074951</v>
      </c>
      <c r="V53" s="41" t="n">
        <f aca="false">IF(X52&gt;0,V52,W52)</f>
        <v>0.0322850348075121</v>
      </c>
      <c r="W53" s="41" t="n">
        <f aca="false">(U53+V53)/2</f>
        <v>0.0322850348075036</v>
      </c>
      <c r="X53" s="42" t="n">
        <f aca="false">(SUMPRODUCT((1-(W53))^('7. Cash flow'!$A$7:$A$86/4)*'7. Cash flow'!$C$7:$C$86/(1+('3. Assumptions'!$B$28))^('7. Cash flow'!$A$7:$A$86/4))+SUMPRODUCT((1-(W53))^(('7. Cash flow'!$A$7:$A$86-1)/4)*(1-(1-(W53))^0.25)*'7. Cash flow'!$D$7:$D$86/(1+('3. Assumptions'!$B$29))^('7. Cash flow'!$A$7:$A$86/4))+(1-(W53))^'3. Assumptions'!$B$9*'7. Cash flow'!$D$87/(1+('3. Assumptions'!$B$29))^'3. Assumptions'!$B$9)/(1+'3. Assumptions'!$B$14)-('2. The tape'!$C$17/'3. Assumptions'!$B$4)</f>
        <v>-5.15580177307129E-006</v>
      </c>
      <c r="Z53" s="41" t="n">
        <f aca="false">IF(AC52&gt;0,AB52,Z52)</f>
        <v>0.00364530202843269</v>
      </c>
      <c r="AA53" s="41" t="n">
        <f aca="false">IF(AC52&gt;0,AA52,AB52)</f>
        <v>0.00364530202844264</v>
      </c>
      <c r="AB53" s="41" t="n">
        <f aca="false">(Z53+AA53)/2</f>
        <v>0.00364530202843767</v>
      </c>
      <c r="AC53" s="42" t="n">
        <f aca="false">(SUMPRODUCT((1-(('3. Assumptions'!$B$21/(1-'3. Assumptions'!$B$22))))^('7. Cash flow'!$A$7:$A$86/4)*'7. Cash flow'!$C$7:$C$86/(1+('3. Assumptions'!$B$6+AB53))^('7. Cash flow'!$A$7:$A$86/4))+SUMPRODUCT((1-(('3. Assumptions'!$B$21/(1-'3. Assumptions'!$B$22))))^(('7. Cash flow'!$A$7:$A$86-1)/4)*(1-(1-(('3. Assumptions'!$B$21/(1-'3. Assumptions'!$B$22))))^0.25)*'7. Cash flow'!$D$7:$D$86/(1+('3. Assumptions'!$B$6+AB53))^('7. Cash flow'!$A$7:$A$86/4))+(1-(('3. Assumptions'!$B$21/(1-'3. Assumptions'!$B$22))))^'3. Assumptions'!$B$9*'7. Cash flow'!$D$87/(1+('3. Assumptions'!$B$6+AB53))^'3. Assumptions'!$B$9)/(1+'3. Assumptions'!$B$14)-('2. The tape'!$C$17/'3. Assumptions'!$B$4)</f>
        <v>-1.9371509552002E-006</v>
      </c>
      <c r="AE53" s="41" t="n">
        <f aca="false">IF(AH52&gt;0,AG52,AE52)</f>
        <v>0.0501035708211475</v>
      </c>
      <c r="AF53" s="41" t="n">
        <f aca="false">IF(AH52&gt;0,AF52,AG52)</f>
        <v>0.050103570821156</v>
      </c>
      <c r="AG53" s="41" t="n">
        <f aca="false">(AE53+AF53)/2</f>
        <v>0.0501035708211518</v>
      </c>
      <c r="AH53" s="42" t="n">
        <f aca="false">(SUMPRODUCT((1-(('3. Assumptions'!$B$21/(1-'3. Assumptions'!$B$22))))^('7. Cash flow'!$A$7:$A$86/4)*'7. Cash flow'!$C$7:$C$86/(1+(AG53))^('7. Cash flow'!$A$7:$A$86/4))+SUMPRODUCT((1-(('3. Assumptions'!$B$21/(1-'3. Assumptions'!$B$22))))^(('7. Cash flow'!$A$7:$A$86-1)/4)*(1-(1-(('3. Assumptions'!$B$21/(1-'3. Assumptions'!$B$22))))^0.25)*'7. Cash flow'!$D$7:$D$86/(1+(AG53))^('7. Cash flow'!$A$7:$A$86/4))+(1-(('3. Assumptions'!$B$21/(1-'3. Assumptions'!$B$22))))^'3. Assumptions'!$B$9*'7. Cash flow'!$D$87/(1+(AG53))^'3.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53" s="41" t="n">
        <f aca="false">IF(AM52&gt;0,AL52,AJ52)</f>
        <v>-0.00180680470796801</v>
      </c>
      <c r="AK53" s="41" t="n">
        <f aca="false">IF(AM52&gt;0,AK52,AL52)</f>
        <v>-0.00180680470795807</v>
      </c>
      <c r="AL53" s="41" t="n">
        <f aca="false">(AJ53+AK53)/2</f>
        <v>-0.00180680470796304</v>
      </c>
      <c r="AM53" s="42" t="n">
        <f aca="false">SUMPRODUCT((1-('3. Assumptions'!$B$21/(1-'3. Assumptions'!$B$22)))^('7. Cash flow'!$A$7:$A$26/4)*('3. Assumptions'!$B$6+'3. Assumptions'!$B$21)/4/(1+'3. Assumptions'!$B$6+AL53)^('7. Cash flow'!$A$7:$A$26/4))+SUMPRODUCT((1-('3. Assumptions'!$B$21/(1-'3. Assumptions'!$B$22)))^(('7. Cash flow'!$A$7:$A$26-1)/4)*(1-(1-('3. Assumptions'!$B$21/(1-'3. Assumptions'!$B$22)))^0.25)*'3. Assumptions'!$B$22/(1+'3. Assumptions'!$B$6+AL53)^('7. Cash flow'!$A$7:$A$26/4))+(1-('3. Assumptions'!$B$21/(1-'3. Assumptions'!$B$22)))^5/(1+'3. Assumptions'!$B$6+AL53)^5-1</f>
        <v>1.82076576038526E-014</v>
      </c>
    </row>
    <row r="54" customFormat="false" ht="15" hidden="false" customHeight="false" outlineLevel="0" collapsed="false">
      <c r="A54" s="41" t="n">
        <f aca="false">IF(D53&gt;0,C53,A53)</f>
        <v>0.0702608454046725</v>
      </c>
      <c r="B54" s="41" t="n">
        <f aca="false">IF(D53&gt;0,B53,C53)</f>
        <v>0.070260845404681</v>
      </c>
      <c r="C54" s="41" t="n">
        <f aca="false">(A54+B54)/2</f>
        <v>0.0702608454046768</v>
      </c>
      <c r="D54" s="42" t="n">
        <f aca="false">(SUMPRODUCT((1-(C54))^('7. Cash flow'!$A$7:$A$86/4)*'7. Cash flow'!$C$7:$C$86/(1+(('3. Assumptions'!$B$6+'6. The ladder'!$B$6)))^('7. Cash flow'!$A$7:$A$86/4))+SUMPRODUCT((1-(C54))^(('7. Cash flow'!$A$7:$A$86-1)/4)*(1-(1-(C54))^0.25)*'7. Cash flow'!$D$7:$D$86/(1+(('3. Assumptions'!$B$6+'6. The ladder'!$C$6)))^('7. Cash flow'!$A$7:$A$86/4))+(1-(C54))^'3. Assumptions'!$B$9*'7. Cash flow'!$D$87/(1+(('3. Assumptions'!$B$6+'6. The ladder'!$C$6)))^'3. Assumptions'!$B$9)/(1+'3. Assumptions'!$B$14)-('2. The tape'!$C$17/'3. Assumptions'!$B$4)</f>
        <v>0</v>
      </c>
      <c r="F54" s="41" t="n">
        <f aca="false">IF(I53&gt;0,H53,F53)</f>
        <v>0.0576608620644208</v>
      </c>
      <c r="G54" s="41" t="n">
        <f aca="false">IF(I53&gt;0,G53,H53)</f>
        <v>0.0576608620644293</v>
      </c>
      <c r="H54" s="41" t="n">
        <f aca="false">(F54+G54)/2</f>
        <v>0.0576608620644251</v>
      </c>
      <c r="I54" s="42" t="n">
        <f aca="false">(SUMPRODUCT((1-(H54))^('7. Cash flow'!$A$7:$A$86/4)*'7. Cash flow'!$C$7:$C$86/(1+(('3. Assumptions'!$B$6+'6. The ladder'!$B$7)))^('7. Cash flow'!$A$7:$A$86/4))+SUMPRODUCT((1-(H54))^(('7. Cash flow'!$A$7:$A$86-1)/4)*(1-(1-(H54))^0.25)*'7. Cash flow'!$D$7:$D$86/(1+(('3. Assumptions'!$B$6+'6. The ladder'!$C$7)))^('7. Cash flow'!$A$7:$A$86/4))+(1-(H54))^'3. Assumptions'!$B$9*'7. Cash flow'!$D$87/(1+(('3. Assumptions'!$B$6+'6. The ladder'!$C$7)))^'3. Assumptions'!$B$9)/(1+'3. Assumptions'!$B$14)-('2. The tape'!$C$17/'3. Assumptions'!$B$4)</f>
        <v>-1.04308128356934E-006</v>
      </c>
      <c r="K54" s="41" t="n">
        <f aca="false">IF(N53&gt;0,M53,K53)</f>
        <v>0.0449128327103381</v>
      </c>
      <c r="L54" s="41" t="n">
        <f aca="false">IF(N53&gt;0,L53,M53)</f>
        <v>0.0449128327103466</v>
      </c>
      <c r="M54" s="41" t="n">
        <f aca="false">(K54+L54)/2</f>
        <v>0.0449128327103424</v>
      </c>
      <c r="N54" s="42" t="n">
        <f aca="false">(SUMPRODUCT((1-(M54))^('7. Cash flow'!$A$7:$A$86/4)*'7. Cash flow'!$C$7:$C$86/(1+(('3. Assumptions'!$B$6+'6. The ladder'!$B$8)))^('7. Cash flow'!$A$7:$A$86/4))+SUMPRODUCT((1-(M54))^(('7. Cash flow'!$A$7:$A$86-1)/4)*(1-(1-(M54))^0.25)*'7. Cash flow'!$D$7:$D$86/(1+(('3. Assumptions'!$B$6+'6. The ladder'!$C$8)))^('7. Cash flow'!$A$7:$A$86/4))+(1-(M54))^'3. Assumptions'!$B$9*'7. Cash flow'!$D$87/(1+(('3. Assumptions'!$B$6+'6. The ladder'!$C$8)))^'3. Assumptions'!$B$9)/(1+'3. Assumptions'!$B$14)-('2. The tape'!$C$17/'3. Assumptions'!$B$4)</f>
        <v>-1.75833702087402E-006</v>
      </c>
      <c r="P54" s="41" t="n">
        <f aca="false">IF(S53&gt;0,R53,P53)</f>
        <v>0.0322850348074951</v>
      </c>
      <c r="Q54" s="41" t="n">
        <f aca="false">IF(S53&gt;0,Q53,R53)</f>
        <v>0.0322850348075036</v>
      </c>
      <c r="R54" s="41" t="n">
        <f aca="false">(P54+Q54)/2</f>
        <v>0.0322850348074994</v>
      </c>
      <c r="S54" s="42" t="n">
        <f aca="false">(SUMPRODUCT((1-(R54))^('7. Cash flow'!$A$7:$A$86/4)*'7. Cash flow'!$C$7:$C$86/(1+(('3. Assumptions'!$B$6+'6. The ladder'!$B$9)))^('7. Cash flow'!$A$7:$A$86/4))+SUMPRODUCT((1-(R54))^(('7. Cash flow'!$A$7:$A$86-1)/4)*(1-(1-(R54))^0.25)*'7. Cash flow'!$D$7:$D$86/(1+(('3. Assumptions'!$B$6+'6. The ladder'!$C$9)))^('7. Cash flow'!$A$7:$A$86/4))+(1-(R54))^'3. Assumptions'!$B$9*'7. Cash flow'!$D$87/(1+(('3. Assumptions'!$B$6+'6. The ladder'!$C$9)))^'3. Assumptions'!$B$9)/(1+'3. Assumptions'!$B$14)-('2. The tape'!$C$17/'3. Assumptions'!$B$4)</f>
        <v>-8.34465026855469E-007</v>
      </c>
      <c r="U54" s="41" t="n">
        <f aca="false">IF(X53&gt;0,W53,U53)</f>
        <v>0.0322850348074951</v>
      </c>
      <c r="V54" s="41" t="n">
        <f aca="false">IF(X53&gt;0,V53,W53)</f>
        <v>0.0322850348075036</v>
      </c>
      <c r="W54" s="41" t="n">
        <f aca="false">(U54+V54)/2</f>
        <v>0.0322850348074994</v>
      </c>
      <c r="X54" s="42" t="n">
        <f aca="false">(SUMPRODUCT((1-(W54))^('7. Cash flow'!$A$7:$A$86/4)*'7. Cash flow'!$C$7:$C$86/(1+('3. Assumptions'!$B$28))^('7. Cash flow'!$A$7:$A$86/4))+SUMPRODUCT((1-(W54))^(('7. Cash flow'!$A$7:$A$86-1)/4)*(1-(1-(W54))^0.25)*'7. Cash flow'!$D$7:$D$86/(1+('3. Assumptions'!$B$29))^('7. Cash flow'!$A$7:$A$86/4))+(1-(W54))^'3. Assumptions'!$B$9*'7. Cash flow'!$D$87/(1+('3. Assumptions'!$B$29))^'3. Assumptions'!$B$9)/(1+'3. Assumptions'!$B$14)-('2. The tape'!$C$17/'3. Assumptions'!$B$4)</f>
        <v>-8.34465026855469E-007</v>
      </c>
      <c r="Z54" s="41" t="n">
        <f aca="false">IF(AC53&gt;0,AB53,Z53)</f>
        <v>0.00364530202843269</v>
      </c>
      <c r="AA54" s="41" t="n">
        <f aca="false">IF(AC53&gt;0,AA53,AB53)</f>
        <v>0.00364530202843767</v>
      </c>
      <c r="AB54" s="41" t="n">
        <f aca="false">(Z54+AA54)/2</f>
        <v>0.00364530202843518</v>
      </c>
      <c r="AC54" s="42" t="n">
        <f aca="false">(SUMPRODUCT((1-(('3. Assumptions'!$B$21/(1-'3. Assumptions'!$B$22))))^('7. Cash flow'!$A$7:$A$86/4)*'7. Cash flow'!$C$7:$C$86/(1+('3. Assumptions'!$B$6+AB54))^('7. Cash flow'!$A$7:$A$86/4))+SUMPRODUCT((1-(('3. Assumptions'!$B$21/(1-'3. Assumptions'!$B$22))))^(('7. Cash flow'!$A$7:$A$86-1)/4)*(1-(1-(('3. Assumptions'!$B$21/(1-'3. Assumptions'!$B$22))))^0.25)*'7. Cash flow'!$D$7:$D$86/(1+('3. Assumptions'!$B$6+AB54))^('7. Cash flow'!$A$7:$A$86/4))+(1-(('3. Assumptions'!$B$21/(1-'3. Assumptions'!$B$22))))^'3. Assumptions'!$B$9*'7. Cash flow'!$D$87/(1+('3. Assumptions'!$B$6+AB54))^'3. Assumptions'!$B$9)/(1+'3. Assumptions'!$B$14)-('2. The tape'!$C$17/'3. Assumptions'!$B$4)</f>
        <v>1.96695327758789E-006</v>
      </c>
      <c r="AE54" s="41" t="n">
        <f aca="false">IF(AH53&gt;0,AG53,AE53)</f>
        <v>0.0501035708211475</v>
      </c>
      <c r="AF54" s="41" t="n">
        <f aca="false">IF(AH53&gt;0,AF53,AG53)</f>
        <v>0.0501035708211518</v>
      </c>
      <c r="AG54" s="41" t="n">
        <f aca="false">(AE54+AF54)/2</f>
        <v>0.0501035708211497</v>
      </c>
      <c r="AH54" s="42" t="n">
        <f aca="false">(SUMPRODUCT((1-(('3. Assumptions'!$B$21/(1-'3. Assumptions'!$B$22))))^('7. Cash flow'!$A$7:$A$86/4)*'7. Cash flow'!$C$7:$C$86/(1+(AG54))^('7. Cash flow'!$A$7:$A$86/4))+SUMPRODUCT((1-(('3. Assumptions'!$B$21/(1-'3. Assumptions'!$B$22))))^(('7. Cash flow'!$A$7:$A$86-1)/4)*(1-(1-(('3. Assumptions'!$B$21/(1-'3. Assumptions'!$B$22))))^0.25)*'7. Cash flow'!$D$7:$D$86/(1+(AG54))^('7. Cash flow'!$A$7:$A$86/4))+(1-(('3. Assumptions'!$B$21/(1-'3. Assumptions'!$B$22))))^'3. Assumptions'!$B$9*'7. Cash flow'!$D$87/(1+(AG54))^'3.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1.51991844177246E-006</v>
      </c>
      <c r="AJ54" s="41" t="n">
        <f aca="false">IF(AM53&gt;0,AL53,AJ53)</f>
        <v>-0.00180680470796304</v>
      </c>
      <c r="AK54" s="41" t="n">
        <f aca="false">IF(AM53&gt;0,AK53,AL53)</f>
        <v>-0.00180680470795807</v>
      </c>
      <c r="AL54" s="41" t="n">
        <f aca="false">(AJ54+AK54)/2</f>
        <v>-0.00180680470796055</v>
      </c>
      <c r="AM54" s="42" t="n">
        <f aca="false">SUMPRODUCT((1-('3. Assumptions'!$B$21/(1-'3. Assumptions'!$B$22)))^('7. Cash flow'!$A$7:$A$26/4)*('3. Assumptions'!$B$6+'3. Assumptions'!$B$21)/4/(1+'3. Assumptions'!$B$6+AL54)^('7. Cash flow'!$A$7:$A$26/4))+SUMPRODUCT((1-('3. Assumptions'!$B$21/(1-'3. Assumptions'!$B$22)))^(('7. Cash flow'!$A$7:$A$26-1)/4)*(1-(1-('3. Assumptions'!$B$21/(1-'3. Assumptions'!$B$22)))^0.25)*'3. Assumptions'!$B$22/(1+'3. Assumptions'!$B$6+AL54)^('7. Cash flow'!$A$7:$A$26/4))+(1-('3. Assumptions'!$B$21/(1-'3. Assumptions'!$B$22)))^5/(1+'3. Assumptions'!$B$6+AL54)^5-1</f>
        <v>7.7715611723761E-015</v>
      </c>
    </row>
    <row r="55" customFormat="false" ht="15" hidden="false" customHeight="false" outlineLevel="0" collapsed="false">
      <c r="A55" s="41" t="n">
        <f aca="false">IF(D54&gt;0,C54,A54)</f>
        <v>0.0702608454046725</v>
      </c>
      <c r="B55" s="41" t="n">
        <f aca="false">IF(D54&gt;0,B54,C54)</f>
        <v>0.0702608454046768</v>
      </c>
      <c r="C55" s="41" t="n">
        <f aca="false">(A55+B55)/2</f>
        <v>0.0702608454046746</v>
      </c>
      <c r="D55" s="42" t="n">
        <f aca="false">(SUMPRODUCT((1-(C55))^('7. Cash flow'!$A$7:$A$86/4)*'7. Cash flow'!$C$7:$C$86/(1+(('3. Assumptions'!$B$6+'6. The ladder'!$B$6)))^('7. Cash flow'!$A$7:$A$86/4))+SUMPRODUCT((1-(C55))^(('7. Cash flow'!$A$7:$A$86-1)/4)*(1-(1-(C55))^0.25)*'7. Cash flow'!$D$7:$D$86/(1+(('3. Assumptions'!$B$6+'6. The ladder'!$C$6)))^('7. Cash flow'!$A$7:$A$86/4))+(1-(C55))^'3. Assumptions'!$B$9*'7. Cash flow'!$D$87/(1+(('3. Assumptions'!$B$6+'6. The ladder'!$C$6)))^'3. Assumptions'!$B$9)/(1+'3. Assumptions'!$B$14)-('2. The tape'!$C$17/'3. Assumptions'!$B$4)</f>
        <v>2.02655792236328E-006</v>
      </c>
      <c r="F55" s="41" t="n">
        <f aca="false">IF(I54&gt;0,H54,F54)</f>
        <v>0.0576608620644208</v>
      </c>
      <c r="G55" s="41" t="n">
        <f aca="false">IF(I54&gt;0,G54,H54)</f>
        <v>0.0576608620644251</v>
      </c>
      <c r="H55" s="41" t="n">
        <f aca="false">(F55+G55)/2</f>
        <v>0.0576608620644229</v>
      </c>
      <c r="I55" s="42" t="n">
        <f aca="false">(SUMPRODUCT((1-(H55))^('7. Cash flow'!$A$7:$A$86/4)*'7. Cash flow'!$C$7:$C$86/(1+(('3. Assumptions'!$B$6+'6. The ladder'!$B$7)))^('7. Cash flow'!$A$7:$A$86/4))+SUMPRODUCT((1-(H55))^(('7. Cash flow'!$A$7:$A$86-1)/4)*(1-(1-(H55))^0.25)*'7. Cash flow'!$D$7:$D$86/(1+(('3. Assumptions'!$B$6+'6. The ladder'!$C$7)))^('7. Cash flow'!$A$7:$A$86/4))+(1-(H55))^'3. Assumptions'!$B$9*'7. Cash flow'!$D$87/(1+(('3. Assumptions'!$B$6+'6. The ladder'!$C$7)))^'3. Assumptions'!$B$9)/(1+'3. Assumptions'!$B$14)-('2. The tape'!$C$17/'3. Assumptions'!$B$4)</f>
        <v>9.83476638793945E-007</v>
      </c>
      <c r="K55" s="41" t="n">
        <f aca="false">IF(N54&gt;0,M54,K54)</f>
        <v>0.0449128327103381</v>
      </c>
      <c r="L55" s="41" t="n">
        <f aca="false">IF(N54&gt;0,L54,M54)</f>
        <v>0.0449128327103424</v>
      </c>
      <c r="M55" s="41" t="n">
        <f aca="false">(K55+L55)/2</f>
        <v>0.0449128327103402</v>
      </c>
      <c r="N55" s="42" t="n">
        <f aca="false">(SUMPRODUCT((1-(M55))^('7. Cash flow'!$A$7:$A$86/4)*'7. Cash flow'!$C$7:$C$86/(1+(('3. Assumptions'!$B$6+'6. The ladder'!$B$8)))^('7. Cash flow'!$A$7:$A$86/4))+SUMPRODUCT((1-(M55))^(('7. Cash flow'!$A$7:$A$86-1)/4)*(1-(1-(M55))^0.25)*'7. Cash flow'!$D$7:$D$86/(1+(('3. Assumptions'!$B$6+'6. The ladder'!$C$8)))^('7. Cash flow'!$A$7:$A$86/4))+(1-(M55))^'3. Assumptions'!$B$9*'7. Cash flow'!$D$87/(1+(('3. Assumptions'!$B$6+'6. The ladder'!$C$8)))^'3. Assumptions'!$B$9)/(1+'3. Assumptions'!$B$14)-('2. The tape'!$C$17/'3. Assumptions'!$B$4)</f>
        <v>0</v>
      </c>
      <c r="P55" s="41" t="n">
        <f aca="false">IF(S54&gt;0,R54,P54)</f>
        <v>0.0322850348074951</v>
      </c>
      <c r="Q55" s="41" t="n">
        <f aca="false">IF(S54&gt;0,Q54,R54)</f>
        <v>0.0322850348074994</v>
      </c>
      <c r="R55" s="41" t="n">
        <f aca="false">(P55+Q55)/2</f>
        <v>0.0322850348074972</v>
      </c>
      <c r="S55" s="42" t="n">
        <f aca="false">(SUMPRODUCT((1-(R55))^('7. Cash flow'!$A$7:$A$86/4)*'7. Cash flow'!$C$7:$C$86/(1+(('3. Assumptions'!$B$6+'6. The ladder'!$B$9)))^('7. Cash flow'!$A$7:$A$86/4))+SUMPRODUCT((1-(R55))^(('7. Cash flow'!$A$7:$A$86-1)/4)*(1-(1-(R55))^0.25)*'7. Cash flow'!$D$7:$D$86/(1+(('3. Assumptions'!$B$6+'6. The ladder'!$C$9)))^('7. Cash flow'!$A$7:$A$86/4))+(1-(R55))^'3. Assumptions'!$B$9*'7. Cash flow'!$D$87/(1+(('3. Assumptions'!$B$6+'6. The ladder'!$C$9)))^'3. Assumptions'!$B$9)/(1+'3. Assumptions'!$B$14)-('2. The tape'!$C$17/'3. Assumptions'!$B$4)</f>
        <v>1.2516975402832E-006</v>
      </c>
      <c r="U55" s="41" t="n">
        <f aca="false">IF(X54&gt;0,W54,U54)</f>
        <v>0.0322850348074951</v>
      </c>
      <c r="V55" s="41" t="n">
        <f aca="false">IF(X54&gt;0,V54,W54)</f>
        <v>0.0322850348074994</v>
      </c>
      <c r="W55" s="41" t="n">
        <f aca="false">(U55+V55)/2</f>
        <v>0.0322850348074972</v>
      </c>
      <c r="X55" s="42" t="n">
        <f aca="false">(SUMPRODUCT((1-(W55))^('7. Cash flow'!$A$7:$A$86/4)*'7. Cash flow'!$C$7:$C$86/(1+('3. Assumptions'!$B$28))^('7. Cash flow'!$A$7:$A$86/4))+SUMPRODUCT((1-(W55))^(('7. Cash flow'!$A$7:$A$86-1)/4)*(1-(1-(W55))^0.25)*'7. Cash flow'!$D$7:$D$86/(1+('3. Assumptions'!$B$29))^('7. Cash flow'!$A$7:$A$86/4))+(1-(W55))^'3. Assumptions'!$B$9*'7. Cash flow'!$D$87/(1+('3. Assumptions'!$B$29))^'3. Assumptions'!$B$9)/(1+'3. Assumptions'!$B$14)-('2. The tape'!$C$17/'3. Assumptions'!$B$4)</f>
        <v>1.2516975402832E-006</v>
      </c>
      <c r="Z55" s="41" t="n">
        <f aca="false">IF(AC54&gt;0,AB54,Z54)</f>
        <v>0.00364530202843518</v>
      </c>
      <c r="AA55" s="41" t="n">
        <f aca="false">IF(AC54&gt;0,AA54,AB54)</f>
        <v>0.00364530202843767</v>
      </c>
      <c r="AB55" s="41" t="n">
        <f aca="false">(Z55+AA55)/2</f>
        <v>0.00364530202843642</v>
      </c>
      <c r="AC55" s="42" t="n">
        <f aca="false">(SUMPRODUCT((1-(('3. Assumptions'!$B$21/(1-'3. Assumptions'!$B$22))))^('7. Cash flow'!$A$7:$A$86/4)*'7. Cash flow'!$C$7:$C$86/(1+('3. Assumptions'!$B$6+AB55))^('7. Cash flow'!$A$7:$A$86/4))+SUMPRODUCT((1-(('3. Assumptions'!$B$21/(1-'3. Assumptions'!$B$22))))^(('7. Cash flow'!$A$7:$A$86-1)/4)*(1-(1-(('3. Assumptions'!$B$21/(1-'3. Assumptions'!$B$22))))^0.25)*'7. Cash flow'!$D$7:$D$86/(1+('3. Assumptions'!$B$6+AB55))^('7. Cash flow'!$A$7:$A$86/4))+(1-(('3. Assumptions'!$B$21/(1-'3. Assumptions'!$B$22))))^'3. Assumptions'!$B$9*'7. Cash flow'!$D$87/(1+('3. Assumptions'!$B$6+AB55))^'3. Assumptions'!$B$9)/(1+'3. Assumptions'!$B$14)-('2. The tape'!$C$17/'3. Assumptions'!$B$4)</f>
        <v>0</v>
      </c>
      <c r="AE55" s="41" t="n">
        <f aca="false">IF(AH54&gt;0,AG54,AE54)</f>
        <v>0.0501035708211497</v>
      </c>
      <c r="AF55" s="41" t="n">
        <f aca="false">IF(AH54&gt;0,AF54,AG54)</f>
        <v>0.0501035708211518</v>
      </c>
      <c r="AG55" s="41" t="n">
        <f aca="false">(AE55+AF55)/2</f>
        <v>0.0501035708211507</v>
      </c>
      <c r="AH55" s="42" t="n">
        <f aca="false">(SUMPRODUCT((1-(('3. Assumptions'!$B$21/(1-'3. Assumptions'!$B$22))))^('7. Cash flow'!$A$7:$A$86/4)*'7. Cash flow'!$C$7:$C$86/(1+(AG55))^('7. Cash flow'!$A$7:$A$86/4))+SUMPRODUCT((1-(('3. Assumptions'!$B$21/(1-'3. Assumptions'!$B$22))))^(('7. Cash flow'!$A$7:$A$86-1)/4)*(1-(1-(('3. Assumptions'!$B$21/(1-'3. Assumptions'!$B$22))))^0.25)*'7. Cash flow'!$D$7:$D$86/(1+(AG55))^('7. Cash flow'!$A$7:$A$86/4))+(1-(('3. Assumptions'!$B$21/(1-'3. Assumptions'!$B$22))))^'3. Assumptions'!$B$9*'7. Cash flow'!$D$87/(1+(AG55))^'3.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55" s="41" t="n">
        <f aca="false">IF(AM54&gt;0,AL54,AJ54)</f>
        <v>-0.00180680470796055</v>
      </c>
      <c r="AK55" s="41" t="n">
        <f aca="false">IF(AM54&gt;0,AK54,AL54)</f>
        <v>-0.00180680470795807</v>
      </c>
      <c r="AL55" s="41" t="n">
        <f aca="false">(AJ55+AK55)/2</f>
        <v>-0.00180680470795931</v>
      </c>
      <c r="AM55" s="42" t="n">
        <f aca="false">SUMPRODUCT((1-('3. Assumptions'!$B$21/(1-'3. Assumptions'!$B$22)))^('7. Cash flow'!$A$7:$A$26/4)*('3. Assumptions'!$B$6+'3. Assumptions'!$B$21)/4/(1+'3. Assumptions'!$B$6+AL55)^('7. Cash flow'!$A$7:$A$26/4))+SUMPRODUCT((1-('3. Assumptions'!$B$21/(1-'3. Assumptions'!$B$22)))^(('7. Cash flow'!$A$7:$A$26-1)/4)*(1-(1-('3. Assumptions'!$B$21/(1-'3. Assumptions'!$B$22)))^0.25)*'3. Assumptions'!$B$22/(1+'3. Assumptions'!$B$6+AL55)^('7. Cash flow'!$A$7:$A$26/4))+(1-('3. Assumptions'!$B$21/(1-'3. Assumptions'!$B$22)))^5/(1+'3. Assumptions'!$B$6+AL55)^5-1</f>
        <v>0</v>
      </c>
    </row>
    <row r="56" customFormat="false" ht="15" hidden="false" customHeight="false" outlineLevel="0" collapsed="false">
      <c r="A56" s="41" t="n">
        <f aca="false">IF(D55&gt;0,C55,A55)</f>
        <v>0.0702608454046746</v>
      </c>
      <c r="B56" s="41" t="n">
        <f aca="false">IF(D55&gt;0,B55,C55)</f>
        <v>0.0702608454046768</v>
      </c>
      <c r="C56" s="41" t="n">
        <f aca="false">(A56+B56)/2</f>
        <v>0.0702608454046757</v>
      </c>
      <c r="D56" s="42" t="n">
        <f aca="false">(SUMPRODUCT((1-(C56))^('7. Cash flow'!$A$7:$A$86/4)*'7. Cash flow'!$C$7:$C$86/(1+(('3. Assumptions'!$B$6+'6. The ladder'!$B$6)))^('7. Cash flow'!$A$7:$A$86/4))+SUMPRODUCT((1-(C56))^(('7. Cash flow'!$A$7:$A$86-1)/4)*(1-(1-(C56))^0.25)*'7. Cash flow'!$D$7:$D$86/(1+(('3. Assumptions'!$B$6+'6. The ladder'!$C$6)))^('7. Cash flow'!$A$7:$A$86/4))+(1-(C56))^'3. Assumptions'!$B$9*'7. Cash flow'!$D$87/(1+(('3. Assumptions'!$B$6+'6. The ladder'!$C$6)))^'3. Assumptions'!$B$9)/(1+'3. Assumptions'!$B$14)-('2. The tape'!$C$17/'3. Assumptions'!$B$4)</f>
        <v>1.04308128356934E-006</v>
      </c>
      <c r="F56" s="41" t="n">
        <f aca="false">IF(I55&gt;0,H55,F55)</f>
        <v>0.0576608620644229</v>
      </c>
      <c r="G56" s="41" t="n">
        <f aca="false">IF(I55&gt;0,G55,H55)</f>
        <v>0.0576608620644251</v>
      </c>
      <c r="H56" s="41" t="n">
        <f aca="false">(F56+G56)/2</f>
        <v>0.057660862064424</v>
      </c>
      <c r="I56" s="42" t="n">
        <f aca="false">(SUMPRODUCT((1-(H56))^('7. Cash flow'!$A$7:$A$86/4)*'7. Cash flow'!$C$7:$C$86/(1+(('3. Assumptions'!$B$6+'6. The ladder'!$B$7)))^('7. Cash flow'!$A$7:$A$86/4))+SUMPRODUCT((1-(H56))^(('7. Cash flow'!$A$7:$A$86-1)/4)*(1-(1-(H56))^0.25)*'7. Cash flow'!$D$7:$D$86/(1+(('3. Assumptions'!$B$6+'6. The ladder'!$C$7)))^('7. Cash flow'!$A$7:$A$86/4))+(1-(H56))^'3. Assumptions'!$B$9*'7. Cash flow'!$D$87/(1+(('3. Assumptions'!$B$6+'6. The ladder'!$C$7)))^'3. Assumptions'!$B$9)/(1+'3. Assumptions'!$B$14)-('2. The tape'!$C$17/'3. Assumptions'!$B$4)</f>
        <v>0</v>
      </c>
      <c r="K56" s="41" t="n">
        <f aca="false">IF(N55&gt;0,M55,K55)</f>
        <v>0.0449128327103381</v>
      </c>
      <c r="L56" s="41" t="n">
        <f aca="false">IF(N55&gt;0,L55,M55)</f>
        <v>0.0449128327103402</v>
      </c>
      <c r="M56" s="41" t="n">
        <f aca="false">(K56+L56)/2</f>
        <v>0.0449128327103392</v>
      </c>
      <c r="N56" s="42" t="n">
        <f aca="false">(SUMPRODUCT((1-(M56))^('7. Cash flow'!$A$7:$A$86/4)*'7. Cash flow'!$C$7:$C$86/(1+(('3. Assumptions'!$B$6+'6. The ladder'!$B$8)))^('7. Cash flow'!$A$7:$A$86/4))+SUMPRODUCT((1-(M56))^(('7. Cash flow'!$A$7:$A$86-1)/4)*(1-(1-(M56))^0.25)*'7. Cash flow'!$D$7:$D$86/(1+(('3. Assumptions'!$B$6+'6. The ladder'!$C$8)))^('7. Cash flow'!$A$7:$A$86/4))+(1-(M56))^'3. Assumptions'!$B$9*'7. Cash flow'!$D$87/(1+(('3. Assumptions'!$B$6+'6. The ladder'!$C$8)))^'3. Assumptions'!$B$9)/(1+'3. Assumptions'!$B$14)-('2. The tape'!$C$17/'3. Assumptions'!$B$4)</f>
        <v>1.16229057312012E-006</v>
      </c>
      <c r="P56" s="41" t="n">
        <f aca="false">IF(S55&gt;0,R55,P55)</f>
        <v>0.0322850348074972</v>
      </c>
      <c r="Q56" s="41" t="n">
        <f aca="false">IF(S55&gt;0,Q55,R55)</f>
        <v>0.0322850348074994</v>
      </c>
      <c r="R56" s="41" t="n">
        <f aca="false">(P56+Q56)/2</f>
        <v>0.0322850348074983</v>
      </c>
      <c r="S56" s="42" t="n">
        <f aca="false">(SUMPRODUCT((1-(R56))^('7. Cash flow'!$A$7:$A$86/4)*'7. Cash flow'!$C$7:$C$86/(1+(('3. Assumptions'!$B$6+'6. The ladder'!$B$9)))^('7. Cash flow'!$A$7:$A$86/4))+SUMPRODUCT((1-(R56))^(('7. Cash flow'!$A$7:$A$86-1)/4)*(1-(1-(R56))^0.25)*'7. Cash flow'!$D$7:$D$86/(1+(('3. Assumptions'!$B$6+'6. The ladder'!$C$9)))^('7. Cash flow'!$A$7:$A$86/4))+(1-(R56))^'3. Assumptions'!$B$9*'7. Cash flow'!$D$87/(1+(('3. Assumptions'!$B$6+'6. The ladder'!$C$9)))^'3. Assumptions'!$B$9)/(1+'3. Assumptions'!$B$14)-('2. The tape'!$C$17/'3. Assumptions'!$B$4)</f>
        <v>0</v>
      </c>
      <c r="U56" s="41" t="n">
        <f aca="false">IF(X55&gt;0,W55,U55)</f>
        <v>0.0322850348074972</v>
      </c>
      <c r="V56" s="41" t="n">
        <f aca="false">IF(X55&gt;0,V55,W55)</f>
        <v>0.0322850348074994</v>
      </c>
      <c r="W56" s="41" t="n">
        <f aca="false">(U56+V56)/2</f>
        <v>0.0322850348074983</v>
      </c>
      <c r="X56" s="42" t="n">
        <f aca="false">(SUMPRODUCT((1-(W56))^('7. Cash flow'!$A$7:$A$86/4)*'7. Cash flow'!$C$7:$C$86/(1+('3. Assumptions'!$B$28))^('7. Cash flow'!$A$7:$A$86/4))+SUMPRODUCT((1-(W56))^(('7. Cash flow'!$A$7:$A$86-1)/4)*(1-(1-(W56))^0.25)*'7. Cash flow'!$D$7:$D$86/(1+('3. Assumptions'!$B$29))^('7. Cash flow'!$A$7:$A$86/4))+(1-(W56))^'3. Assumptions'!$B$9*'7. Cash flow'!$D$87/(1+('3. Assumptions'!$B$29))^'3. Assumptions'!$B$9)/(1+'3. Assumptions'!$B$14)-('2. The tape'!$C$17/'3. Assumptions'!$B$4)</f>
        <v>0</v>
      </c>
      <c r="Z56" s="41" t="n">
        <f aca="false">IF(AC55&gt;0,AB55,Z55)</f>
        <v>0.00364530202843518</v>
      </c>
      <c r="AA56" s="41" t="n">
        <f aca="false">IF(AC55&gt;0,AA55,AB55)</f>
        <v>0.00364530202843642</v>
      </c>
      <c r="AB56" s="41" t="n">
        <f aca="false">(Z56+AA56)/2</f>
        <v>0.0036453020284358</v>
      </c>
      <c r="AC56" s="42" t="n">
        <f aca="false">(SUMPRODUCT((1-(('3. Assumptions'!$B$21/(1-'3. Assumptions'!$B$22))))^('7. Cash flow'!$A$7:$A$86/4)*'7. Cash flow'!$C$7:$C$86/(1+('3. Assumptions'!$B$6+AB56))^('7. Cash flow'!$A$7:$A$86/4))+SUMPRODUCT((1-(('3. Assumptions'!$B$21/(1-'3. Assumptions'!$B$22))))^(('7. Cash flow'!$A$7:$A$86-1)/4)*(1-(1-(('3. Assumptions'!$B$21/(1-'3. Assumptions'!$B$22))))^0.25)*'7. Cash flow'!$D$7:$D$86/(1+('3. Assumptions'!$B$6+AB56))^('7. Cash flow'!$A$7:$A$86/4))+(1-(('3. Assumptions'!$B$21/(1-'3. Assumptions'!$B$22))))^'3. Assumptions'!$B$9*'7. Cash flow'!$D$87/(1+('3. Assumptions'!$B$6+AB56))^'3. Assumptions'!$B$9)/(1+'3. Assumptions'!$B$14)-('2. The tape'!$C$17/'3. Assumptions'!$B$4)</f>
        <v>1.01327896118164E-006</v>
      </c>
      <c r="AE56" s="41" t="n">
        <f aca="false">IF(AH55&gt;0,AG55,AE55)</f>
        <v>0.0501035708211497</v>
      </c>
      <c r="AF56" s="41" t="n">
        <f aca="false">IF(AH55&gt;0,AF55,AG55)</f>
        <v>0.0501035708211507</v>
      </c>
      <c r="AG56" s="41" t="n">
        <f aca="false">(AE56+AF56)/2</f>
        <v>0.0501035708211502</v>
      </c>
      <c r="AH56" s="42" t="n">
        <f aca="false">(SUMPRODUCT((1-(('3. Assumptions'!$B$21/(1-'3. Assumptions'!$B$22))))^('7. Cash flow'!$A$7:$A$86/4)*'7. Cash flow'!$C$7:$C$86/(1+(AG56))^('7. Cash flow'!$A$7:$A$86/4))+SUMPRODUCT((1-(('3. Assumptions'!$B$21/(1-'3. Assumptions'!$B$22))))^(('7. Cash flow'!$A$7:$A$86-1)/4)*(1-(1-(('3. Assumptions'!$B$21/(1-'3. Assumptions'!$B$22))))^0.25)*'7. Cash flow'!$D$7:$D$86/(1+(AG56))^('7. Cash flow'!$A$7:$A$86/4))+(1-(('3. Assumptions'!$B$21/(1-'3. Assumptions'!$B$22))))^'3. Assumptions'!$B$9*'7. Cash flow'!$D$87/(1+(AG56))^'3.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1.04308128356934E-006</v>
      </c>
      <c r="AJ56" s="41" t="n">
        <f aca="false">IF(AM55&gt;0,AL55,AJ55)</f>
        <v>-0.00180680470796055</v>
      </c>
      <c r="AK56" s="41" t="n">
        <f aca="false">IF(AM55&gt;0,AK55,AL55)</f>
        <v>-0.00180680470795931</v>
      </c>
      <c r="AL56" s="41" t="n">
        <f aca="false">(AJ56+AK56)/2</f>
        <v>-0.00180680470795993</v>
      </c>
      <c r="AM56" s="42" t="n">
        <f aca="false">SUMPRODUCT((1-('3. Assumptions'!$B$21/(1-'3. Assumptions'!$B$22)))^('7. Cash flow'!$A$7:$A$26/4)*('3. Assumptions'!$B$6+'3. Assumptions'!$B$21)/4/(1+'3. Assumptions'!$B$6+AL56)^('7. Cash flow'!$A$7:$A$26/4))+SUMPRODUCT((1-('3. Assumptions'!$B$21/(1-'3. Assumptions'!$B$22)))^(('7. Cash flow'!$A$7:$A$26-1)/4)*(1-(1-('3. Assumptions'!$B$21/(1-'3. Assumptions'!$B$22)))^0.25)*'3. Assumptions'!$B$22/(1+'3. Assumptions'!$B$6+AL56)^('7. Cash flow'!$A$7:$A$26/4))+(1-('3. Assumptions'!$B$21/(1-'3. Assumptions'!$B$22)))^5/(1+'3. Assumptions'!$B$6+AL56)^5-1</f>
        <v>5.77315972805081E-015</v>
      </c>
    </row>
    <row r="57" customFormat="false" ht="15" hidden="false" customHeight="false" outlineLevel="0" collapsed="false">
      <c r="A57" s="41" t="n">
        <f aca="false">IF(D56&gt;0,C56,A56)</f>
        <v>0.0702608454046757</v>
      </c>
      <c r="B57" s="41" t="n">
        <f aca="false">IF(D56&gt;0,B56,C56)</f>
        <v>0.0702608454046768</v>
      </c>
      <c r="C57" s="41" t="n">
        <f aca="false">(A57+B57)/2</f>
        <v>0.0702608454046763</v>
      </c>
      <c r="D57" s="42" t="n">
        <f aca="false">(SUMPRODUCT((1-(C57))^('7. Cash flow'!$A$7:$A$86/4)*'7. Cash flow'!$C$7:$C$86/(1+(('3. Assumptions'!$B$6+'6. The ladder'!$B$6)))^('7. Cash flow'!$A$7:$A$86/4))+SUMPRODUCT((1-(C57))^(('7. Cash flow'!$A$7:$A$86-1)/4)*(1-(1-(C57))^0.25)*'7. Cash flow'!$D$7:$D$86/(1+(('3. Assumptions'!$B$6+'6. The ladder'!$C$6)))^('7. Cash flow'!$A$7:$A$86/4))+(1-(C57))^'3. Assumptions'!$B$9*'7. Cash flow'!$D$87/(1+(('3. Assumptions'!$B$6+'6. The ladder'!$C$6)))^'3. Assumptions'!$B$9)/(1+'3. Assumptions'!$B$14)-('2. The tape'!$C$17/'3. Assumptions'!$B$4)</f>
        <v>7.74860382080078E-007</v>
      </c>
      <c r="F57" s="41" t="n">
        <f aca="false">IF(I56&gt;0,H56,F56)</f>
        <v>0.0576608620644229</v>
      </c>
      <c r="G57" s="41" t="n">
        <f aca="false">IF(I56&gt;0,G56,H56)</f>
        <v>0.057660862064424</v>
      </c>
      <c r="H57" s="41" t="n">
        <f aca="false">(F57+G57)/2</f>
        <v>0.0576608620644235</v>
      </c>
      <c r="I57" s="42" t="n">
        <f aca="false">(SUMPRODUCT((1-(H57))^('7. Cash flow'!$A$7:$A$86/4)*'7. Cash flow'!$C$7:$C$86/(1+(('3. Assumptions'!$B$6+'6. The ladder'!$B$7)))^('7. Cash flow'!$A$7:$A$86/4))+SUMPRODUCT((1-(H57))^(('7. Cash flow'!$A$7:$A$86-1)/4)*(1-(1-(H57))^0.25)*'7. Cash flow'!$D$7:$D$86/(1+(('3. Assumptions'!$B$6+'6. The ladder'!$C$7)))^('7. Cash flow'!$A$7:$A$86/4))+(1-(H57))^'3. Assumptions'!$B$9*'7. Cash flow'!$D$87/(1+(('3. Assumptions'!$B$6+'6. The ladder'!$C$7)))^'3. Assumptions'!$B$9)/(1+'3. Assumptions'!$B$14)-('2. The tape'!$C$17/'3. Assumptions'!$B$4)</f>
        <v>0</v>
      </c>
      <c r="K57" s="41" t="n">
        <f aca="false">IF(N56&gt;0,M56,K56)</f>
        <v>0.0449128327103392</v>
      </c>
      <c r="L57" s="41" t="n">
        <f aca="false">IF(N56&gt;0,L56,M56)</f>
        <v>0.0449128327103402</v>
      </c>
      <c r="M57" s="41" t="n">
        <f aca="false">(K57+L57)/2</f>
        <v>0.0449128327103397</v>
      </c>
      <c r="N57" s="42" t="n">
        <f aca="false">(SUMPRODUCT((1-(M57))^('7. Cash flow'!$A$7:$A$86/4)*'7. Cash flow'!$C$7:$C$86/(1+(('3. Assumptions'!$B$6+'6. The ladder'!$B$8)))^('7. Cash flow'!$A$7:$A$86/4))+SUMPRODUCT((1-(M57))^(('7. Cash flow'!$A$7:$A$86-1)/4)*(1-(1-(M57))^0.25)*'7. Cash flow'!$D$7:$D$86/(1+(('3. Assumptions'!$B$6+'6. The ladder'!$C$8)))^('7. Cash flow'!$A$7:$A$86/4))+(1-(M57))^'3. Assumptions'!$B$9*'7. Cash flow'!$D$87/(1+(('3. Assumptions'!$B$6+'6. The ladder'!$C$8)))^'3. Assumptions'!$B$9)/(1+'3. Assumptions'!$B$14)-('2. The tape'!$C$17/'3. Assumptions'!$B$4)</f>
        <v>8.04662704467773E-007</v>
      </c>
      <c r="P57" s="41" t="n">
        <f aca="false">IF(S56&gt;0,R56,P56)</f>
        <v>0.0322850348074972</v>
      </c>
      <c r="Q57" s="41" t="n">
        <f aca="false">IF(S56&gt;0,Q56,R56)</f>
        <v>0.0322850348074983</v>
      </c>
      <c r="R57" s="41" t="n">
        <f aca="false">(P57+Q57)/2</f>
        <v>0.0322850348074978</v>
      </c>
      <c r="S57" s="42" t="n">
        <f aca="false">(SUMPRODUCT((1-(R57))^('7. Cash flow'!$A$7:$A$86/4)*'7. Cash flow'!$C$7:$C$86/(1+(('3. Assumptions'!$B$6+'6. The ladder'!$B$9)))^('7. Cash flow'!$A$7:$A$86/4))+SUMPRODUCT((1-(R57))^(('7. Cash flow'!$A$7:$A$86-1)/4)*(1-(1-(R57))^0.25)*'7. Cash flow'!$D$7:$D$86/(1+(('3. Assumptions'!$B$6+'6. The ladder'!$C$9)))^('7. Cash flow'!$A$7:$A$86/4))+(1-(R57))^'3. Assumptions'!$B$9*'7. Cash flow'!$D$87/(1+(('3. Assumptions'!$B$6+'6. The ladder'!$C$9)))^'3. Assumptions'!$B$9)/(1+'3. Assumptions'!$B$14)-('2. The tape'!$C$17/'3. Assumptions'!$B$4)</f>
        <v>9.23871994018555E-007</v>
      </c>
      <c r="U57" s="41" t="n">
        <f aca="false">IF(X56&gt;0,W56,U56)</f>
        <v>0.0322850348074972</v>
      </c>
      <c r="V57" s="41" t="n">
        <f aca="false">IF(X56&gt;0,V56,W56)</f>
        <v>0.0322850348074983</v>
      </c>
      <c r="W57" s="41" t="n">
        <f aca="false">(U57+V57)/2</f>
        <v>0.0322850348074978</v>
      </c>
      <c r="X57" s="42" t="n">
        <f aca="false">(SUMPRODUCT((1-(W57))^('7. Cash flow'!$A$7:$A$86/4)*'7. Cash flow'!$C$7:$C$86/(1+('3. Assumptions'!$B$28))^('7. Cash flow'!$A$7:$A$86/4))+SUMPRODUCT((1-(W57))^(('7. Cash flow'!$A$7:$A$86-1)/4)*(1-(1-(W57))^0.25)*'7. Cash flow'!$D$7:$D$86/(1+('3. Assumptions'!$B$29))^('7. Cash flow'!$A$7:$A$86/4))+(1-(W57))^'3. Assumptions'!$B$9*'7. Cash flow'!$D$87/(1+('3. Assumptions'!$B$29))^'3. Assumptions'!$B$9)/(1+'3. Assumptions'!$B$14)-('2. The tape'!$C$17/'3. Assumptions'!$B$4)</f>
        <v>9.23871994018555E-007</v>
      </c>
      <c r="Z57" s="41" t="n">
        <f aca="false">IF(AC56&gt;0,AB56,Z56)</f>
        <v>0.0036453020284358</v>
      </c>
      <c r="AA57" s="41" t="n">
        <f aca="false">IF(AC56&gt;0,AA56,AB56)</f>
        <v>0.00364530202843642</v>
      </c>
      <c r="AB57" s="41" t="n">
        <f aca="false">(Z57+AA57)/2</f>
        <v>0.00364530202843611</v>
      </c>
      <c r="AC57" s="42" t="n">
        <f aca="false">(SUMPRODUCT((1-(('3. Assumptions'!$B$21/(1-'3. Assumptions'!$B$22))))^('7. Cash flow'!$A$7:$A$86/4)*'7. Cash flow'!$C$7:$C$86/(1+('3. Assumptions'!$B$6+AB57))^('7. Cash flow'!$A$7:$A$86/4))+SUMPRODUCT((1-(('3. Assumptions'!$B$21/(1-'3. Assumptions'!$B$22))))^(('7. Cash flow'!$A$7:$A$86-1)/4)*(1-(1-(('3. Assumptions'!$B$21/(1-'3. Assumptions'!$B$22))))^0.25)*'7. Cash flow'!$D$7:$D$86/(1+('3. Assumptions'!$B$6+AB57))^('7. Cash flow'!$A$7:$A$86/4))+(1-(('3. Assumptions'!$B$21/(1-'3. Assumptions'!$B$22))))^'3. Assumptions'!$B$9*'7. Cash flow'!$D$87/(1+('3. Assumptions'!$B$6+AB57))^'3. Assumptions'!$B$9)/(1+'3. Assumptions'!$B$14)-('2. The tape'!$C$17/'3. Assumptions'!$B$4)</f>
        <v>0</v>
      </c>
      <c r="AE57" s="41" t="n">
        <f aca="false">IF(AH56&gt;0,AG56,AE56)</f>
        <v>0.0501035708211502</v>
      </c>
      <c r="AF57" s="41" t="n">
        <f aca="false">IF(AH56&gt;0,AF56,AG56)</f>
        <v>0.0501035708211507</v>
      </c>
      <c r="AG57" s="41" t="n">
        <f aca="false">(AE57+AF57)/2</f>
        <v>0.0501035708211505</v>
      </c>
      <c r="AH57" s="42" t="n">
        <f aca="false">(SUMPRODUCT((1-(('3. Assumptions'!$B$21/(1-'3. Assumptions'!$B$22))))^('7. Cash flow'!$A$7:$A$86/4)*'7. Cash flow'!$C$7:$C$86/(1+(AG57))^('7. Cash flow'!$A$7:$A$86/4))+SUMPRODUCT((1-(('3. Assumptions'!$B$21/(1-'3. Assumptions'!$B$22))))^(('7. Cash flow'!$A$7:$A$86-1)/4)*(1-(1-(('3. Assumptions'!$B$21/(1-'3. Assumptions'!$B$22))))^0.25)*'7. Cash flow'!$D$7:$D$86/(1+(AG57))^('7. Cash flow'!$A$7:$A$86/4))+(1-(('3. Assumptions'!$B$21/(1-'3. Assumptions'!$B$22))))^'3. Assumptions'!$B$9*'7. Cash flow'!$D$87/(1+(AG57))^'3.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57" s="41" t="n">
        <f aca="false">IF(AM56&gt;0,AL56,AJ56)</f>
        <v>-0.00180680470795993</v>
      </c>
      <c r="AK57" s="41" t="n">
        <f aca="false">IF(AM56&gt;0,AK56,AL56)</f>
        <v>-0.00180680470795931</v>
      </c>
      <c r="AL57" s="41" t="n">
        <f aca="false">(AJ57+AK57)/2</f>
        <v>-0.00180680470795962</v>
      </c>
      <c r="AM57" s="42" t="n">
        <f aca="false">SUMPRODUCT((1-('3. Assumptions'!$B$21/(1-'3. Assumptions'!$B$22)))^('7. Cash flow'!$A$7:$A$26/4)*('3. Assumptions'!$B$6+'3. Assumptions'!$B$21)/4/(1+'3. Assumptions'!$B$6+AL57)^('7. Cash flow'!$A$7:$A$26/4))+SUMPRODUCT((1-('3. Assumptions'!$B$21/(1-'3. Assumptions'!$B$22)))^(('7. Cash flow'!$A$7:$A$26-1)/4)*(1-(1-('3. Assumptions'!$B$21/(1-'3. Assumptions'!$B$22)))^0.25)*'3. Assumptions'!$B$22/(1+'3. Assumptions'!$B$6+AL57)^('7. Cash flow'!$A$7:$A$26/4))+(1-('3. Assumptions'!$B$21/(1-'3. Assumptions'!$B$22)))^5/(1+'3. Assumptions'!$B$6+AL57)^5-1</f>
        <v>4.2188474935756E-015</v>
      </c>
    </row>
    <row r="58" customFormat="false" ht="15" hidden="false" customHeight="false" outlineLevel="0" collapsed="false">
      <c r="A58" s="41" t="n">
        <f aca="false">IF(D57&gt;0,C57,A57)</f>
        <v>0.0702608454046763</v>
      </c>
      <c r="B58" s="41" t="n">
        <f aca="false">IF(D57&gt;0,B57,C57)</f>
        <v>0.0702608454046768</v>
      </c>
      <c r="C58" s="41" t="n">
        <f aca="false">(A58+B58)/2</f>
        <v>0.0702608454046765</v>
      </c>
      <c r="D58" s="42" t="n">
        <f aca="false">(SUMPRODUCT((1-(C58))^('7. Cash flow'!$A$7:$A$86/4)*'7. Cash flow'!$C$7:$C$86/(1+(('3. Assumptions'!$B$6+'6. The ladder'!$B$6)))^('7. Cash flow'!$A$7:$A$86/4))+SUMPRODUCT((1-(C58))^(('7. Cash flow'!$A$7:$A$86-1)/4)*(1-(1-(C58))^0.25)*'7. Cash flow'!$D$7:$D$86/(1+(('3. Assumptions'!$B$6+'6. The ladder'!$C$6)))^('7. Cash flow'!$A$7:$A$86/4))+(1-(C58))^'3. Assumptions'!$B$9*'7. Cash flow'!$D$87/(1+(('3. Assumptions'!$B$6+'6. The ladder'!$C$6)))^'3. Assumptions'!$B$9)/(1+'3. Assumptions'!$B$14)-('2. The tape'!$C$17/'3. Assumptions'!$B$4)</f>
        <v>0</v>
      </c>
      <c r="F58" s="41" t="n">
        <f aca="false">IF(I57&gt;0,H57,F57)</f>
        <v>0.0576608620644229</v>
      </c>
      <c r="G58" s="41" t="n">
        <f aca="false">IF(I57&gt;0,G57,H57)</f>
        <v>0.0576608620644235</v>
      </c>
      <c r="H58" s="41" t="n">
        <f aca="false">(F58+G58)/2</f>
        <v>0.0576608620644232</v>
      </c>
      <c r="I58" s="42" t="n">
        <f aca="false">(SUMPRODUCT((1-(H58))^('7. Cash flow'!$A$7:$A$86/4)*'7. Cash flow'!$C$7:$C$86/(1+(('3. Assumptions'!$B$6+'6. The ladder'!$B$7)))^('7. Cash flow'!$A$7:$A$86/4))+SUMPRODUCT((1-(H58))^(('7. Cash flow'!$A$7:$A$86-1)/4)*(1-(1-(H58))^0.25)*'7. Cash flow'!$D$7:$D$86/(1+(('3. Assumptions'!$B$6+'6. The ladder'!$C$7)))^('7. Cash flow'!$A$7:$A$86/4))+(1-(H58))^'3. Assumptions'!$B$9*'7. Cash flow'!$D$87/(1+(('3. Assumptions'!$B$6+'6. The ladder'!$C$7)))^'3. Assumptions'!$B$9)/(1+'3. Assumptions'!$B$14)-('2. The tape'!$C$17/'3. Assumptions'!$B$4)</f>
        <v>0</v>
      </c>
      <c r="K58" s="41" t="n">
        <f aca="false">IF(N57&gt;0,M57,K57)</f>
        <v>0.0449128327103397</v>
      </c>
      <c r="L58" s="41" t="n">
        <f aca="false">IF(N57&gt;0,L57,M57)</f>
        <v>0.0449128327103402</v>
      </c>
      <c r="M58" s="41" t="n">
        <f aca="false">(K58+L58)/2</f>
        <v>0.04491283271034</v>
      </c>
      <c r="N58" s="42" t="n">
        <f aca="false">(SUMPRODUCT((1-(M58))^('7. Cash flow'!$A$7:$A$86/4)*'7. Cash flow'!$C$7:$C$86/(1+(('3. Assumptions'!$B$6+'6. The ladder'!$B$8)))^('7. Cash flow'!$A$7:$A$86/4))+SUMPRODUCT((1-(M58))^(('7. Cash flow'!$A$7:$A$86-1)/4)*(1-(1-(M58))^0.25)*'7. Cash flow'!$D$7:$D$86/(1+(('3. Assumptions'!$B$6+'6. The ladder'!$C$8)))^('7. Cash flow'!$A$7:$A$86/4))+(1-(M58))^'3. Assumptions'!$B$9*'7. Cash flow'!$D$87/(1+(('3. Assumptions'!$B$6+'6. The ladder'!$C$8)))^'3. Assumptions'!$B$9)/(1+'3. Assumptions'!$B$14)-('2. The tape'!$C$17/'3. Assumptions'!$B$4)</f>
        <v>0</v>
      </c>
      <c r="P58" s="41" t="n">
        <f aca="false">IF(S57&gt;0,R57,P57)</f>
        <v>0.0322850348074978</v>
      </c>
      <c r="Q58" s="41" t="n">
        <f aca="false">IF(S57&gt;0,Q57,R57)</f>
        <v>0.0322850348074983</v>
      </c>
      <c r="R58" s="41" t="n">
        <f aca="false">(P58+Q58)/2</f>
        <v>0.032285034807498</v>
      </c>
      <c r="S58" s="42" t="n">
        <f aca="false">(SUMPRODUCT((1-(R58))^('7. Cash flow'!$A$7:$A$86/4)*'7. Cash flow'!$C$7:$C$86/(1+(('3. Assumptions'!$B$6+'6. The ladder'!$B$9)))^('7. Cash flow'!$A$7:$A$86/4))+SUMPRODUCT((1-(R58))^(('7. Cash flow'!$A$7:$A$86-1)/4)*(1-(1-(R58))^0.25)*'7. Cash flow'!$D$7:$D$86/(1+(('3. Assumptions'!$B$6+'6. The ladder'!$C$9)))^('7. Cash flow'!$A$7:$A$86/4))+(1-(R58))^'3. Assumptions'!$B$9*'7. Cash flow'!$D$87/(1+(('3. Assumptions'!$B$6+'6. The ladder'!$C$9)))^'3. Assumptions'!$B$9)/(1+'3. Assumptions'!$B$14)-('2. The tape'!$C$17/'3. Assumptions'!$B$4)</f>
        <v>0</v>
      </c>
      <c r="U58" s="41" t="n">
        <f aca="false">IF(X57&gt;0,W57,U57)</f>
        <v>0.0322850348074978</v>
      </c>
      <c r="V58" s="41" t="n">
        <f aca="false">IF(X57&gt;0,V57,W57)</f>
        <v>0.0322850348074983</v>
      </c>
      <c r="W58" s="41" t="n">
        <f aca="false">(U58+V58)/2</f>
        <v>0.032285034807498</v>
      </c>
      <c r="X58" s="42" t="n">
        <f aca="false">(SUMPRODUCT((1-(W58))^('7. Cash flow'!$A$7:$A$86/4)*'7. Cash flow'!$C$7:$C$86/(1+('3. Assumptions'!$B$28))^('7. Cash flow'!$A$7:$A$86/4))+SUMPRODUCT((1-(W58))^(('7. Cash flow'!$A$7:$A$86-1)/4)*(1-(1-(W58))^0.25)*'7. Cash flow'!$D$7:$D$86/(1+('3. Assumptions'!$B$29))^('7. Cash flow'!$A$7:$A$86/4))+(1-(W58))^'3. Assumptions'!$B$9*'7. Cash flow'!$D$87/(1+('3. Assumptions'!$B$29))^'3. Assumptions'!$B$9)/(1+'3. Assumptions'!$B$14)-('2. The tape'!$C$17/'3. Assumptions'!$B$4)</f>
        <v>0</v>
      </c>
      <c r="Z58" s="41" t="n">
        <f aca="false">IF(AC57&gt;0,AB57,Z57)</f>
        <v>0.0036453020284358</v>
      </c>
      <c r="AA58" s="41" t="n">
        <f aca="false">IF(AC57&gt;0,AA57,AB57)</f>
        <v>0.00364530202843611</v>
      </c>
      <c r="AB58" s="41" t="n">
        <f aca="false">(Z58+AA58)/2</f>
        <v>0.00364530202843596</v>
      </c>
      <c r="AC58" s="42" t="n">
        <f aca="false">(SUMPRODUCT((1-(('3. Assumptions'!$B$21/(1-'3. Assumptions'!$B$22))))^('7. Cash flow'!$A$7:$A$86/4)*'7. Cash flow'!$C$7:$C$86/(1+('3. Assumptions'!$B$6+AB58))^('7. Cash flow'!$A$7:$A$86/4))+SUMPRODUCT((1-(('3. Assumptions'!$B$21/(1-'3. Assumptions'!$B$22))))^(('7. Cash flow'!$A$7:$A$86-1)/4)*(1-(1-(('3. Assumptions'!$B$21/(1-'3. Assumptions'!$B$22))))^0.25)*'7. Cash flow'!$D$7:$D$86/(1+('3. Assumptions'!$B$6+AB58))^('7. Cash flow'!$A$7:$A$86/4))+(1-(('3. Assumptions'!$B$21/(1-'3. Assumptions'!$B$22))))^'3. Assumptions'!$B$9*'7. Cash flow'!$D$87/(1+('3. Assumptions'!$B$6+AB58))^'3. Assumptions'!$B$9)/(1+'3. Assumptions'!$B$14)-('2. The tape'!$C$17/'3. Assumptions'!$B$4)</f>
        <v>6.85453414916992E-007</v>
      </c>
      <c r="AE58" s="41" t="n">
        <f aca="false">IF(AH57&gt;0,AG57,AE57)</f>
        <v>0.0501035708211505</v>
      </c>
      <c r="AF58" s="41" t="n">
        <f aca="false">IF(AH57&gt;0,AF57,AG57)</f>
        <v>0.0501035708211507</v>
      </c>
      <c r="AG58" s="41" t="n">
        <f aca="false">(AE58+AF58)/2</f>
        <v>0.0501035708211506</v>
      </c>
      <c r="AH58" s="42" t="n">
        <f aca="false">(SUMPRODUCT((1-(('3. Assumptions'!$B$21/(1-'3. Assumptions'!$B$22))))^('7. Cash flow'!$A$7:$A$86/4)*'7. Cash flow'!$C$7:$C$86/(1+(AG58))^('7. Cash flow'!$A$7:$A$86/4))+SUMPRODUCT((1-(('3. Assumptions'!$B$21/(1-'3. Assumptions'!$B$22))))^(('7. Cash flow'!$A$7:$A$86-1)/4)*(1-(1-(('3. Assumptions'!$B$21/(1-'3. Assumptions'!$B$22))))^0.25)*'7. Cash flow'!$D$7:$D$86/(1+(AG58))^('7. Cash flow'!$A$7:$A$86/4))+(1-(('3. Assumptions'!$B$21/(1-'3. Assumptions'!$B$22))))^'3. Assumptions'!$B$9*'7. Cash flow'!$D$87/(1+(AG58))^'3.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58" s="41" t="n">
        <f aca="false">IF(AM57&gt;0,AL57,AJ57)</f>
        <v>-0.00180680470795962</v>
      </c>
      <c r="AK58" s="41" t="n">
        <f aca="false">IF(AM57&gt;0,AK57,AL57)</f>
        <v>-0.00180680470795931</v>
      </c>
      <c r="AL58" s="41" t="n">
        <f aca="false">(AJ58+AK58)/2</f>
        <v>-0.00180680470795947</v>
      </c>
      <c r="AM58" s="42" t="n">
        <f aca="false">SUMPRODUCT((1-('3. Assumptions'!$B$21/(1-'3. Assumptions'!$B$22)))^('7. Cash flow'!$A$7:$A$26/4)*('3. Assumptions'!$B$6+'3. Assumptions'!$B$21)/4/(1+'3. Assumptions'!$B$6+AL58)^('7. Cash flow'!$A$7:$A$26/4))+SUMPRODUCT((1-('3. Assumptions'!$B$21/(1-'3. Assumptions'!$B$22)))^(('7. Cash flow'!$A$7:$A$26-1)/4)*(1-(1-('3. Assumptions'!$B$21/(1-'3. Assumptions'!$B$22)))^0.25)*'3. Assumptions'!$B$22/(1+'3. Assumptions'!$B$6+AL58)^('7. Cash flow'!$A$7:$A$26/4))+(1-('3. Assumptions'!$B$21/(1-'3. Assumptions'!$B$22)))^5/(1+'3. Assumptions'!$B$6+AL58)^5-1</f>
        <v>4.2188474935756E-015</v>
      </c>
    </row>
    <row r="59" customFormat="false" ht="15" hidden="false" customHeight="false" outlineLevel="0" collapsed="false">
      <c r="A59" s="41" t="n">
        <f aca="false">IF(D58&gt;0,C58,A58)</f>
        <v>0.0702608454046763</v>
      </c>
      <c r="B59" s="41" t="n">
        <f aca="false">IF(D58&gt;0,B58,C58)</f>
        <v>0.0702608454046765</v>
      </c>
      <c r="C59" s="41" t="n">
        <f aca="false">(A59+B59)/2</f>
        <v>0.0702608454046764</v>
      </c>
      <c r="D59" s="42" t="n">
        <f aca="false">(SUMPRODUCT((1-(C59))^('7. Cash flow'!$A$7:$A$86/4)*'7. Cash flow'!$C$7:$C$86/(1+(('3. Assumptions'!$B$6+'6. The ladder'!$B$6)))^('7. Cash flow'!$A$7:$A$86/4))+SUMPRODUCT((1-(C59))^(('7. Cash flow'!$A$7:$A$86-1)/4)*(1-(1-(C59))^0.25)*'7. Cash flow'!$D$7:$D$86/(1+(('3. Assumptions'!$B$6+'6. The ladder'!$C$6)))^('7. Cash flow'!$A$7:$A$86/4))+(1-(C59))^'3. Assumptions'!$B$9*'7. Cash flow'!$D$87/(1+(('3. Assumptions'!$B$6+'6. The ladder'!$C$6)))^'3. Assumptions'!$B$9)/(1+'3. Assumptions'!$B$14)-('2. The tape'!$C$17/'3. Assumptions'!$B$4)</f>
        <v>0</v>
      </c>
      <c r="F59" s="41" t="n">
        <f aca="false">IF(I58&gt;0,H58,F58)</f>
        <v>0.0576608620644229</v>
      </c>
      <c r="G59" s="41" t="n">
        <f aca="false">IF(I58&gt;0,G58,H58)</f>
        <v>0.0576608620644232</v>
      </c>
      <c r="H59" s="41" t="n">
        <f aca="false">(F59+G59)/2</f>
        <v>0.0576608620644231</v>
      </c>
      <c r="I59" s="42" t="n">
        <f aca="false">(SUMPRODUCT((1-(H59))^('7. Cash flow'!$A$7:$A$86/4)*'7. Cash flow'!$C$7:$C$86/(1+(('3. Assumptions'!$B$6+'6. The ladder'!$B$7)))^('7. Cash flow'!$A$7:$A$86/4))+SUMPRODUCT((1-(H59))^(('7. Cash flow'!$A$7:$A$86-1)/4)*(1-(1-(H59))^0.25)*'7. Cash flow'!$D$7:$D$86/(1+(('3. Assumptions'!$B$6+'6. The ladder'!$C$7)))^('7. Cash flow'!$A$7:$A$86/4))+(1-(H59))^'3. Assumptions'!$B$9*'7. Cash flow'!$D$87/(1+(('3. Assumptions'!$B$6+'6. The ladder'!$C$7)))^'3. Assumptions'!$B$9)/(1+'3. Assumptions'!$B$14)-('2. The tape'!$C$17/'3. Assumptions'!$B$4)</f>
        <v>0</v>
      </c>
      <c r="K59" s="41" t="n">
        <f aca="false">IF(N58&gt;0,M58,K58)</f>
        <v>0.0449128327103397</v>
      </c>
      <c r="L59" s="41" t="n">
        <f aca="false">IF(N58&gt;0,L58,M58)</f>
        <v>0.04491283271034</v>
      </c>
      <c r="M59" s="41" t="n">
        <f aca="false">(K59+L59)/2</f>
        <v>0.0449128327103398</v>
      </c>
      <c r="N59" s="42" t="n">
        <f aca="false">(SUMPRODUCT((1-(M59))^('7. Cash flow'!$A$7:$A$86/4)*'7. Cash flow'!$C$7:$C$86/(1+(('3. Assumptions'!$B$6+'6. The ladder'!$B$8)))^('7. Cash flow'!$A$7:$A$86/4))+SUMPRODUCT((1-(M59))^(('7. Cash flow'!$A$7:$A$86-1)/4)*(1-(1-(M59))^0.25)*'7. Cash flow'!$D$7:$D$86/(1+(('3. Assumptions'!$B$6+'6. The ladder'!$C$8)))^('7. Cash flow'!$A$7:$A$86/4))+(1-(M59))^'3. Assumptions'!$B$9*'7. Cash flow'!$D$87/(1+(('3. Assumptions'!$B$6+'6. The ladder'!$C$8)))^'3. Assumptions'!$B$9)/(1+'3. Assumptions'!$B$14)-('2. The tape'!$C$17/'3. Assumptions'!$B$4)</f>
        <v>0</v>
      </c>
      <c r="P59" s="41" t="n">
        <f aca="false">IF(S58&gt;0,R58,P58)</f>
        <v>0.0322850348074978</v>
      </c>
      <c r="Q59" s="41" t="n">
        <f aca="false">IF(S58&gt;0,Q58,R58)</f>
        <v>0.032285034807498</v>
      </c>
      <c r="R59" s="41" t="n">
        <f aca="false">(P59+Q59)/2</f>
        <v>0.0322850348074979</v>
      </c>
      <c r="S59" s="42" t="n">
        <f aca="false">(SUMPRODUCT((1-(R59))^('7. Cash flow'!$A$7:$A$86/4)*'7. Cash flow'!$C$7:$C$86/(1+(('3. Assumptions'!$B$6+'6. The ladder'!$B$9)))^('7. Cash flow'!$A$7:$A$86/4))+SUMPRODUCT((1-(R59))^(('7. Cash flow'!$A$7:$A$86-1)/4)*(1-(1-(R59))^0.25)*'7. Cash flow'!$D$7:$D$86/(1+(('3. Assumptions'!$B$6+'6. The ladder'!$C$9)))^('7. Cash flow'!$A$7:$A$86/4))+(1-(R59))^'3. Assumptions'!$B$9*'7. Cash flow'!$D$87/(1+(('3. Assumptions'!$B$6+'6. The ladder'!$C$9)))^'3. Assumptions'!$B$9)/(1+'3. Assumptions'!$B$14)-('2. The tape'!$C$17/'3. Assumptions'!$B$4)</f>
        <v>7.45058059692383E-007</v>
      </c>
      <c r="U59" s="41" t="n">
        <f aca="false">IF(X58&gt;0,W58,U58)</f>
        <v>0.0322850348074978</v>
      </c>
      <c r="V59" s="41" t="n">
        <f aca="false">IF(X58&gt;0,V58,W58)</f>
        <v>0.032285034807498</v>
      </c>
      <c r="W59" s="41" t="n">
        <f aca="false">(U59+V59)/2</f>
        <v>0.0322850348074979</v>
      </c>
      <c r="X59" s="42" t="n">
        <f aca="false">(SUMPRODUCT((1-(W59))^('7. Cash flow'!$A$7:$A$86/4)*'7. Cash flow'!$C$7:$C$86/(1+('3. Assumptions'!$B$28))^('7. Cash flow'!$A$7:$A$86/4))+SUMPRODUCT((1-(W59))^(('7. Cash flow'!$A$7:$A$86-1)/4)*(1-(1-(W59))^0.25)*'7. Cash flow'!$D$7:$D$86/(1+('3. Assumptions'!$B$29))^('7. Cash flow'!$A$7:$A$86/4))+(1-(W59))^'3. Assumptions'!$B$9*'7. Cash flow'!$D$87/(1+('3. Assumptions'!$B$29))^'3. Assumptions'!$B$9)/(1+'3. Assumptions'!$B$14)-('2. The tape'!$C$17/'3. Assumptions'!$B$4)</f>
        <v>7.45058059692383E-007</v>
      </c>
      <c r="Z59" s="41" t="n">
        <f aca="false">IF(AC58&gt;0,AB58,Z58)</f>
        <v>0.00364530202843596</v>
      </c>
      <c r="AA59" s="41" t="n">
        <f aca="false">IF(AC58&gt;0,AA58,AB58)</f>
        <v>0.00364530202843611</v>
      </c>
      <c r="AB59" s="41" t="n">
        <f aca="false">(Z59+AA59)/2</f>
        <v>0.00364530202843604</v>
      </c>
      <c r="AC59" s="42" t="n">
        <f aca="false">(SUMPRODUCT((1-(('3. Assumptions'!$B$21/(1-'3. Assumptions'!$B$22))))^('7. Cash flow'!$A$7:$A$86/4)*'7. Cash flow'!$C$7:$C$86/(1+('3. Assumptions'!$B$6+AB59))^('7. Cash flow'!$A$7:$A$86/4))+SUMPRODUCT((1-(('3. Assumptions'!$B$21/(1-'3. Assumptions'!$B$22))))^(('7. Cash flow'!$A$7:$A$86-1)/4)*(1-(1-(('3. Assumptions'!$B$21/(1-'3. Assumptions'!$B$22))))^0.25)*'7. Cash flow'!$D$7:$D$86/(1+('3. Assumptions'!$B$6+AB59))^('7. Cash flow'!$A$7:$A$86/4))+(1-(('3. Assumptions'!$B$21/(1-'3. Assumptions'!$B$22))))^'3. Assumptions'!$B$9*'7. Cash flow'!$D$87/(1+('3. Assumptions'!$B$6+AB59))^'3. Assumptions'!$B$9)/(1+'3. Assumptions'!$B$14)-('2. The tape'!$C$17/'3. Assumptions'!$B$4)</f>
        <v>6.85453414916992E-007</v>
      </c>
      <c r="AE59" s="41" t="n">
        <f aca="false">IF(AH58&gt;0,AG58,AE58)</f>
        <v>0.0501035708211505</v>
      </c>
      <c r="AF59" s="41" t="n">
        <f aca="false">IF(AH58&gt;0,AF58,AG58)</f>
        <v>0.0501035708211506</v>
      </c>
      <c r="AG59" s="41" t="n">
        <f aca="false">(AE59+AF59)/2</f>
        <v>0.0501035708211505</v>
      </c>
      <c r="AH59" s="42" t="n">
        <f aca="false">(SUMPRODUCT((1-(('3. Assumptions'!$B$21/(1-'3. Assumptions'!$B$22))))^('7. Cash flow'!$A$7:$A$86/4)*'7. Cash flow'!$C$7:$C$86/(1+(AG59))^('7. Cash flow'!$A$7:$A$86/4))+SUMPRODUCT((1-(('3. Assumptions'!$B$21/(1-'3. Assumptions'!$B$22))))^(('7. Cash flow'!$A$7:$A$86-1)/4)*(1-(1-(('3. Assumptions'!$B$21/(1-'3. Assumptions'!$B$22))))^0.25)*'7. Cash flow'!$D$7:$D$86/(1+(AG59))^('7. Cash flow'!$A$7:$A$86/4))+(1-(('3. Assumptions'!$B$21/(1-'3. Assumptions'!$B$22))))^'3. Assumptions'!$B$9*'7. Cash flow'!$D$87/(1+(AG59))^'3.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59" s="41" t="n">
        <f aca="false">IF(AM58&gt;0,AL58,AJ58)</f>
        <v>-0.00180680470795947</v>
      </c>
      <c r="AK59" s="41" t="n">
        <f aca="false">IF(AM58&gt;0,AK58,AL58)</f>
        <v>-0.00180680470795931</v>
      </c>
      <c r="AL59" s="41" t="n">
        <f aca="false">(AJ59+AK59)/2</f>
        <v>-0.00180680470795939</v>
      </c>
      <c r="AM59" s="42" t="n">
        <f aca="false">SUMPRODUCT((1-('3. Assumptions'!$B$21/(1-'3. Assumptions'!$B$22)))^('7. Cash flow'!$A$7:$A$26/4)*('3. Assumptions'!$B$6+'3. Assumptions'!$B$21)/4/(1+'3. Assumptions'!$B$6+AL59)^('7. Cash flow'!$A$7:$A$26/4))+SUMPRODUCT((1-('3. Assumptions'!$B$21/(1-'3. Assumptions'!$B$22)))^(('7. Cash flow'!$A$7:$A$26-1)/4)*(1-(1-('3. Assumptions'!$B$21/(1-'3. Assumptions'!$B$22)))^0.25)*'3. Assumptions'!$B$22/(1+'3. Assumptions'!$B$6+AL59)^('7. Cash flow'!$A$7:$A$26/4))+(1-('3. Assumptions'!$B$21/(1-'3. Assumptions'!$B$22)))^5/(1+'3. Assumptions'!$B$6+AL59)^5-1</f>
        <v>0</v>
      </c>
    </row>
    <row r="60" customFormat="false" ht="15" hidden="false" customHeight="false" outlineLevel="0" collapsed="false">
      <c r="A60" s="41" t="n">
        <f aca="false">IF(D59&gt;0,C59,A59)</f>
        <v>0.0702608454046763</v>
      </c>
      <c r="B60" s="41" t="n">
        <f aca="false">IF(D59&gt;0,B59,C59)</f>
        <v>0.0702608454046764</v>
      </c>
      <c r="C60" s="41" t="n">
        <f aca="false">(A60+B60)/2</f>
        <v>0.0702608454046763</v>
      </c>
      <c r="D60" s="42" t="n">
        <f aca="false">(SUMPRODUCT((1-(C60))^('7. Cash flow'!$A$7:$A$86/4)*'7. Cash flow'!$C$7:$C$86/(1+(('3. Assumptions'!$B$6+'6. The ladder'!$B$6)))^('7. Cash flow'!$A$7:$A$86/4))+SUMPRODUCT((1-(C60))^(('7. Cash flow'!$A$7:$A$86-1)/4)*(1-(1-(C60))^0.25)*'7. Cash flow'!$D$7:$D$86/(1+(('3. Assumptions'!$B$6+'6. The ladder'!$C$6)))^('7. Cash flow'!$A$7:$A$86/4))+(1-(C60))^'3. Assumptions'!$B$9*'7. Cash flow'!$D$87/(1+(('3. Assumptions'!$B$6+'6. The ladder'!$C$6)))^'3. Assumptions'!$B$9)/(1+'3. Assumptions'!$B$14)-('2. The tape'!$C$17/'3. Assumptions'!$B$4)</f>
        <v>0</v>
      </c>
      <c r="F60" s="41" t="n">
        <f aca="false">IF(I59&gt;0,H59,F59)</f>
        <v>0.0576608620644229</v>
      </c>
      <c r="G60" s="41" t="n">
        <f aca="false">IF(I59&gt;0,G59,H59)</f>
        <v>0.0576608620644231</v>
      </c>
      <c r="H60" s="41" t="n">
        <f aca="false">(F60+G60)/2</f>
        <v>0.057660862064423</v>
      </c>
      <c r="I60" s="42" t="n">
        <f aca="false">(SUMPRODUCT((1-(H60))^('7. Cash flow'!$A$7:$A$86/4)*'7. Cash flow'!$C$7:$C$86/(1+(('3. Assumptions'!$B$6+'6. The ladder'!$B$7)))^('7. Cash flow'!$A$7:$A$86/4))+SUMPRODUCT((1-(H60))^(('7. Cash flow'!$A$7:$A$86-1)/4)*(1-(1-(H60))^0.25)*'7. Cash flow'!$D$7:$D$86/(1+(('3. Assumptions'!$B$6+'6. The ladder'!$C$7)))^('7. Cash flow'!$A$7:$A$86/4))+(1-(H60))^'3. Assumptions'!$B$9*'7. Cash flow'!$D$87/(1+(('3. Assumptions'!$B$6+'6. The ladder'!$C$7)))^'3. Assumptions'!$B$9)/(1+'3. Assumptions'!$B$14)-('2. The tape'!$C$17/'3. Assumptions'!$B$4)</f>
        <v>8.04662704467773E-007</v>
      </c>
      <c r="K60" s="41" t="n">
        <f aca="false">IF(N59&gt;0,M59,K59)</f>
        <v>0.0449128327103397</v>
      </c>
      <c r="L60" s="41" t="n">
        <f aca="false">IF(N59&gt;0,L59,M59)</f>
        <v>0.0449128327103398</v>
      </c>
      <c r="M60" s="41" t="n">
        <f aca="false">(K60+L60)/2</f>
        <v>0.0449128327103398</v>
      </c>
      <c r="N60" s="42" t="n">
        <f aca="false">(SUMPRODUCT((1-(M60))^('7. Cash flow'!$A$7:$A$86/4)*'7. Cash flow'!$C$7:$C$86/(1+(('3. Assumptions'!$B$6+'6. The ladder'!$B$8)))^('7. Cash flow'!$A$7:$A$86/4))+SUMPRODUCT((1-(M60))^(('7. Cash flow'!$A$7:$A$86-1)/4)*(1-(1-(M60))^0.25)*'7. Cash flow'!$D$7:$D$86/(1+(('3. Assumptions'!$B$6+'6. The ladder'!$C$8)))^('7. Cash flow'!$A$7:$A$86/4))+(1-(M60))^'3. Assumptions'!$B$9*'7. Cash flow'!$D$87/(1+(('3. Assumptions'!$B$6+'6. The ladder'!$C$8)))^'3. Assumptions'!$B$9)/(1+'3. Assumptions'!$B$14)-('2. The tape'!$C$17/'3. Assumptions'!$B$4)</f>
        <v>0</v>
      </c>
      <c r="P60" s="41" t="n">
        <f aca="false">IF(S59&gt;0,R59,P59)</f>
        <v>0.0322850348074979</v>
      </c>
      <c r="Q60" s="41" t="n">
        <f aca="false">IF(S59&gt;0,Q59,R59)</f>
        <v>0.032285034807498</v>
      </c>
      <c r="R60" s="41" t="n">
        <f aca="false">(P60+Q60)/2</f>
        <v>0.032285034807498</v>
      </c>
      <c r="S60" s="42" t="n">
        <f aca="false">(SUMPRODUCT((1-(R60))^('7. Cash flow'!$A$7:$A$86/4)*'7. Cash flow'!$C$7:$C$86/(1+(('3. Assumptions'!$B$6+'6. The ladder'!$B$9)))^('7. Cash flow'!$A$7:$A$86/4))+SUMPRODUCT((1-(R60))^(('7. Cash flow'!$A$7:$A$86-1)/4)*(1-(1-(R60))^0.25)*'7. Cash flow'!$D$7:$D$86/(1+(('3. Assumptions'!$B$6+'6. The ladder'!$C$9)))^('7. Cash flow'!$A$7:$A$86/4))+(1-(R60))^'3. Assumptions'!$B$9*'7. Cash flow'!$D$87/(1+(('3. Assumptions'!$B$6+'6. The ladder'!$C$9)))^'3. Assumptions'!$B$9)/(1+'3. Assumptions'!$B$14)-('2. The tape'!$C$17/'3. Assumptions'!$B$4)</f>
        <v>7.45058059692383E-007</v>
      </c>
      <c r="U60" s="41" t="n">
        <f aca="false">IF(X59&gt;0,W59,U59)</f>
        <v>0.0322850348074979</v>
      </c>
      <c r="V60" s="41" t="n">
        <f aca="false">IF(X59&gt;0,V59,W59)</f>
        <v>0.032285034807498</v>
      </c>
      <c r="W60" s="41" t="n">
        <f aca="false">(U60+V60)/2</f>
        <v>0.032285034807498</v>
      </c>
      <c r="X60" s="42" t="n">
        <f aca="false">(SUMPRODUCT((1-(W60))^('7. Cash flow'!$A$7:$A$86/4)*'7. Cash flow'!$C$7:$C$86/(1+('3. Assumptions'!$B$28))^('7. Cash flow'!$A$7:$A$86/4))+SUMPRODUCT((1-(W60))^(('7. Cash flow'!$A$7:$A$86-1)/4)*(1-(1-(W60))^0.25)*'7. Cash flow'!$D$7:$D$86/(1+('3. Assumptions'!$B$29))^('7. Cash flow'!$A$7:$A$86/4))+(1-(W60))^'3. Assumptions'!$B$9*'7. Cash flow'!$D$87/(1+('3. Assumptions'!$B$29))^'3. Assumptions'!$B$9)/(1+'3. Assumptions'!$B$14)-('2. The tape'!$C$17/'3. Assumptions'!$B$4)</f>
        <v>7.45058059692383E-007</v>
      </c>
      <c r="Z60" s="41" t="n">
        <f aca="false">IF(AC59&gt;0,AB59,Z59)</f>
        <v>0.00364530202843604</v>
      </c>
      <c r="AA60" s="41" t="n">
        <f aca="false">IF(AC59&gt;0,AA59,AB59)</f>
        <v>0.00364530202843611</v>
      </c>
      <c r="AB60" s="41" t="n">
        <f aca="false">(Z60+AA60)/2</f>
        <v>0.00364530202843607</v>
      </c>
      <c r="AC60" s="42" t="n">
        <f aca="false">(SUMPRODUCT((1-(('3. Assumptions'!$B$21/(1-'3. Assumptions'!$B$22))))^('7. Cash flow'!$A$7:$A$86/4)*'7. Cash flow'!$C$7:$C$86/(1+('3. Assumptions'!$B$6+AB60))^('7. Cash flow'!$A$7:$A$86/4))+SUMPRODUCT((1-(('3. Assumptions'!$B$21/(1-'3. Assumptions'!$B$22))))^(('7. Cash flow'!$A$7:$A$86-1)/4)*(1-(1-(('3. Assumptions'!$B$21/(1-'3. Assumptions'!$B$22))))^0.25)*'7. Cash flow'!$D$7:$D$86/(1+('3. Assumptions'!$B$6+AB60))^('7. Cash flow'!$A$7:$A$86/4))+(1-(('3. Assumptions'!$B$21/(1-'3. Assumptions'!$B$22))))^'3. Assumptions'!$B$9*'7. Cash flow'!$D$87/(1+('3. Assumptions'!$B$6+AB60))^'3. Assumptions'!$B$9)/(1+'3. Assumptions'!$B$14)-('2. The tape'!$C$17/'3. Assumptions'!$B$4)</f>
        <v>6.85453414916992E-007</v>
      </c>
      <c r="AE60" s="41" t="n">
        <f aca="false">IF(AH59&gt;0,AG59,AE59)</f>
        <v>0.0501035708211505</v>
      </c>
      <c r="AF60" s="41" t="n">
        <f aca="false">IF(AH59&gt;0,AF59,AG59)</f>
        <v>0.0501035708211505</v>
      </c>
      <c r="AG60" s="41" t="n">
        <f aca="false">(AE60+AF60)/2</f>
        <v>0.0501035708211505</v>
      </c>
      <c r="AH60" s="42" t="n">
        <f aca="false">(SUMPRODUCT((1-(('3. Assumptions'!$B$21/(1-'3. Assumptions'!$B$22))))^('7. Cash flow'!$A$7:$A$86/4)*'7. Cash flow'!$C$7:$C$86/(1+(AG60))^('7. Cash flow'!$A$7:$A$86/4))+SUMPRODUCT((1-(('3. Assumptions'!$B$21/(1-'3. Assumptions'!$B$22))))^(('7. Cash flow'!$A$7:$A$86-1)/4)*(1-(1-(('3. Assumptions'!$B$21/(1-'3. Assumptions'!$B$22))))^0.25)*'7. Cash flow'!$D$7:$D$86/(1+(AG60))^('7. Cash flow'!$A$7:$A$86/4))+(1-(('3. Assumptions'!$B$21/(1-'3. Assumptions'!$B$22))))^'3. Assumptions'!$B$9*'7. Cash flow'!$D$87/(1+(AG60))^'3.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60" s="41" t="n">
        <f aca="false">IF(AM59&gt;0,AL59,AJ59)</f>
        <v>-0.00180680470795947</v>
      </c>
      <c r="AK60" s="41" t="n">
        <f aca="false">IF(AM59&gt;0,AK59,AL59)</f>
        <v>-0.00180680470795939</v>
      </c>
      <c r="AL60" s="41" t="n">
        <f aca="false">(AJ60+AK60)/2</f>
        <v>-0.00180680470795943</v>
      </c>
      <c r="AM60" s="42" t="n">
        <f aca="false">SUMPRODUCT((1-('3. Assumptions'!$B$21/(1-'3. Assumptions'!$B$22)))^('7. Cash flow'!$A$7:$A$26/4)*('3. Assumptions'!$B$6+'3. Assumptions'!$B$21)/4/(1+'3. Assumptions'!$B$6+AL60)^('7. Cash flow'!$A$7:$A$26/4))+SUMPRODUCT((1-('3. Assumptions'!$B$21/(1-'3. Assumptions'!$B$22)))^(('7. Cash flow'!$A$7:$A$26-1)/4)*(1-(1-('3. Assumptions'!$B$21/(1-'3. Assumptions'!$B$22)))^0.25)*'3. Assumptions'!$B$22/(1+'3. Assumptions'!$B$6+AL60)^('7. Cash flow'!$A$7:$A$26/4))+(1-('3. Assumptions'!$B$21/(1-'3. Assumptions'!$B$22)))^5/(1+'3. Assumptions'!$B$6+AL60)^5-1</f>
        <v>0</v>
      </c>
    </row>
    <row r="61" customFormat="false" ht="15" hidden="false" customHeight="false" outlineLevel="0" collapsed="false">
      <c r="A61" s="41" t="n">
        <f aca="false">IF(D60&gt;0,C60,A60)</f>
        <v>0.0702608454046763</v>
      </c>
      <c r="B61" s="41" t="n">
        <f aca="false">IF(D60&gt;0,B60,C60)</f>
        <v>0.0702608454046763</v>
      </c>
      <c r="C61" s="41" t="n">
        <f aca="false">(A61+B61)/2</f>
        <v>0.0702608454046763</v>
      </c>
      <c r="D61" s="42" t="n">
        <f aca="false">(SUMPRODUCT((1-(C61))^('7. Cash flow'!$A$7:$A$86/4)*'7. Cash flow'!$C$7:$C$86/(1+(('3. Assumptions'!$B$6+'6. The ladder'!$B$6)))^('7. Cash flow'!$A$7:$A$86/4))+SUMPRODUCT((1-(C61))^(('7. Cash flow'!$A$7:$A$86-1)/4)*(1-(1-(C61))^0.25)*'7. Cash flow'!$D$7:$D$86/(1+(('3. Assumptions'!$B$6+'6. The ladder'!$C$6)))^('7. Cash flow'!$A$7:$A$86/4))+(1-(C61))^'3. Assumptions'!$B$9*'7. Cash flow'!$D$87/(1+(('3. Assumptions'!$B$6+'6. The ladder'!$C$6)))^'3. Assumptions'!$B$9)/(1+'3. Assumptions'!$B$14)-('2. The tape'!$C$17/'3. Assumptions'!$B$4)</f>
        <v>7.74860382080078E-007</v>
      </c>
      <c r="F61" s="41" t="n">
        <f aca="false">IF(I60&gt;0,H60,F60)</f>
        <v>0.057660862064423</v>
      </c>
      <c r="G61" s="41" t="n">
        <f aca="false">IF(I60&gt;0,G60,H60)</f>
        <v>0.0576608620644231</v>
      </c>
      <c r="H61" s="41" t="n">
        <f aca="false">(F61+G61)/2</f>
        <v>0.057660862064423</v>
      </c>
      <c r="I61" s="42" t="n">
        <f aca="false">(SUMPRODUCT((1-(H61))^('7. Cash flow'!$A$7:$A$86/4)*'7. Cash flow'!$C$7:$C$86/(1+(('3. Assumptions'!$B$6+'6. The ladder'!$B$7)))^('7. Cash flow'!$A$7:$A$86/4))+SUMPRODUCT((1-(H61))^(('7. Cash flow'!$A$7:$A$86-1)/4)*(1-(1-(H61))^0.25)*'7. Cash flow'!$D$7:$D$86/(1+(('3. Assumptions'!$B$6+'6. The ladder'!$C$7)))^('7. Cash flow'!$A$7:$A$86/4))+(1-(H61))^'3. Assumptions'!$B$9*'7. Cash flow'!$D$87/(1+(('3. Assumptions'!$B$6+'6. The ladder'!$C$7)))^'3. Assumptions'!$B$9)/(1+'3. Assumptions'!$B$14)-('2. The tape'!$C$17/'3. Assumptions'!$B$4)</f>
        <v>8.04662704467773E-007</v>
      </c>
      <c r="K61" s="41" t="n">
        <f aca="false">IF(N60&gt;0,M60,K60)</f>
        <v>0.0449128327103397</v>
      </c>
      <c r="L61" s="41" t="n">
        <f aca="false">IF(N60&gt;0,L60,M60)</f>
        <v>0.0449128327103398</v>
      </c>
      <c r="M61" s="41" t="n">
        <f aca="false">(K61+L61)/2</f>
        <v>0.0449128327103397</v>
      </c>
      <c r="N61" s="42" t="n">
        <f aca="false">(SUMPRODUCT((1-(M61))^('7. Cash flow'!$A$7:$A$86/4)*'7. Cash flow'!$C$7:$C$86/(1+(('3. Assumptions'!$B$6+'6. The ladder'!$B$8)))^('7. Cash flow'!$A$7:$A$86/4))+SUMPRODUCT((1-(M61))^(('7. Cash flow'!$A$7:$A$86-1)/4)*(1-(1-(M61))^0.25)*'7. Cash flow'!$D$7:$D$86/(1+(('3. Assumptions'!$B$6+'6. The ladder'!$C$8)))^('7. Cash flow'!$A$7:$A$86/4))+(1-(M61))^'3. Assumptions'!$B$9*'7. Cash flow'!$D$87/(1+(('3. Assumptions'!$B$6+'6. The ladder'!$C$8)))^'3. Assumptions'!$B$9)/(1+'3. Assumptions'!$B$14)-('2. The tape'!$C$17/'3. Assumptions'!$B$4)</f>
        <v>0</v>
      </c>
      <c r="P61" s="41" t="n">
        <f aca="false">IF(S60&gt;0,R60,P60)</f>
        <v>0.032285034807498</v>
      </c>
      <c r="Q61" s="41" t="n">
        <f aca="false">IF(S60&gt;0,Q60,R60)</f>
        <v>0.032285034807498</v>
      </c>
      <c r="R61" s="41" t="n">
        <f aca="false">(P61+Q61)/2</f>
        <v>0.032285034807498</v>
      </c>
      <c r="S61" s="42" t="n">
        <f aca="false">(SUMPRODUCT((1-(R61))^('7. Cash flow'!$A$7:$A$86/4)*'7. Cash flow'!$C$7:$C$86/(1+(('3. Assumptions'!$B$6+'6. The ladder'!$B$9)))^('7. Cash flow'!$A$7:$A$86/4))+SUMPRODUCT((1-(R61))^(('7. Cash flow'!$A$7:$A$86-1)/4)*(1-(1-(R61))^0.25)*'7. Cash flow'!$D$7:$D$86/(1+(('3. Assumptions'!$B$6+'6. The ladder'!$C$9)))^('7. Cash flow'!$A$7:$A$86/4))+(1-(R61))^'3. Assumptions'!$B$9*'7. Cash flow'!$D$87/(1+(('3. Assumptions'!$B$6+'6. The ladder'!$C$9)))^'3. Assumptions'!$B$9)/(1+'3. Assumptions'!$B$14)-('2. The tape'!$C$17/'3. Assumptions'!$B$4)</f>
        <v>0</v>
      </c>
      <c r="U61" s="41" t="n">
        <f aca="false">IF(X60&gt;0,W60,U60)</f>
        <v>0.032285034807498</v>
      </c>
      <c r="V61" s="41" t="n">
        <f aca="false">IF(X60&gt;0,V60,W60)</f>
        <v>0.032285034807498</v>
      </c>
      <c r="W61" s="41" t="n">
        <f aca="false">(U61+V61)/2</f>
        <v>0.032285034807498</v>
      </c>
      <c r="X61" s="42" t="n">
        <f aca="false">(SUMPRODUCT((1-(W61))^('7. Cash flow'!$A$7:$A$86/4)*'7. Cash flow'!$C$7:$C$86/(1+('3. Assumptions'!$B$28))^('7. Cash flow'!$A$7:$A$86/4))+SUMPRODUCT((1-(W61))^(('7. Cash flow'!$A$7:$A$86-1)/4)*(1-(1-(W61))^0.25)*'7. Cash flow'!$D$7:$D$86/(1+('3. Assumptions'!$B$29))^('7. Cash flow'!$A$7:$A$86/4))+(1-(W61))^'3. Assumptions'!$B$9*'7. Cash flow'!$D$87/(1+('3. Assumptions'!$B$29))^'3. Assumptions'!$B$9)/(1+'3. Assumptions'!$B$14)-('2. The tape'!$C$17/'3. Assumptions'!$B$4)</f>
        <v>0</v>
      </c>
      <c r="Z61" s="41" t="n">
        <f aca="false">IF(AC60&gt;0,AB60,Z60)</f>
        <v>0.00364530202843607</v>
      </c>
      <c r="AA61" s="41" t="n">
        <f aca="false">IF(AC60&gt;0,AA60,AB60)</f>
        <v>0.00364530202843611</v>
      </c>
      <c r="AB61" s="41" t="n">
        <f aca="false">(Z61+AA61)/2</f>
        <v>0.00364530202843609</v>
      </c>
      <c r="AC61" s="42" t="n">
        <f aca="false">(SUMPRODUCT((1-(('3. Assumptions'!$B$21/(1-'3. Assumptions'!$B$22))))^('7. Cash flow'!$A$7:$A$86/4)*'7. Cash flow'!$C$7:$C$86/(1+('3. Assumptions'!$B$6+AB61))^('7. Cash flow'!$A$7:$A$86/4))+SUMPRODUCT((1-(('3. Assumptions'!$B$21/(1-'3. Assumptions'!$B$22))))^(('7. Cash flow'!$A$7:$A$86-1)/4)*(1-(1-(('3. Assumptions'!$B$21/(1-'3. Assumptions'!$B$22))))^0.25)*'7. Cash flow'!$D$7:$D$86/(1+('3. Assumptions'!$B$6+AB61))^('7. Cash flow'!$A$7:$A$86/4))+(1-(('3. Assumptions'!$B$21/(1-'3. Assumptions'!$B$22))))^'3. Assumptions'!$B$9*'7. Cash flow'!$D$87/(1+('3. Assumptions'!$B$6+AB61))^'3. Assumptions'!$B$9)/(1+'3. Assumptions'!$B$14)-('2. The tape'!$C$17/'3. Assumptions'!$B$4)</f>
        <v>0</v>
      </c>
      <c r="AE61" s="41" t="n">
        <f aca="false">IF(AH60&gt;0,AG60,AE60)</f>
        <v>0.0501035708211505</v>
      </c>
      <c r="AF61" s="41" t="n">
        <f aca="false">IF(AH60&gt;0,AF60,AG60)</f>
        <v>0.0501035708211505</v>
      </c>
      <c r="AG61" s="41" t="n">
        <f aca="false">(AE61+AF61)/2</f>
        <v>0.0501035708211505</v>
      </c>
      <c r="AH61" s="42" t="n">
        <f aca="false">(SUMPRODUCT((1-(('3. Assumptions'!$B$21/(1-'3. Assumptions'!$B$22))))^('7. Cash flow'!$A$7:$A$86/4)*'7. Cash flow'!$C$7:$C$86/(1+(AG61))^('7. Cash flow'!$A$7:$A$86/4))+SUMPRODUCT((1-(('3. Assumptions'!$B$21/(1-'3. Assumptions'!$B$22))))^(('7. Cash flow'!$A$7:$A$86-1)/4)*(1-(1-(('3. Assumptions'!$B$21/(1-'3. Assumptions'!$B$22))))^0.25)*'7. Cash flow'!$D$7:$D$86/(1+(AG61))^('7. Cash flow'!$A$7:$A$86/4))+(1-(('3. Assumptions'!$B$21/(1-'3. Assumptions'!$B$22))))^'3. Assumptions'!$B$9*'7. Cash flow'!$D$87/(1+(AG61))^'3.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61" s="41" t="n">
        <f aca="false">IF(AM60&gt;0,AL60,AJ60)</f>
        <v>-0.00180680470795947</v>
      </c>
      <c r="AK61" s="41" t="n">
        <f aca="false">IF(AM60&gt;0,AK60,AL60)</f>
        <v>-0.00180680470795943</v>
      </c>
      <c r="AL61" s="41" t="n">
        <f aca="false">(AJ61+AK61)/2</f>
        <v>-0.00180680470795945</v>
      </c>
      <c r="AM61" s="42" t="n">
        <f aca="false">SUMPRODUCT((1-('3. Assumptions'!$B$21/(1-'3. Assumptions'!$B$22)))^('7. Cash flow'!$A$7:$A$26/4)*('3. Assumptions'!$B$6+'3. Assumptions'!$B$21)/4/(1+'3. Assumptions'!$B$6+AL61)^('7. Cash flow'!$A$7:$A$26/4))+SUMPRODUCT((1-('3. Assumptions'!$B$21/(1-'3. Assumptions'!$B$22)))^(('7. Cash flow'!$A$7:$A$26-1)/4)*(1-(1-('3. Assumptions'!$B$21/(1-'3. Assumptions'!$B$22)))^0.25)*'3. Assumptions'!$B$22/(1+'3. Assumptions'!$B$6+AL61)^('7. Cash flow'!$A$7:$A$26/4))+(1-('3. Assumptions'!$B$21/(1-'3. Assumptions'!$B$22)))^5/(1+'3. Assumptions'!$B$6+AL61)^5-1</f>
        <v>0</v>
      </c>
    </row>
    <row r="62" customFormat="false" ht="15" hidden="false" customHeight="false" outlineLevel="0" collapsed="false">
      <c r="A62" s="41" t="n">
        <f aca="false">IF(D61&gt;0,C61,A61)</f>
        <v>0.0702608454046763</v>
      </c>
      <c r="B62" s="41" t="n">
        <f aca="false">IF(D61&gt;0,B61,C61)</f>
        <v>0.0702608454046763</v>
      </c>
      <c r="C62" s="41" t="n">
        <f aca="false">(A62+B62)/2</f>
        <v>0.0702608454046763</v>
      </c>
      <c r="D62" s="42" t="n">
        <f aca="false">(SUMPRODUCT((1-(C62))^('7. Cash flow'!$A$7:$A$86/4)*'7. Cash flow'!$C$7:$C$86/(1+(('3. Assumptions'!$B$6+'6. The ladder'!$B$6)))^('7. Cash flow'!$A$7:$A$86/4))+SUMPRODUCT((1-(C62))^(('7. Cash flow'!$A$7:$A$86-1)/4)*(1-(1-(C62))^0.25)*'7. Cash flow'!$D$7:$D$86/(1+(('3. Assumptions'!$B$6+'6. The ladder'!$C$6)))^('7. Cash flow'!$A$7:$A$86/4))+(1-(C62))^'3. Assumptions'!$B$9*'7. Cash flow'!$D$87/(1+(('3. Assumptions'!$B$6+'6. The ladder'!$C$6)))^'3. Assumptions'!$B$9)/(1+'3. Assumptions'!$B$14)-('2. The tape'!$C$17/'3. Assumptions'!$B$4)</f>
        <v>7.74860382080078E-007</v>
      </c>
      <c r="F62" s="41" t="n">
        <f aca="false">IF(I61&gt;0,H61,F61)</f>
        <v>0.057660862064423</v>
      </c>
      <c r="G62" s="41" t="n">
        <f aca="false">IF(I61&gt;0,G61,H61)</f>
        <v>0.0576608620644231</v>
      </c>
      <c r="H62" s="41" t="n">
        <f aca="false">(F62+G62)/2</f>
        <v>0.0576608620644231</v>
      </c>
      <c r="I62" s="42" t="n">
        <f aca="false">(SUMPRODUCT((1-(H62))^('7. Cash flow'!$A$7:$A$86/4)*'7. Cash flow'!$C$7:$C$86/(1+(('3. Assumptions'!$B$6+'6. The ladder'!$B$7)))^('7. Cash flow'!$A$7:$A$86/4))+SUMPRODUCT((1-(H62))^(('7. Cash flow'!$A$7:$A$86-1)/4)*(1-(1-(H62))^0.25)*'7. Cash flow'!$D$7:$D$86/(1+(('3. Assumptions'!$B$6+'6. The ladder'!$C$7)))^('7. Cash flow'!$A$7:$A$86/4))+(1-(H62))^'3. Assumptions'!$B$9*'7. Cash flow'!$D$87/(1+(('3. Assumptions'!$B$6+'6. The ladder'!$C$7)))^'3. Assumptions'!$B$9)/(1+'3. Assumptions'!$B$14)-('2. The tape'!$C$17/'3. Assumptions'!$B$4)</f>
        <v>8.04662704467773E-007</v>
      </c>
      <c r="K62" s="41" t="n">
        <f aca="false">IF(N61&gt;0,M61,K61)</f>
        <v>0.0449128327103397</v>
      </c>
      <c r="L62" s="41" t="n">
        <f aca="false">IF(N61&gt;0,L61,M61)</f>
        <v>0.0449128327103397</v>
      </c>
      <c r="M62" s="41" t="n">
        <f aca="false">(K62+L62)/2</f>
        <v>0.0449128327103397</v>
      </c>
      <c r="N62" s="42" t="n">
        <f aca="false">(SUMPRODUCT((1-(M62))^('7. Cash flow'!$A$7:$A$86/4)*'7. Cash flow'!$C$7:$C$86/(1+(('3. Assumptions'!$B$6+'6. The ladder'!$B$8)))^('7. Cash flow'!$A$7:$A$86/4))+SUMPRODUCT((1-(M62))^(('7. Cash flow'!$A$7:$A$86-1)/4)*(1-(1-(M62))^0.25)*'7. Cash flow'!$D$7:$D$86/(1+(('3. Assumptions'!$B$6+'6. The ladder'!$C$8)))^('7. Cash flow'!$A$7:$A$86/4))+(1-(M62))^'3. Assumptions'!$B$9*'7. Cash flow'!$D$87/(1+(('3. Assumptions'!$B$6+'6. The ladder'!$C$8)))^'3. Assumptions'!$B$9)/(1+'3. Assumptions'!$B$14)-('2. The tape'!$C$17/'3. Assumptions'!$B$4)</f>
        <v>0</v>
      </c>
      <c r="P62" s="41" t="n">
        <f aca="false">IF(S61&gt;0,R61,P61)</f>
        <v>0.032285034807498</v>
      </c>
      <c r="Q62" s="41" t="n">
        <f aca="false">IF(S61&gt;0,Q61,R61)</f>
        <v>0.032285034807498</v>
      </c>
      <c r="R62" s="41" t="n">
        <f aca="false">(P62+Q62)/2</f>
        <v>0.032285034807498</v>
      </c>
      <c r="S62" s="42" t="n">
        <f aca="false">(SUMPRODUCT((1-(R62))^('7. Cash flow'!$A$7:$A$86/4)*'7. Cash flow'!$C$7:$C$86/(1+(('3. Assumptions'!$B$6+'6. The ladder'!$B$9)))^('7. Cash flow'!$A$7:$A$86/4))+SUMPRODUCT((1-(R62))^(('7. Cash flow'!$A$7:$A$86-1)/4)*(1-(1-(R62))^0.25)*'7. Cash flow'!$D$7:$D$86/(1+(('3. Assumptions'!$B$6+'6. The ladder'!$C$9)))^('7. Cash flow'!$A$7:$A$86/4))+(1-(R62))^'3. Assumptions'!$B$9*'7. Cash flow'!$D$87/(1+(('3. Assumptions'!$B$6+'6. The ladder'!$C$9)))^'3. Assumptions'!$B$9)/(1+'3. Assumptions'!$B$14)-('2. The tape'!$C$17/'3. Assumptions'!$B$4)</f>
        <v>0</v>
      </c>
      <c r="U62" s="41" t="n">
        <f aca="false">IF(X61&gt;0,W61,U61)</f>
        <v>0.032285034807498</v>
      </c>
      <c r="V62" s="41" t="n">
        <f aca="false">IF(X61&gt;0,V61,W61)</f>
        <v>0.032285034807498</v>
      </c>
      <c r="W62" s="41" t="n">
        <f aca="false">(U62+V62)/2</f>
        <v>0.032285034807498</v>
      </c>
      <c r="X62" s="42" t="n">
        <f aca="false">(SUMPRODUCT((1-(W62))^('7. Cash flow'!$A$7:$A$86/4)*'7. Cash flow'!$C$7:$C$86/(1+('3. Assumptions'!$B$28))^('7. Cash flow'!$A$7:$A$86/4))+SUMPRODUCT((1-(W62))^(('7. Cash flow'!$A$7:$A$86-1)/4)*(1-(1-(W62))^0.25)*'7. Cash flow'!$D$7:$D$86/(1+('3. Assumptions'!$B$29))^('7. Cash flow'!$A$7:$A$86/4))+(1-(W62))^'3. Assumptions'!$B$9*'7. Cash flow'!$D$87/(1+('3. Assumptions'!$B$29))^'3. Assumptions'!$B$9)/(1+'3. Assumptions'!$B$14)-('2. The tape'!$C$17/'3. Assumptions'!$B$4)</f>
        <v>0</v>
      </c>
      <c r="Z62" s="41" t="n">
        <f aca="false">IF(AC61&gt;0,AB61,Z61)</f>
        <v>0.00364530202843607</v>
      </c>
      <c r="AA62" s="41" t="n">
        <f aca="false">IF(AC61&gt;0,AA61,AB61)</f>
        <v>0.00364530202843609</v>
      </c>
      <c r="AB62" s="41" t="n">
        <f aca="false">(Z62+AA62)/2</f>
        <v>0.00364530202843608</v>
      </c>
      <c r="AC62" s="42" t="n">
        <f aca="false">(SUMPRODUCT((1-(('3. Assumptions'!$B$21/(1-'3. Assumptions'!$B$22))))^('7. Cash flow'!$A$7:$A$86/4)*'7. Cash flow'!$C$7:$C$86/(1+('3. Assumptions'!$B$6+AB62))^('7. Cash flow'!$A$7:$A$86/4))+SUMPRODUCT((1-(('3. Assumptions'!$B$21/(1-'3. Assumptions'!$B$22))))^(('7. Cash flow'!$A$7:$A$86-1)/4)*(1-(1-(('3. Assumptions'!$B$21/(1-'3. Assumptions'!$B$22))))^0.25)*'7. Cash flow'!$D$7:$D$86/(1+('3. Assumptions'!$B$6+AB62))^('7. Cash flow'!$A$7:$A$86/4))+(1-(('3. Assumptions'!$B$21/(1-'3. Assumptions'!$B$22))))^'3. Assumptions'!$B$9*'7. Cash flow'!$D$87/(1+('3. Assumptions'!$B$6+AB62))^'3. Assumptions'!$B$9)/(1+'3. Assumptions'!$B$14)-('2. The tape'!$C$17/'3. Assumptions'!$B$4)</f>
        <v>0</v>
      </c>
      <c r="AE62" s="41" t="n">
        <f aca="false">IF(AH61&gt;0,AG61,AE61)</f>
        <v>0.0501035708211505</v>
      </c>
      <c r="AF62" s="41" t="n">
        <f aca="false">IF(AH61&gt;0,AF61,AG61)</f>
        <v>0.0501035708211505</v>
      </c>
      <c r="AG62" s="41" t="n">
        <f aca="false">(AE62+AF62)/2</f>
        <v>0.0501035708211505</v>
      </c>
      <c r="AH62" s="42" t="n">
        <f aca="false">(SUMPRODUCT((1-(('3. Assumptions'!$B$21/(1-'3. Assumptions'!$B$22))))^('7. Cash flow'!$A$7:$A$86/4)*'7. Cash flow'!$C$7:$C$86/(1+(AG62))^('7. Cash flow'!$A$7:$A$86/4))+SUMPRODUCT((1-(('3. Assumptions'!$B$21/(1-'3. Assumptions'!$B$22))))^(('7. Cash flow'!$A$7:$A$86-1)/4)*(1-(1-(('3. Assumptions'!$B$21/(1-'3. Assumptions'!$B$22))))^0.25)*'7. Cash flow'!$D$7:$D$86/(1+(AG62))^('7. Cash flow'!$A$7:$A$86/4))+(1-(('3. Assumptions'!$B$21/(1-'3. Assumptions'!$B$22))))^'3. Assumptions'!$B$9*'7. Cash flow'!$D$87/(1+(AG62))^'3.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62" s="41" t="n">
        <f aca="false">IF(AM61&gt;0,AL61,AJ61)</f>
        <v>-0.00180680470795947</v>
      </c>
      <c r="AK62" s="41" t="n">
        <f aca="false">IF(AM61&gt;0,AK61,AL61)</f>
        <v>-0.00180680470795945</v>
      </c>
      <c r="AL62" s="41" t="n">
        <f aca="false">(AJ62+AK62)/2</f>
        <v>-0.00180680470795946</v>
      </c>
      <c r="AM62" s="42" t="n">
        <f aca="false">SUMPRODUCT((1-('3. Assumptions'!$B$21/(1-'3. Assumptions'!$B$22)))^('7. Cash flow'!$A$7:$A$26/4)*('3. Assumptions'!$B$6+'3. Assumptions'!$B$21)/4/(1+'3. Assumptions'!$B$6+AL62)^('7. Cash flow'!$A$7:$A$26/4))+SUMPRODUCT((1-('3. Assumptions'!$B$21/(1-'3. Assumptions'!$B$22)))^(('7. Cash flow'!$A$7:$A$26-1)/4)*(1-(1-('3. Assumptions'!$B$21/(1-'3. Assumptions'!$B$22)))^0.25)*'3. Assumptions'!$B$22/(1+'3. Assumptions'!$B$6+AL62)^('7. Cash flow'!$A$7:$A$26/4))+(1-('3. Assumptions'!$B$21/(1-'3. Assumptions'!$B$22)))^5/(1+'3. Assumptions'!$B$6+AL62)^5-1</f>
        <v>0</v>
      </c>
    </row>
    <row r="63" customFormat="false" ht="15" hidden="false" customHeight="false" outlineLevel="0" collapsed="false">
      <c r="A63" s="41" t="n">
        <f aca="false">IF(D62&gt;0,C62,A62)</f>
        <v>0.0702608454046763</v>
      </c>
      <c r="B63" s="41" t="n">
        <f aca="false">IF(D62&gt;0,B62,C62)</f>
        <v>0.0702608454046763</v>
      </c>
      <c r="C63" s="41" t="n">
        <f aca="false">(A63+B63)/2</f>
        <v>0.0702608454046763</v>
      </c>
      <c r="D63" s="42" t="n">
        <f aca="false">(SUMPRODUCT((1-(C63))^('7. Cash flow'!$A$7:$A$86/4)*'7. Cash flow'!$C$7:$C$86/(1+(('3. Assumptions'!$B$6+'6. The ladder'!$B$6)))^('7. Cash flow'!$A$7:$A$86/4))+SUMPRODUCT((1-(C63))^(('7. Cash flow'!$A$7:$A$86-1)/4)*(1-(1-(C63))^0.25)*'7. Cash flow'!$D$7:$D$86/(1+(('3. Assumptions'!$B$6+'6. The ladder'!$C$6)))^('7. Cash flow'!$A$7:$A$86/4))+(1-(C63))^'3. Assumptions'!$B$9*'7. Cash flow'!$D$87/(1+(('3. Assumptions'!$B$6+'6. The ladder'!$C$6)))^'3. Assumptions'!$B$9)/(1+'3. Assumptions'!$B$14)-('2. The tape'!$C$17/'3. Assumptions'!$B$4)</f>
        <v>7.74860382080078E-007</v>
      </c>
      <c r="F63" s="41" t="n">
        <f aca="false">IF(I62&gt;0,H62,F62)</f>
        <v>0.0576608620644231</v>
      </c>
      <c r="G63" s="41" t="n">
        <f aca="false">IF(I62&gt;0,G62,H62)</f>
        <v>0.0576608620644231</v>
      </c>
      <c r="H63" s="41" t="n">
        <f aca="false">(F63+G63)/2</f>
        <v>0.0576608620644231</v>
      </c>
      <c r="I63" s="42" t="n">
        <f aca="false">(SUMPRODUCT((1-(H63))^('7. Cash flow'!$A$7:$A$86/4)*'7. Cash flow'!$C$7:$C$86/(1+(('3. Assumptions'!$B$6+'6. The ladder'!$B$7)))^('7. Cash flow'!$A$7:$A$86/4))+SUMPRODUCT((1-(H63))^(('7. Cash flow'!$A$7:$A$86-1)/4)*(1-(1-(H63))^0.25)*'7. Cash flow'!$D$7:$D$86/(1+(('3. Assumptions'!$B$6+'6. The ladder'!$C$7)))^('7. Cash flow'!$A$7:$A$86/4))+(1-(H63))^'3. Assumptions'!$B$9*'7. Cash flow'!$D$87/(1+(('3. Assumptions'!$B$6+'6. The ladder'!$C$7)))^'3. Assumptions'!$B$9)/(1+'3. Assumptions'!$B$14)-('2. The tape'!$C$17/'3. Assumptions'!$B$4)</f>
        <v>0</v>
      </c>
      <c r="K63" s="41" t="n">
        <f aca="false">IF(N62&gt;0,M62,K62)</f>
        <v>0.0449128327103397</v>
      </c>
      <c r="L63" s="41" t="n">
        <f aca="false">IF(N62&gt;0,L62,M62)</f>
        <v>0.0449128327103397</v>
      </c>
      <c r="M63" s="41" t="n">
        <f aca="false">(K63+L63)/2</f>
        <v>0.0449128327103397</v>
      </c>
      <c r="N63" s="42" t="n">
        <f aca="false">(SUMPRODUCT((1-(M63))^('7. Cash flow'!$A$7:$A$86/4)*'7. Cash flow'!$C$7:$C$86/(1+(('3. Assumptions'!$B$6+'6. The ladder'!$B$8)))^('7. Cash flow'!$A$7:$A$86/4))+SUMPRODUCT((1-(M63))^(('7. Cash flow'!$A$7:$A$86-1)/4)*(1-(1-(M63))^0.25)*'7. Cash flow'!$D$7:$D$86/(1+(('3. Assumptions'!$B$6+'6. The ladder'!$C$8)))^('7. Cash flow'!$A$7:$A$86/4))+(1-(M63))^'3. Assumptions'!$B$9*'7. Cash flow'!$D$87/(1+(('3. Assumptions'!$B$6+'6. The ladder'!$C$8)))^'3. Assumptions'!$B$9)/(1+'3. Assumptions'!$B$14)-('2. The tape'!$C$17/'3. Assumptions'!$B$4)</f>
        <v>0</v>
      </c>
      <c r="P63" s="41" t="n">
        <f aca="false">IF(S62&gt;0,R62,P62)</f>
        <v>0.032285034807498</v>
      </c>
      <c r="Q63" s="41" t="n">
        <f aca="false">IF(S62&gt;0,Q62,R62)</f>
        <v>0.032285034807498</v>
      </c>
      <c r="R63" s="41" t="n">
        <f aca="false">(P63+Q63)/2</f>
        <v>0.032285034807498</v>
      </c>
      <c r="S63" s="42" t="n">
        <f aca="false">(SUMPRODUCT((1-(R63))^('7. Cash flow'!$A$7:$A$86/4)*'7. Cash flow'!$C$7:$C$86/(1+(('3. Assumptions'!$B$6+'6. The ladder'!$B$9)))^('7. Cash flow'!$A$7:$A$86/4))+SUMPRODUCT((1-(R63))^(('7. Cash flow'!$A$7:$A$86-1)/4)*(1-(1-(R63))^0.25)*'7. Cash flow'!$D$7:$D$86/(1+(('3. Assumptions'!$B$6+'6. The ladder'!$C$9)))^('7. Cash flow'!$A$7:$A$86/4))+(1-(R63))^'3. Assumptions'!$B$9*'7. Cash flow'!$D$87/(1+(('3. Assumptions'!$B$6+'6. The ladder'!$C$9)))^'3. Assumptions'!$B$9)/(1+'3. Assumptions'!$B$14)-('2. The tape'!$C$17/'3. Assumptions'!$B$4)</f>
        <v>0</v>
      </c>
      <c r="U63" s="41" t="n">
        <f aca="false">IF(X62&gt;0,W62,U62)</f>
        <v>0.032285034807498</v>
      </c>
      <c r="V63" s="41" t="n">
        <f aca="false">IF(X62&gt;0,V62,W62)</f>
        <v>0.032285034807498</v>
      </c>
      <c r="W63" s="41" t="n">
        <f aca="false">(U63+V63)/2</f>
        <v>0.032285034807498</v>
      </c>
      <c r="X63" s="42" t="n">
        <f aca="false">(SUMPRODUCT((1-(W63))^('7. Cash flow'!$A$7:$A$86/4)*'7. Cash flow'!$C$7:$C$86/(1+('3. Assumptions'!$B$28))^('7. Cash flow'!$A$7:$A$86/4))+SUMPRODUCT((1-(W63))^(('7. Cash flow'!$A$7:$A$86-1)/4)*(1-(1-(W63))^0.25)*'7. Cash flow'!$D$7:$D$86/(1+('3. Assumptions'!$B$29))^('7. Cash flow'!$A$7:$A$86/4))+(1-(W63))^'3. Assumptions'!$B$9*'7. Cash flow'!$D$87/(1+('3. Assumptions'!$B$29))^'3. Assumptions'!$B$9)/(1+'3. Assumptions'!$B$14)-('2. The tape'!$C$17/'3. Assumptions'!$B$4)</f>
        <v>0</v>
      </c>
      <c r="Z63" s="41" t="n">
        <f aca="false">IF(AC62&gt;0,AB62,Z62)</f>
        <v>0.00364530202843607</v>
      </c>
      <c r="AA63" s="41" t="n">
        <f aca="false">IF(AC62&gt;0,AA62,AB62)</f>
        <v>0.00364530202843608</v>
      </c>
      <c r="AB63" s="41" t="n">
        <f aca="false">(Z63+AA63)/2</f>
        <v>0.00364530202843608</v>
      </c>
      <c r="AC63" s="42" t="n">
        <f aca="false">(SUMPRODUCT((1-(('3. Assumptions'!$B$21/(1-'3. Assumptions'!$B$22))))^('7. Cash flow'!$A$7:$A$86/4)*'7. Cash flow'!$C$7:$C$86/(1+('3. Assumptions'!$B$6+AB63))^('7. Cash flow'!$A$7:$A$86/4))+SUMPRODUCT((1-(('3. Assumptions'!$B$21/(1-'3. Assumptions'!$B$22))))^(('7. Cash flow'!$A$7:$A$86-1)/4)*(1-(1-(('3. Assumptions'!$B$21/(1-'3. Assumptions'!$B$22))))^0.25)*'7. Cash flow'!$D$7:$D$86/(1+('3. Assumptions'!$B$6+AB63))^('7. Cash flow'!$A$7:$A$86/4))+(1-(('3. Assumptions'!$B$21/(1-'3. Assumptions'!$B$22))))^'3. Assumptions'!$B$9*'7. Cash flow'!$D$87/(1+('3. Assumptions'!$B$6+AB63))^'3. Assumptions'!$B$9)/(1+'3. Assumptions'!$B$14)-('2. The tape'!$C$17/'3. Assumptions'!$B$4)</f>
        <v>0</v>
      </c>
      <c r="AE63" s="41" t="n">
        <f aca="false">IF(AH62&gt;0,AG62,AE62)</f>
        <v>0.0501035708211505</v>
      </c>
      <c r="AF63" s="41" t="n">
        <f aca="false">IF(AH62&gt;0,AF62,AG62)</f>
        <v>0.0501035708211505</v>
      </c>
      <c r="AG63" s="41" t="n">
        <f aca="false">(AE63+AF63)/2</f>
        <v>0.0501035708211505</v>
      </c>
      <c r="AH63" s="42" t="n">
        <f aca="false">(SUMPRODUCT((1-(('3. Assumptions'!$B$21/(1-'3. Assumptions'!$B$22))))^('7. Cash flow'!$A$7:$A$86/4)*'7. Cash flow'!$C$7:$C$86/(1+(AG63))^('7. Cash flow'!$A$7:$A$86/4))+SUMPRODUCT((1-(('3. Assumptions'!$B$21/(1-'3. Assumptions'!$B$22))))^(('7. Cash flow'!$A$7:$A$86-1)/4)*(1-(1-(('3. Assumptions'!$B$21/(1-'3. Assumptions'!$B$22))))^0.25)*'7. Cash flow'!$D$7:$D$86/(1+(AG63))^('7. Cash flow'!$A$7:$A$86/4))+(1-(('3. Assumptions'!$B$21/(1-'3. Assumptions'!$B$22))))^'3. Assumptions'!$B$9*'7. Cash flow'!$D$87/(1+(AG63))^'3.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0</v>
      </c>
      <c r="AJ63" s="41" t="n">
        <f aca="false">IF(AM62&gt;0,AL62,AJ62)</f>
        <v>-0.00180680470795947</v>
      </c>
      <c r="AK63" s="41" t="n">
        <f aca="false">IF(AM62&gt;0,AK62,AL62)</f>
        <v>-0.00180680470795946</v>
      </c>
      <c r="AL63" s="41" t="n">
        <f aca="false">(AJ63+AK63)/2</f>
        <v>-0.00180680470795946</v>
      </c>
      <c r="AM63" s="42" t="n">
        <f aca="false">SUMPRODUCT((1-('3. Assumptions'!$B$21/(1-'3. Assumptions'!$B$22)))^('7. Cash flow'!$A$7:$A$26/4)*('3. Assumptions'!$B$6+'3. Assumptions'!$B$21)/4/(1+'3. Assumptions'!$B$6+AL63)^('7. Cash flow'!$A$7:$A$26/4))+SUMPRODUCT((1-('3. Assumptions'!$B$21/(1-'3. Assumptions'!$B$22)))^(('7. Cash flow'!$A$7:$A$26-1)/4)*(1-(1-('3. Assumptions'!$B$21/(1-'3. Assumptions'!$B$22)))^0.25)*'3. Assumptions'!$B$22/(1+'3. Assumptions'!$B$6+AL63)^('7. Cash flow'!$A$7:$A$26/4))+(1-('3. Assumptions'!$B$21/(1-'3. Assumptions'!$B$22)))^5/(1+'3. Assumptions'!$B$6+AL63)^5-1</f>
        <v>0</v>
      </c>
    </row>
    <row r="64" customFormat="false" ht="15" hidden="false" customHeight="false" outlineLevel="0" collapsed="false">
      <c r="A64" s="41" t="n">
        <f aca="false">IF(D63&gt;0,C63,A63)</f>
        <v>0.0702608454046763</v>
      </c>
      <c r="B64" s="41" t="n">
        <f aca="false">IF(D63&gt;0,B63,C63)</f>
        <v>0.0702608454046763</v>
      </c>
      <c r="C64" s="41" t="n">
        <f aca="false">(A64+B64)/2</f>
        <v>0.0702608454046763</v>
      </c>
      <c r="D64" s="42" t="n">
        <f aca="false">(SUMPRODUCT((1-(C64))^('7. Cash flow'!$A$7:$A$86/4)*'7. Cash flow'!$C$7:$C$86/(1+(('3. Assumptions'!$B$6+'6. The ladder'!$B$6)))^('7. Cash flow'!$A$7:$A$86/4))+SUMPRODUCT((1-(C64))^(('7. Cash flow'!$A$7:$A$86-1)/4)*(1-(1-(C64))^0.25)*'7. Cash flow'!$D$7:$D$86/(1+(('3. Assumptions'!$B$6+'6. The ladder'!$C$6)))^('7. Cash flow'!$A$7:$A$86/4))+(1-(C64))^'3. Assumptions'!$B$9*'7. Cash flow'!$D$87/(1+(('3. Assumptions'!$B$6+'6. The ladder'!$C$6)))^'3. Assumptions'!$B$9)/(1+'3. Assumptions'!$B$14)-('2. The tape'!$C$17/'3. Assumptions'!$B$4)</f>
        <v>7.74860382080078E-007</v>
      </c>
      <c r="F64" s="41" t="n">
        <f aca="false">IF(I63&gt;0,H63,F63)</f>
        <v>0.0576608620644231</v>
      </c>
      <c r="G64" s="41" t="n">
        <f aca="false">IF(I63&gt;0,G63,H63)</f>
        <v>0.0576608620644231</v>
      </c>
      <c r="H64" s="41" t="n">
        <f aca="false">(F64+G64)/2</f>
        <v>0.0576608620644231</v>
      </c>
      <c r="I64" s="42" t="n">
        <f aca="false">(SUMPRODUCT((1-(H64))^('7. Cash flow'!$A$7:$A$86/4)*'7. Cash flow'!$C$7:$C$86/(1+(('3. Assumptions'!$B$6+'6. The ladder'!$B$7)))^('7. Cash flow'!$A$7:$A$86/4))+SUMPRODUCT((1-(H64))^(('7. Cash flow'!$A$7:$A$86-1)/4)*(1-(1-(H64))^0.25)*'7. Cash flow'!$D$7:$D$86/(1+(('3. Assumptions'!$B$6+'6. The ladder'!$C$7)))^('7. Cash flow'!$A$7:$A$86/4))+(1-(H64))^'3. Assumptions'!$B$9*'7. Cash flow'!$D$87/(1+(('3. Assumptions'!$B$6+'6. The ladder'!$C$7)))^'3. Assumptions'!$B$9)/(1+'3. Assumptions'!$B$14)-('2. The tape'!$C$17/'3. Assumptions'!$B$4)</f>
        <v>8.04662704467773E-007</v>
      </c>
      <c r="K64" s="41" t="n">
        <f aca="false">IF(N63&gt;0,M63,K63)</f>
        <v>0.0449128327103397</v>
      </c>
      <c r="L64" s="41" t="n">
        <f aca="false">IF(N63&gt;0,L63,M63)</f>
        <v>0.0449128327103397</v>
      </c>
      <c r="M64" s="41" t="n">
        <f aca="false">(K64+L64)/2</f>
        <v>0.0449128327103397</v>
      </c>
      <c r="N64" s="42" t="n">
        <f aca="false">(SUMPRODUCT((1-(M64))^('7. Cash flow'!$A$7:$A$86/4)*'7. Cash flow'!$C$7:$C$86/(1+(('3. Assumptions'!$B$6+'6. The ladder'!$B$8)))^('7. Cash flow'!$A$7:$A$86/4))+SUMPRODUCT((1-(M64))^(('7. Cash flow'!$A$7:$A$86-1)/4)*(1-(1-(M64))^0.25)*'7. Cash flow'!$D$7:$D$86/(1+(('3. Assumptions'!$B$6+'6. The ladder'!$C$8)))^('7. Cash flow'!$A$7:$A$86/4))+(1-(M64))^'3. Assumptions'!$B$9*'7. Cash flow'!$D$87/(1+(('3. Assumptions'!$B$6+'6. The ladder'!$C$8)))^'3. Assumptions'!$B$9)/(1+'3. Assumptions'!$B$14)-('2. The tape'!$C$17/'3. Assumptions'!$B$4)</f>
        <v>8.04662704467773E-007</v>
      </c>
      <c r="P64" s="41" t="n">
        <f aca="false">IF(S63&gt;0,R63,P63)</f>
        <v>0.032285034807498</v>
      </c>
      <c r="Q64" s="41" t="n">
        <f aca="false">IF(S63&gt;0,Q63,R63)</f>
        <v>0.032285034807498</v>
      </c>
      <c r="R64" s="41" t="n">
        <f aca="false">(P64+Q64)/2</f>
        <v>0.032285034807498</v>
      </c>
      <c r="S64" s="42" t="n">
        <f aca="false">(SUMPRODUCT((1-(R64))^('7. Cash flow'!$A$7:$A$86/4)*'7. Cash flow'!$C$7:$C$86/(1+(('3. Assumptions'!$B$6+'6. The ladder'!$B$9)))^('7. Cash flow'!$A$7:$A$86/4))+SUMPRODUCT((1-(R64))^(('7. Cash flow'!$A$7:$A$86-1)/4)*(1-(1-(R64))^0.25)*'7. Cash flow'!$D$7:$D$86/(1+(('3. Assumptions'!$B$6+'6. The ladder'!$C$9)))^('7. Cash flow'!$A$7:$A$86/4))+(1-(R64))^'3. Assumptions'!$B$9*'7. Cash flow'!$D$87/(1+(('3. Assumptions'!$B$6+'6. The ladder'!$C$9)))^'3. Assumptions'!$B$9)/(1+'3. Assumptions'!$B$14)-('2. The tape'!$C$17/'3. Assumptions'!$B$4)</f>
        <v>7.45058059692383E-007</v>
      </c>
      <c r="U64" s="41" t="n">
        <f aca="false">IF(X63&gt;0,W63,U63)</f>
        <v>0.032285034807498</v>
      </c>
      <c r="V64" s="41" t="n">
        <f aca="false">IF(X63&gt;0,V63,W63)</f>
        <v>0.032285034807498</v>
      </c>
      <c r="W64" s="41" t="n">
        <f aca="false">(U64+V64)/2</f>
        <v>0.032285034807498</v>
      </c>
      <c r="X64" s="42" t="n">
        <f aca="false">(SUMPRODUCT((1-(W64))^('7. Cash flow'!$A$7:$A$86/4)*'7. Cash flow'!$C$7:$C$86/(1+('3. Assumptions'!$B$28))^('7. Cash flow'!$A$7:$A$86/4))+SUMPRODUCT((1-(W64))^(('7. Cash flow'!$A$7:$A$86-1)/4)*(1-(1-(W64))^0.25)*'7. Cash flow'!$D$7:$D$86/(1+('3. Assumptions'!$B$29))^('7. Cash flow'!$A$7:$A$86/4))+(1-(W64))^'3. Assumptions'!$B$9*'7. Cash flow'!$D$87/(1+('3. Assumptions'!$B$29))^'3. Assumptions'!$B$9)/(1+'3. Assumptions'!$B$14)-('2. The tape'!$C$17/'3. Assumptions'!$B$4)</f>
        <v>7.45058059692383E-007</v>
      </c>
      <c r="Z64" s="41" t="n">
        <f aca="false">IF(AC63&gt;0,AB63,Z63)</f>
        <v>0.00364530202843607</v>
      </c>
      <c r="AA64" s="41" t="n">
        <f aca="false">IF(AC63&gt;0,AA63,AB63)</f>
        <v>0.00364530202843608</v>
      </c>
      <c r="AB64" s="41" t="n">
        <f aca="false">(Z64+AA64)/2</f>
        <v>0.00364530202843608</v>
      </c>
      <c r="AC64" s="42" t="n">
        <f aca="false">(SUMPRODUCT((1-(('3. Assumptions'!$B$21/(1-'3. Assumptions'!$B$22))))^('7. Cash flow'!$A$7:$A$86/4)*'7. Cash flow'!$C$7:$C$86/(1+('3. Assumptions'!$B$6+AB64))^('7. Cash flow'!$A$7:$A$86/4))+SUMPRODUCT((1-(('3. Assumptions'!$B$21/(1-'3. Assumptions'!$B$22))))^(('7. Cash flow'!$A$7:$A$86-1)/4)*(1-(1-(('3. Assumptions'!$B$21/(1-'3. Assumptions'!$B$22))))^0.25)*'7. Cash flow'!$D$7:$D$86/(1+('3. Assumptions'!$B$6+AB64))^('7. Cash flow'!$A$7:$A$86/4))+(1-(('3. Assumptions'!$B$21/(1-'3. Assumptions'!$B$22))))^'3. Assumptions'!$B$9*'7. Cash flow'!$D$87/(1+('3. Assumptions'!$B$6+AB64))^'3. Assumptions'!$B$9)/(1+'3. Assumptions'!$B$14)-('2. The tape'!$C$17/'3. Assumptions'!$B$4)</f>
        <v>0</v>
      </c>
      <c r="AE64" s="41" t="n">
        <f aca="false">IF(AH63&gt;0,AG63,AE63)</f>
        <v>0.0501035708211505</v>
      </c>
      <c r="AF64" s="41" t="n">
        <f aca="false">IF(AH63&gt;0,AF63,AG63)</f>
        <v>0.0501035708211505</v>
      </c>
      <c r="AG64" s="41" t="n">
        <f aca="false">(AE64+AF64)/2</f>
        <v>0.0501035708211505</v>
      </c>
      <c r="AH64" s="42" t="n">
        <f aca="false">(SUMPRODUCT((1-(('3. Assumptions'!$B$21/(1-'3. Assumptions'!$B$22))))^('7. Cash flow'!$A$7:$A$86/4)*'7. Cash flow'!$C$7:$C$86/(1+(AG64))^('7. Cash flow'!$A$7:$A$86/4))+SUMPRODUCT((1-(('3. Assumptions'!$B$21/(1-'3. Assumptions'!$B$22))))^(('7. Cash flow'!$A$7:$A$86-1)/4)*(1-(1-(('3. Assumptions'!$B$21/(1-'3. Assumptions'!$B$22))))^0.25)*'7. Cash flow'!$D$7:$D$86/(1+(AG64))^('7. Cash flow'!$A$7:$A$86/4))+(1-(('3. Assumptions'!$B$21/(1-'3. Assumptions'!$B$22))))^'3. Assumptions'!$B$9*'7. Cash flow'!$D$87/(1+(AG64))^'3.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64" s="41" t="n">
        <f aca="false">IF(AM63&gt;0,AL63,AJ63)</f>
        <v>-0.00180680470795947</v>
      </c>
      <c r="AK64" s="41" t="n">
        <f aca="false">IF(AM63&gt;0,AK63,AL63)</f>
        <v>-0.00180680470795946</v>
      </c>
      <c r="AL64" s="41" t="n">
        <f aca="false">(AJ64+AK64)/2</f>
        <v>-0.00180680470795946</v>
      </c>
      <c r="AM64" s="42" t="n">
        <f aca="false">SUMPRODUCT((1-('3. Assumptions'!$B$21/(1-'3. Assumptions'!$B$22)))^('7. Cash flow'!$A$7:$A$26/4)*('3. Assumptions'!$B$6+'3. Assumptions'!$B$21)/4/(1+'3. Assumptions'!$B$6+AL64)^('7. Cash flow'!$A$7:$A$26/4))+SUMPRODUCT((1-('3. Assumptions'!$B$21/(1-'3. Assumptions'!$B$22)))^(('7. Cash flow'!$A$7:$A$26-1)/4)*(1-(1-('3. Assumptions'!$B$21/(1-'3. Assumptions'!$B$22)))^0.25)*'3. Assumptions'!$B$22/(1+'3. Assumptions'!$B$6+AL64)^('7. Cash flow'!$A$7:$A$26/4))+(1-('3. Assumptions'!$B$21/(1-'3. Assumptions'!$B$22)))^5/(1+'3. Assumptions'!$B$6+AL64)^5-1</f>
        <v>0</v>
      </c>
    </row>
    <row r="65" customFormat="false" ht="15" hidden="false" customHeight="false" outlineLevel="0" collapsed="false">
      <c r="A65" s="41" t="n">
        <f aca="false">IF(D64&gt;0,C64,A64)</f>
        <v>0.0702608454046763</v>
      </c>
      <c r="B65" s="41" t="n">
        <f aca="false">IF(D64&gt;0,B64,C64)</f>
        <v>0.0702608454046763</v>
      </c>
      <c r="C65" s="41" t="n">
        <f aca="false">(A65+B65)/2</f>
        <v>0.0702608454046763</v>
      </c>
      <c r="D65" s="42" t="n">
        <f aca="false">(SUMPRODUCT((1-(C65))^('7. Cash flow'!$A$7:$A$86/4)*'7. Cash flow'!$C$7:$C$86/(1+(('3. Assumptions'!$B$6+'6. The ladder'!$B$6)))^('7. Cash flow'!$A$7:$A$86/4))+SUMPRODUCT((1-(C65))^(('7. Cash flow'!$A$7:$A$86-1)/4)*(1-(1-(C65))^0.25)*'7. Cash flow'!$D$7:$D$86/(1+(('3. Assumptions'!$B$6+'6. The ladder'!$C$6)))^('7. Cash flow'!$A$7:$A$86/4))+(1-(C65))^'3. Assumptions'!$B$9*'7. Cash flow'!$D$87/(1+(('3. Assumptions'!$B$6+'6. The ladder'!$C$6)))^'3. Assumptions'!$B$9)/(1+'3. Assumptions'!$B$14)-('2. The tape'!$C$17/'3. Assumptions'!$B$4)</f>
        <v>7.74860382080078E-007</v>
      </c>
      <c r="F65" s="41" t="n">
        <f aca="false">IF(I64&gt;0,H64,F64)</f>
        <v>0.0576608620644231</v>
      </c>
      <c r="G65" s="41" t="n">
        <f aca="false">IF(I64&gt;0,G64,H64)</f>
        <v>0.0576608620644231</v>
      </c>
      <c r="H65" s="41" t="n">
        <f aca="false">(F65+G65)/2</f>
        <v>0.0576608620644231</v>
      </c>
      <c r="I65" s="42" t="n">
        <f aca="false">(SUMPRODUCT((1-(H65))^('7. Cash flow'!$A$7:$A$86/4)*'7. Cash flow'!$C$7:$C$86/(1+(('3. Assumptions'!$B$6+'6. The ladder'!$B$7)))^('7. Cash flow'!$A$7:$A$86/4))+SUMPRODUCT((1-(H65))^(('7. Cash flow'!$A$7:$A$86-1)/4)*(1-(1-(H65))^0.25)*'7. Cash flow'!$D$7:$D$86/(1+(('3. Assumptions'!$B$6+'6. The ladder'!$C$7)))^('7. Cash flow'!$A$7:$A$86/4))+(1-(H65))^'3. Assumptions'!$B$9*'7. Cash flow'!$D$87/(1+(('3. Assumptions'!$B$6+'6. The ladder'!$C$7)))^'3. Assumptions'!$B$9)/(1+'3. Assumptions'!$B$14)-('2. The tape'!$C$17/'3. Assumptions'!$B$4)</f>
        <v>8.04662704467773E-007</v>
      </c>
      <c r="K65" s="41" t="n">
        <f aca="false">IF(N64&gt;0,M64,K64)</f>
        <v>0.0449128327103397</v>
      </c>
      <c r="L65" s="41" t="n">
        <f aca="false">IF(N64&gt;0,L64,M64)</f>
        <v>0.0449128327103397</v>
      </c>
      <c r="M65" s="41" t="n">
        <f aca="false">(K65+L65)/2</f>
        <v>0.0449128327103397</v>
      </c>
      <c r="N65" s="42" t="n">
        <f aca="false">(SUMPRODUCT((1-(M65))^('7. Cash flow'!$A$7:$A$86/4)*'7. Cash flow'!$C$7:$C$86/(1+(('3. Assumptions'!$B$6+'6. The ladder'!$B$8)))^('7. Cash flow'!$A$7:$A$86/4))+SUMPRODUCT((1-(M65))^(('7. Cash flow'!$A$7:$A$86-1)/4)*(1-(1-(M65))^0.25)*'7. Cash flow'!$D$7:$D$86/(1+(('3. Assumptions'!$B$6+'6. The ladder'!$C$8)))^('7. Cash flow'!$A$7:$A$86/4))+(1-(M65))^'3. Assumptions'!$B$9*'7. Cash flow'!$D$87/(1+(('3. Assumptions'!$B$6+'6. The ladder'!$C$8)))^'3. Assumptions'!$B$9)/(1+'3. Assumptions'!$B$14)-('2. The tape'!$C$17/'3. Assumptions'!$B$4)</f>
        <v>8.04662704467773E-007</v>
      </c>
      <c r="P65" s="41" t="n">
        <f aca="false">IF(S64&gt;0,R64,P64)</f>
        <v>0.032285034807498</v>
      </c>
      <c r="Q65" s="41" t="n">
        <f aca="false">IF(S64&gt;0,Q64,R64)</f>
        <v>0.032285034807498</v>
      </c>
      <c r="R65" s="41" t="n">
        <f aca="false">(P65+Q65)/2</f>
        <v>0.032285034807498</v>
      </c>
      <c r="S65" s="42" t="n">
        <f aca="false">(SUMPRODUCT((1-(R65))^('7. Cash flow'!$A$7:$A$86/4)*'7. Cash flow'!$C$7:$C$86/(1+(('3. Assumptions'!$B$6+'6. The ladder'!$B$9)))^('7. Cash flow'!$A$7:$A$86/4))+SUMPRODUCT((1-(R65))^(('7. Cash flow'!$A$7:$A$86-1)/4)*(1-(1-(R65))^0.25)*'7. Cash flow'!$D$7:$D$86/(1+(('3. Assumptions'!$B$6+'6. The ladder'!$C$9)))^('7. Cash flow'!$A$7:$A$86/4))+(1-(R65))^'3. Assumptions'!$B$9*'7. Cash flow'!$D$87/(1+(('3. Assumptions'!$B$6+'6. The ladder'!$C$9)))^'3. Assumptions'!$B$9)/(1+'3. Assumptions'!$B$14)-('2. The tape'!$C$17/'3. Assumptions'!$B$4)</f>
        <v>7.45058059692383E-007</v>
      </c>
      <c r="U65" s="41" t="n">
        <f aca="false">IF(X64&gt;0,W64,U64)</f>
        <v>0.032285034807498</v>
      </c>
      <c r="V65" s="41" t="n">
        <f aca="false">IF(X64&gt;0,V64,W64)</f>
        <v>0.032285034807498</v>
      </c>
      <c r="W65" s="41" t="n">
        <f aca="false">(U65+V65)/2</f>
        <v>0.032285034807498</v>
      </c>
      <c r="X65" s="42" t="n">
        <f aca="false">(SUMPRODUCT((1-(W65))^('7. Cash flow'!$A$7:$A$86/4)*'7. Cash flow'!$C$7:$C$86/(1+('3. Assumptions'!$B$28))^('7. Cash flow'!$A$7:$A$86/4))+SUMPRODUCT((1-(W65))^(('7. Cash flow'!$A$7:$A$86-1)/4)*(1-(1-(W65))^0.25)*'7. Cash flow'!$D$7:$D$86/(1+('3. Assumptions'!$B$29))^('7. Cash flow'!$A$7:$A$86/4))+(1-(W65))^'3. Assumptions'!$B$9*'7. Cash flow'!$D$87/(1+('3. Assumptions'!$B$29))^'3. Assumptions'!$B$9)/(1+'3. Assumptions'!$B$14)-('2. The tape'!$C$17/'3. Assumptions'!$B$4)</f>
        <v>7.45058059692383E-007</v>
      </c>
      <c r="Z65" s="41" t="n">
        <f aca="false">IF(AC64&gt;0,AB64,Z64)</f>
        <v>0.00364530202843607</v>
      </c>
      <c r="AA65" s="41" t="n">
        <f aca="false">IF(AC64&gt;0,AA64,AB64)</f>
        <v>0.00364530202843608</v>
      </c>
      <c r="AB65" s="41" t="n">
        <f aca="false">(Z65+AA65)/2</f>
        <v>0.00364530202843608</v>
      </c>
      <c r="AC65" s="42" t="n">
        <f aca="false">(SUMPRODUCT((1-(('3. Assumptions'!$B$21/(1-'3. Assumptions'!$B$22))))^('7. Cash flow'!$A$7:$A$86/4)*'7. Cash flow'!$C$7:$C$86/(1+('3. Assumptions'!$B$6+AB65))^('7. Cash flow'!$A$7:$A$86/4))+SUMPRODUCT((1-(('3. Assumptions'!$B$21/(1-'3. Assumptions'!$B$22))))^(('7. Cash flow'!$A$7:$A$86-1)/4)*(1-(1-(('3. Assumptions'!$B$21/(1-'3. Assumptions'!$B$22))))^0.25)*'7. Cash flow'!$D$7:$D$86/(1+('3. Assumptions'!$B$6+AB65))^('7. Cash flow'!$A$7:$A$86/4))+(1-(('3. Assumptions'!$B$21/(1-'3. Assumptions'!$B$22))))^'3. Assumptions'!$B$9*'7. Cash flow'!$D$87/(1+('3. Assumptions'!$B$6+AB65))^'3. Assumptions'!$B$9)/(1+'3. Assumptions'!$B$14)-('2. The tape'!$C$17/'3. Assumptions'!$B$4)</f>
        <v>0</v>
      </c>
      <c r="AE65" s="41" t="n">
        <f aca="false">IF(AH64&gt;0,AG64,AE64)</f>
        <v>0.0501035708211505</v>
      </c>
      <c r="AF65" s="41" t="n">
        <f aca="false">IF(AH64&gt;0,AF64,AG64)</f>
        <v>0.0501035708211505</v>
      </c>
      <c r="AG65" s="41" t="n">
        <f aca="false">(AE65+AF65)/2</f>
        <v>0.0501035708211505</v>
      </c>
      <c r="AH65" s="42" t="n">
        <f aca="false">(SUMPRODUCT((1-(('3. Assumptions'!$B$21/(1-'3. Assumptions'!$B$22))))^('7. Cash flow'!$A$7:$A$86/4)*'7. Cash flow'!$C$7:$C$86/(1+(AG65))^('7. Cash flow'!$A$7:$A$86/4))+SUMPRODUCT((1-(('3. Assumptions'!$B$21/(1-'3. Assumptions'!$B$22))))^(('7. Cash flow'!$A$7:$A$86-1)/4)*(1-(1-(('3. Assumptions'!$B$21/(1-'3. Assumptions'!$B$22))))^0.25)*'7. Cash flow'!$D$7:$D$86/(1+(AG65))^('7. Cash flow'!$A$7:$A$86/4))+(1-(('3. Assumptions'!$B$21/(1-'3. Assumptions'!$B$22))))^'3. Assumptions'!$B$9*'7. Cash flow'!$D$87/(1+(AG65))^'3.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65" s="41" t="n">
        <f aca="false">IF(AM64&gt;0,AL64,AJ64)</f>
        <v>-0.00180680470795947</v>
      </c>
      <c r="AK65" s="41" t="n">
        <f aca="false">IF(AM64&gt;0,AK64,AL64)</f>
        <v>-0.00180680470795946</v>
      </c>
      <c r="AL65" s="41" t="n">
        <f aca="false">(AJ65+AK65)/2</f>
        <v>-0.00180680470795946</v>
      </c>
      <c r="AM65" s="42" t="n">
        <f aca="false">SUMPRODUCT((1-('3. Assumptions'!$B$21/(1-'3. Assumptions'!$B$22)))^('7. Cash flow'!$A$7:$A$26/4)*('3. Assumptions'!$B$6+'3. Assumptions'!$B$21)/4/(1+'3. Assumptions'!$B$6+AL65)^('7. Cash flow'!$A$7:$A$26/4))+SUMPRODUCT((1-('3. Assumptions'!$B$21/(1-'3. Assumptions'!$B$22)))^(('7. Cash flow'!$A$7:$A$26-1)/4)*(1-(1-('3. Assumptions'!$B$21/(1-'3. Assumptions'!$B$22)))^0.25)*'3. Assumptions'!$B$22/(1+'3. Assumptions'!$B$6+AL65)^('7. Cash flow'!$A$7:$A$26/4))+(1-('3. Assumptions'!$B$21/(1-'3. Assumptions'!$B$22)))^5/(1+'3. Assumptions'!$B$6+AL65)^5-1</f>
        <v>4.2188474935756E-015</v>
      </c>
    </row>
    <row r="66" customFormat="false" ht="15" hidden="false" customHeight="false" outlineLevel="0" collapsed="false">
      <c r="A66" s="41" t="n">
        <f aca="false">IF(D65&gt;0,C65,A65)</f>
        <v>0.0702608454046763</v>
      </c>
      <c r="B66" s="41" t="n">
        <f aca="false">IF(D65&gt;0,B65,C65)</f>
        <v>0.0702608454046763</v>
      </c>
      <c r="C66" s="41" t="n">
        <f aca="false">(A66+B66)/2</f>
        <v>0.0702608454046763</v>
      </c>
      <c r="D66" s="42" t="n">
        <f aca="false">(SUMPRODUCT((1-(C66))^('7. Cash flow'!$A$7:$A$86/4)*'7. Cash flow'!$C$7:$C$86/(1+(('3. Assumptions'!$B$6+'6. The ladder'!$B$6)))^('7. Cash flow'!$A$7:$A$86/4))+SUMPRODUCT((1-(C66))^(('7. Cash flow'!$A$7:$A$86-1)/4)*(1-(1-(C66))^0.25)*'7. Cash flow'!$D$7:$D$86/(1+(('3. Assumptions'!$B$6+'6. The ladder'!$C$6)))^('7. Cash flow'!$A$7:$A$86/4))+(1-(C66))^'3. Assumptions'!$B$9*'7. Cash flow'!$D$87/(1+(('3. Assumptions'!$B$6+'6. The ladder'!$C$6)))^'3. Assumptions'!$B$9)/(1+'3. Assumptions'!$B$14)-('2. The tape'!$C$17/'3. Assumptions'!$B$4)</f>
        <v>7.74860382080078E-007</v>
      </c>
      <c r="F66" s="41" t="n">
        <f aca="false">IF(I65&gt;0,H65,F65)</f>
        <v>0.0576608620644231</v>
      </c>
      <c r="G66" s="41" t="n">
        <f aca="false">IF(I65&gt;0,G65,H65)</f>
        <v>0.0576608620644231</v>
      </c>
      <c r="H66" s="41" t="n">
        <f aca="false">(F66+G66)/2</f>
        <v>0.0576608620644231</v>
      </c>
      <c r="I66" s="42" t="n">
        <f aca="false">(SUMPRODUCT((1-(H66))^('7. Cash flow'!$A$7:$A$86/4)*'7. Cash flow'!$C$7:$C$86/(1+(('3. Assumptions'!$B$6+'6. The ladder'!$B$7)))^('7. Cash flow'!$A$7:$A$86/4))+SUMPRODUCT((1-(H66))^(('7. Cash flow'!$A$7:$A$86-1)/4)*(1-(1-(H66))^0.25)*'7. Cash flow'!$D$7:$D$86/(1+(('3. Assumptions'!$B$6+'6. The ladder'!$C$7)))^('7. Cash flow'!$A$7:$A$86/4))+(1-(H66))^'3. Assumptions'!$B$9*'7. Cash flow'!$D$87/(1+(('3. Assumptions'!$B$6+'6. The ladder'!$C$7)))^'3. Assumptions'!$B$9)/(1+'3. Assumptions'!$B$14)-('2. The tape'!$C$17/'3. Assumptions'!$B$4)</f>
        <v>8.04662704467773E-007</v>
      </c>
      <c r="K66" s="41" t="n">
        <f aca="false">IF(N65&gt;0,M65,K65)</f>
        <v>0.0449128327103397</v>
      </c>
      <c r="L66" s="41" t="n">
        <f aca="false">IF(N65&gt;0,L65,M65)</f>
        <v>0.0449128327103397</v>
      </c>
      <c r="M66" s="41" t="n">
        <f aca="false">(K66+L66)/2</f>
        <v>0.0449128327103397</v>
      </c>
      <c r="N66" s="42" t="n">
        <f aca="false">(SUMPRODUCT((1-(M66))^('7. Cash flow'!$A$7:$A$86/4)*'7. Cash flow'!$C$7:$C$86/(1+(('3. Assumptions'!$B$6+'6. The ladder'!$B$8)))^('7. Cash flow'!$A$7:$A$86/4))+SUMPRODUCT((1-(M66))^(('7. Cash flow'!$A$7:$A$86-1)/4)*(1-(1-(M66))^0.25)*'7. Cash flow'!$D$7:$D$86/(1+(('3. Assumptions'!$B$6+'6. The ladder'!$C$8)))^('7. Cash flow'!$A$7:$A$86/4))+(1-(M66))^'3. Assumptions'!$B$9*'7. Cash flow'!$D$87/(1+(('3. Assumptions'!$B$6+'6. The ladder'!$C$8)))^'3. Assumptions'!$B$9)/(1+'3. Assumptions'!$B$14)-('2. The tape'!$C$17/'3. Assumptions'!$B$4)</f>
        <v>8.04662704467773E-007</v>
      </c>
      <c r="P66" s="41" t="n">
        <f aca="false">IF(S65&gt;0,R65,P65)</f>
        <v>0.032285034807498</v>
      </c>
      <c r="Q66" s="41" t="n">
        <f aca="false">IF(S65&gt;0,Q65,R65)</f>
        <v>0.032285034807498</v>
      </c>
      <c r="R66" s="41" t="n">
        <f aca="false">(P66+Q66)/2</f>
        <v>0.032285034807498</v>
      </c>
      <c r="S66" s="42" t="n">
        <f aca="false">(SUMPRODUCT((1-(R66))^('7. Cash flow'!$A$7:$A$86/4)*'7. Cash flow'!$C$7:$C$86/(1+(('3. Assumptions'!$B$6+'6. The ladder'!$B$9)))^('7. Cash flow'!$A$7:$A$86/4))+SUMPRODUCT((1-(R66))^(('7. Cash flow'!$A$7:$A$86-1)/4)*(1-(1-(R66))^0.25)*'7. Cash flow'!$D$7:$D$86/(1+(('3. Assumptions'!$B$6+'6. The ladder'!$C$9)))^('7. Cash flow'!$A$7:$A$86/4))+(1-(R66))^'3. Assumptions'!$B$9*'7. Cash flow'!$D$87/(1+(('3. Assumptions'!$B$6+'6. The ladder'!$C$9)))^'3. Assumptions'!$B$9)/(1+'3. Assumptions'!$B$14)-('2. The tape'!$C$17/'3. Assumptions'!$B$4)</f>
        <v>7.45058059692383E-007</v>
      </c>
      <c r="U66" s="41" t="n">
        <f aca="false">IF(X65&gt;0,W65,U65)</f>
        <v>0.032285034807498</v>
      </c>
      <c r="V66" s="41" t="n">
        <f aca="false">IF(X65&gt;0,V65,W65)</f>
        <v>0.032285034807498</v>
      </c>
      <c r="W66" s="41" t="n">
        <f aca="false">(U66+V66)/2</f>
        <v>0.032285034807498</v>
      </c>
      <c r="X66" s="42" t="n">
        <f aca="false">(SUMPRODUCT((1-(W66))^('7. Cash flow'!$A$7:$A$86/4)*'7. Cash flow'!$C$7:$C$86/(1+('3. Assumptions'!$B$28))^('7. Cash flow'!$A$7:$A$86/4))+SUMPRODUCT((1-(W66))^(('7. Cash flow'!$A$7:$A$86-1)/4)*(1-(1-(W66))^0.25)*'7. Cash flow'!$D$7:$D$86/(1+('3. Assumptions'!$B$29))^('7. Cash flow'!$A$7:$A$86/4))+(1-(W66))^'3. Assumptions'!$B$9*'7. Cash flow'!$D$87/(1+('3. Assumptions'!$B$29))^'3. Assumptions'!$B$9)/(1+'3. Assumptions'!$B$14)-('2. The tape'!$C$17/'3. Assumptions'!$B$4)</f>
        <v>7.45058059692383E-007</v>
      </c>
      <c r="Z66" s="41" t="n">
        <f aca="false">IF(AC65&gt;0,AB65,Z65)</f>
        <v>0.00364530202843607</v>
      </c>
      <c r="AA66" s="41" t="n">
        <f aca="false">IF(AC65&gt;0,AA65,AB65)</f>
        <v>0.00364530202843608</v>
      </c>
      <c r="AB66" s="41" t="n">
        <f aca="false">(Z66+AA66)/2</f>
        <v>0.00364530202843608</v>
      </c>
      <c r="AC66" s="42" t="n">
        <f aca="false">(SUMPRODUCT((1-(('3. Assumptions'!$B$21/(1-'3. Assumptions'!$B$22))))^('7. Cash flow'!$A$7:$A$86/4)*'7. Cash flow'!$C$7:$C$86/(1+('3. Assumptions'!$B$6+AB66))^('7. Cash flow'!$A$7:$A$86/4))+SUMPRODUCT((1-(('3. Assumptions'!$B$21/(1-'3. Assumptions'!$B$22))))^(('7. Cash flow'!$A$7:$A$86-1)/4)*(1-(1-(('3. Assumptions'!$B$21/(1-'3. Assumptions'!$B$22))))^0.25)*'7. Cash flow'!$D$7:$D$86/(1+('3. Assumptions'!$B$6+AB66))^('7. Cash flow'!$A$7:$A$86/4))+(1-(('3. Assumptions'!$B$21/(1-'3. Assumptions'!$B$22))))^'3. Assumptions'!$B$9*'7. Cash flow'!$D$87/(1+('3. Assumptions'!$B$6+AB66))^'3. Assumptions'!$B$9)/(1+'3. Assumptions'!$B$14)-('2. The tape'!$C$17/'3. Assumptions'!$B$4)</f>
        <v>0</v>
      </c>
      <c r="AE66" s="41" t="n">
        <f aca="false">IF(AH65&gt;0,AG65,AE65)</f>
        <v>0.0501035708211505</v>
      </c>
      <c r="AF66" s="41" t="n">
        <f aca="false">IF(AH65&gt;0,AF65,AG65)</f>
        <v>0.0501035708211505</v>
      </c>
      <c r="AG66" s="41" t="n">
        <f aca="false">(AE66+AF66)/2</f>
        <v>0.0501035708211505</v>
      </c>
      <c r="AH66" s="42" t="n">
        <f aca="false">(SUMPRODUCT((1-(('3. Assumptions'!$B$21/(1-'3. Assumptions'!$B$22))))^('7. Cash flow'!$A$7:$A$86/4)*'7. Cash flow'!$C$7:$C$86/(1+(AG66))^('7. Cash flow'!$A$7:$A$86/4))+SUMPRODUCT((1-(('3. Assumptions'!$B$21/(1-'3. Assumptions'!$B$22))))^(('7. Cash flow'!$A$7:$A$86-1)/4)*(1-(1-(('3. Assumptions'!$B$21/(1-'3. Assumptions'!$B$22))))^0.25)*'7. Cash flow'!$D$7:$D$86/(1+(AG66))^('7. Cash flow'!$A$7:$A$86/4))+(1-(('3. Assumptions'!$B$21/(1-'3. Assumptions'!$B$22))))^'3. Assumptions'!$B$9*'7. Cash flow'!$D$87/(1+(AG66))^'3.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66" s="41" t="n">
        <f aca="false">IF(AM65&gt;0,AL65,AJ65)</f>
        <v>-0.00180680470795946</v>
      </c>
      <c r="AK66" s="41" t="n">
        <f aca="false">IF(AM65&gt;0,AK65,AL65)</f>
        <v>-0.00180680470795946</v>
      </c>
      <c r="AL66" s="41" t="n">
        <f aca="false">(AJ66+AK66)/2</f>
        <v>-0.00180680470795946</v>
      </c>
      <c r="AM66" s="42" t="n">
        <f aca="false">SUMPRODUCT((1-('3. Assumptions'!$B$21/(1-'3. Assumptions'!$B$22)))^('7. Cash flow'!$A$7:$A$26/4)*('3. Assumptions'!$B$6+'3. Assumptions'!$B$21)/4/(1+'3. Assumptions'!$B$6+AL66)^('7. Cash flow'!$A$7:$A$26/4))+SUMPRODUCT((1-('3. Assumptions'!$B$21/(1-'3. Assumptions'!$B$22)))^(('7. Cash flow'!$A$7:$A$26-1)/4)*(1-(1-('3. Assumptions'!$B$21/(1-'3. Assumptions'!$B$22)))^0.25)*'3. Assumptions'!$B$22/(1+'3. Assumptions'!$B$6+AL66)^('7. Cash flow'!$A$7:$A$26/4))+(1-('3. Assumptions'!$B$21/(1-'3. Assumptions'!$B$22)))^5/(1+'3. Assumptions'!$B$6+AL66)^5-1</f>
        <v>4.2188474935756E-015</v>
      </c>
    </row>
    <row r="67" customFormat="false" ht="15" hidden="false" customHeight="false" outlineLevel="0" collapsed="false">
      <c r="A67" s="41" t="n">
        <f aca="false">IF(D66&gt;0,C66,A66)</f>
        <v>0.0702608454046763</v>
      </c>
      <c r="B67" s="41" t="n">
        <f aca="false">IF(D66&gt;0,B66,C66)</f>
        <v>0.0702608454046763</v>
      </c>
      <c r="C67" s="41" t="n">
        <f aca="false">(A67+B67)/2</f>
        <v>0.0702608454046763</v>
      </c>
      <c r="D67" s="42" t="n">
        <f aca="false">(SUMPRODUCT((1-(C67))^('7. Cash flow'!$A$7:$A$86/4)*'7. Cash flow'!$C$7:$C$86/(1+(('3. Assumptions'!$B$6+'6. The ladder'!$B$6)))^('7. Cash flow'!$A$7:$A$86/4))+SUMPRODUCT((1-(C67))^(('7. Cash flow'!$A$7:$A$86-1)/4)*(1-(1-(C67))^0.25)*'7. Cash flow'!$D$7:$D$86/(1+(('3. Assumptions'!$B$6+'6. The ladder'!$C$6)))^('7. Cash flow'!$A$7:$A$86/4))+(1-(C67))^'3. Assumptions'!$B$9*'7. Cash flow'!$D$87/(1+(('3. Assumptions'!$B$6+'6. The ladder'!$C$6)))^'3. Assumptions'!$B$9)/(1+'3. Assumptions'!$B$14)-('2. The tape'!$C$17/'3. Assumptions'!$B$4)</f>
        <v>7.74860382080078E-007</v>
      </c>
      <c r="F67" s="41" t="n">
        <f aca="false">IF(I66&gt;0,H66,F66)</f>
        <v>0.0576608620644231</v>
      </c>
      <c r="G67" s="41" t="n">
        <f aca="false">IF(I66&gt;0,G66,H66)</f>
        <v>0.0576608620644231</v>
      </c>
      <c r="H67" s="41" t="n">
        <f aca="false">(F67+G67)/2</f>
        <v>0.0576608620644231</v>
      </c>
      <c r="I67" s="42" t="n">
        <f aca="false">(SUMPRODUCT((1-(H67))^('7. Cash flow'!$A$7:$A$86/4)*'7. Cash flow'!$C$7:$C$86/(1+(('3. Assumptions'!$B$6+'6. The ladder'!$B$7)))^('7. Cash flow'!$A$7:$A$86/4))+SUMPRODUCT((1-(H67))^(('7. Cash flow'!$A$7:$A$86-1)/4)*(1-(1-(H67))^0.25)*'7. Cash flow'!$D$7:$D$86/(1+(('3. Assumptions'!$B$6+'6. The ladder'!$C$7)))^('7. Cash flow'!$A$7:$A$86/4))+(1-(H67))^'3. Assumptions'!$B$9*'7. Cash flow'!$D$87/(1+(('3. Assumptions'!$B$6+'6. The ladder'!$C$7)))^'3. Assumptions'!$B$9)/(1+'3. Assumptions'!$B$14)-('2. The tape'!$C$17/'3. Assumptions'!$B$4)</f>
        <v>8.04662704467773E-007</v>
      </c>
      <c r="K67" s="41" t="n">
        <f aca="false">IF(N66&gt;0,M66,K66)</f>
        <v>0.0449128327103397</v>
      </c>
      <c r="L67" s="41" t="n">
        <f aca="false">IF(N66&gt;0,L66,M66)</f>
        <v>0.0449128327103397</v>
      </c>
      <c r="M67" s="41" t="n">
        <f aca="false">(K67+L67)/2</f>
        <v>0.0449128327103397</v>
      </c>
      <c r="N67" s="42" t="n">
        <f aca="false">(SUMPRODUCT((1-(M67))^('7. Cash flow'!$A$7:$A$86/4)*'7. Cash flow'!$C$7:$C$86/(1+(('3. Assumptions'!$B$6+'6. The ladder'!$B$8)))^('7. Cash flow'!$A$7:$A$86/4))+SUMPRODUCT((1-(M67))^(('7. Cash flow'!$A$7:$A$86-1)/4)*(1-(1-(M67))^0.25)*'7. Cash flow'!$D$7:$D$86/(1+(('3. Assumptions'!$B$6+'6. The ladder'!$C$8)))^('7. Cash flow'!$A$7:$A$86/4))+(1-(M67))^'3. Assumptions'!$B$9*'7. Cash flow'!$D$87/(1+(('3. Assumptions'!$B$6+'6. The ladder'!$C$8)))^'3. Assumptions'!$B$9)/(1+'3. Assumptions'!$B$14)-('2. The tape'!$C$17/'3. Assumptions'!$B$4)</f>
        <v>8.04662704467773E-007</v>
      </c>
      <c r="P67" s="41" t="n">
        <f aca="false">IF(S66&gt;0,R66,P66)</f>
        <v>0.032285034807498</v>
      </c>
      <c r="Q67" s="41" t="n">
        <f aca="false">IF(S66&gt;0,Q66,R66)</f>
        <v>0.032285034807498</v>
      </c>
      <c r="R67" s="41" t="n">
        <f aca="false">(P67+Q67)/2</f>
        <v>0.032285034807498</v>
      </c>
      <c r="S67" s="42" t="n">
        <f aca="false">(SUMPRODUCT((1-(R67))^('7. Cash flow'!$A$7:$A$86/4)*'7. Cash flow'!$C$7:$C$86/(1+(('3. Assumptions'!$B$6+'6. The ladder'!$B$9)))^('7. Cash flow'!$A$7:$A$86/4))+SUMPRODUCT((1-(R67))^(('7. Cash flow'!$A$7:$A$86-1)/4)*(1-(1-(R67))^0.25)*'7. Cash flow'!$D$7:$D$86/(1+(('3. Assumptions'!$B$6+'6. The ladder'!$C$9)))^('7. Cash flow'!$A$7:$A$86/4))+(1-(R67))^'3. Assumptions'!$B$9*'7. Cash flow'!$D$87/(1+(('3. Assumptions'!$B$6+'6. The ladder'!$C$9)))^'3. Assumptions'!$B$9)/(1+'3. Assumptions'!$B$14)-('2. The tape'!$C$17/'3. Assumptions'!$B$4)</f>
        <v>7.45058059692383E-007</v>
      </c>
      <c r="U67" s="41" t="n">
        <f aca="false">IF(X66&gt;0,W66,U66)</f>
        <v>0.032285034807498</v>
      </c>
      <c r="V67" s="41" t="n">
        <f aca="false">IF(X66&gt;0,V66,W66)</f>
        <v>0.032285034807498</v>
      </c>
      <c r="W67" s="41" t="n">
        <f aca="false">(U67+V67)/2</f>
        <v>0.032285034807498</v>
      </c>
      <c r="X67" s="42" t="n">
        <f aca="false">(SUMPRODUCT((1-(W67))^('7. Cash flow'!$A$7:$A$86/4)*'7. Cash flow'!$C$7:$C$86/(1+('3. Assumptions'!$B$28))^('7. Cash flow'!$A$7:$A$86/4))+SUMPRODUCT((1-(W67))^(('7. Cash flow'!$A$7:$A$86-1)/4)*(1-(1-(W67))^0.25)*'7. Cash flow'!$D$7:$D$86/(1+('3. Assumptions'!$B$29))^('7. Cash flow'!$A$7:$A$86/4))+(1-(W67))^'3. Assumptions'!$B$9*'7. Cash flow'!$D$87/(1+('3. Assumptions'!$B$29))^'3. Assumptions'!$B$9)/(1+'3. Assumptions'!$B$14)-('2. The tape'!$C$17/'3. Assumptions'!$B$4)</f>
        <v>7.45058059692383E-007</v>
      </c>
      <c r="Z67" s="41" t="n">
        <f aca="false">IF(AC66&gt;0,AB66,Z66)</f>
        <v>0.00364530202843607</v>
      </c>
      <c r="AA67" s="41" t="n">
        <f aca="false">IF(AC66&gt;0,AA66,AB66)</f>
        <v>0.00364530202843608</v>
      </c>
      <c r="AB67" s="41" t="n">
        <f aca="false">(Z67+AA67)/2</f>
        <v>0.00364530202843607</v>
      </c>
      <c r="AC67" s="42" t="n">
        <f aca="false">(SUMPRODUCT((1-(('3. Assumptions'!$B$21/(1-'3. Assumptions'!$B$22))))^('7. Cash flow'!$A$7:$A$86/4)*'7. Cash flow'!$C$7:$C$86/(1+('3. Assumptions'!$B$6+AB67))^('7. Cash flow'!$A$7:$A$86/4))+SUMPRODUCT((1-(('3. Assumptions'!$B$21/(1-'3. Assumptions'!$B$22))))^(('7. Cash flow'!$A$7:$A$86-1)/4)*(1-(1-(('3. Assumptions'!$B$21/(1-'3. Assumptions'!$B$22))))^0.25)*'7. Cash flow'!$D$7:$D$86/(1+('3. Assumptions'!$B$6+AB67))^('7. Cash flow'!$A$7:$A$86/4))+(1-(('3. Assumptions'!$B$21/(1-'3. Assumptions'!$B$22))))^'3. Assumptions'!$B$9*'7. Cash flow'!$D$87/(1+('3. Assumptions'!$B$6+AB67))^'3. Assumptions'!$B$9)/(1+'3. Assumptions'!$B$14)-('2. The tape'!$C$17/'3. Assumptions'!$B$4)</f>
        <v>0</v>
      </c>
      <c r="AE67" s="41" t="n">
        <f aca="false">IF(AH66&gt;0,AG66,AE66)</f>
        <v>0.0501035708211505</v>
      </c>
      <c r="AF67" s="41" t="n">
        <f aca="false">IF(AH66&gt;0,AF66,AG66)</f>
        <v>0.0501035708211505</v>
      </c>
      <c r="AG67" s="41" t="n">
        <f aca="false">(AE67+AF67)/2</f>
        <v>0.0501035708211505</v>
      </c>
      <c r="AH67" s="42" t="n">
        <f aca="false">(SUMPRODUCT((1-(('3. Assumptions'!$B$21/(1-'3. Assumptions'!$B$22))))^('7. Cash flow'!$A$7:$A$86/4)*'7. Cash flow'!$C$7:$C$86/(1+(AG67))^('7. Cash flow'!$A$7:$A$86/4))+SUMPRODUCT((1-(('3. Assumptions'!$B$21/(1-'3. Assumptions'!$B$22))))^(('7. Cash flow'!$A$7:$A$86-1)/4)*(1-(1-(('3. Assumptions'!$B$21/(1-'3. Assumptions'!$B$22))))^0.25)*'7. Cash flow'!$D$7:$D$86/(1+(AG67))^('7. Cash flow'!$A$7:$A$86/4))+(1-(('3. Assumptions'!$B$21/(1-'3. Assumptions'!$B$22))))^'3. Assumptions'!$B$9*'7. Cash flow'!$D$87/(1+(AG67))^'3. Assumptions'!$B$9)/(1+'3. Assumptions'!$B$14)-(SUMPRODUCT((1-(('3.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7.45058059692383E-007</v>
      </c>
      <c r="AJ67" s="41" t="n">
        <f aca="false">IF(AM66&gt;0,AL66,AJ66)</f>
        <v>-0.00180680470795946</v>
      </c>
      <c r="AK67" s="41" t="n">
        <f aca="false">IF(AM66&gt;0,AK66,AL66)</f>
        <v>-0.00180680470795946</v>
      </c>
      <c r="AL67" s="41" t="n">
        <f aca="false">(AJ67+AK67)/2</f>
        <v>-0.00180680470795946</v>
      </c>
      <c r="AM67" s="42" t="n">
        <f aca="false">SUMPRODUCT((1-('3. Assumptions'!$B$21/(1-'3. Assumptions'!$B$22)))^('7. Cash flow'!$A$7:$A$26/4)*('3. Assumptions'!$B$6+'3. Assumptions'!$B$21)/4/(1+'3. Assumptions'!$B$6+AL67)^('7. Cash flow'!$A$7:$A$26/4))+SUMPRODUCT((1-('3. Assumptions'!$B$21/(1-'3. Assumptions'!$B$22)))^(('7. Cash flow'!$A$7:$A$26-1)/4)*(1-(1-('3. Assumptions'!$B$21/(1-'3. Assumptions'!$B$22)))^0.25)*'3. Assumptions'!$B$22/(1+'3. Assumptions'!$B$6+AL67)^('7. Cash flow'!$A$7:$A$26/4))+(1-('3. Assumptions'!$B$21/(1-'3. Assumptions'!$B$22)))^5/(1+'3. Assumptions'!$B$6+AL67)^5-1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6"/>
  </cols>
  <sheetData>
    <row r="1" customFormat="false" ht="16.15" hidden="false" customHeight="false" outlineLevel="0" collapsed="false">
      <c r="A1" s="38" t="s">
        <v>246</v>
      </c>
    </row>
    <row r="2" customFormat="false" ht="15" hidden="false" customHeight="false" outlineLevel="0" collapsed="false">
      <c r="A2" s="22" t="s">
        <v>247</v>
      </c>
    </row>
    <row r="5" customFormat="false" ht="15" hidden="false" customHeight="false" outlineLevel="0" collapsed="false">
      <c r="A5" s="20" t="s">
        <v>248</v>
      </c>
      <c r="B5" s="32" t="n">
        <v>2</v>
      </c>
    </row>
    <row r="6" customFormat="false" ht="15" hidden="false" customHeight="false" outlineLevel="0" collapsed="false">
      <c r="A6" s="20" t="s">
        <v>249</v>
      </c>
      <c r="B6" s="21" t="n">
        <v>0.035</v>
      </c>
    </row>
    <row r="7" customFormat="false" ht="15" hidden="false" customHeight="false" outlineLevel="0" collapsed="false">
      <c r="A7" s="20" t="s">
        <v>250</v>
      </c>
      <c r="B7" s="21" t="n">
        <v>0.01</v>
      </c>
    </row>
    <row r="8" customFormat="false" ht="15" hidden="false" customHeight="false" outlineLevel="0" collapsed="false">
      <c r="A8" s="20" t="s">
        <v>251</v>
      </c>
      <c r="B8" s="21" t="n">
        <v>0.0975</v>
      </c>
    </row>
    <row r="9" customFormat="false" ht="15" hidden="false" customHeight="false" outlineLevel="0" collapsed="false">
      <c r="A9" s="20" t="s">
        <v>252</v>
      </c>
      <c r="B9" s="21" t="n">
        <v>0.005</v>
      </c>
    </row>
    <row r="10" customFormat="false" ht="15" hidden="false" customHeight="false" outlineLevel="0" collapsed="false">
      <c r="A10" s="20" t="s">
        <v>253</v>
      </c>
      <c r="B10" s="39" t="n">
        <v>0</v>
      </c>
    </row>
    <row r="12" customFormat="false" ht="15" hidden="false" customHeight="false" outlineLevel="0" collapsed="false">
      <c r="A12" s="30" t="s">
        <v>254</v>
      </c>
      <c r="B12" s="43" t="n">
        <f aca="false">(SUMPRODUCT((1-(('3.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f>
        <v>152990676.905815</v>
      </c>
    </row>
    <row r="14" customFormat="false" ht="15" hidden="false" customHeight="false" outlineLevel="0" collapsed="false">
      <c r="A14" s="28" t="s">
        <v>255</v>
      </c>
      <c r="B14" s="28" t="s">
        <v>56</v>
      </c>
      <c r="C14" s="28" t="s">
        <v>256</v>
      </c>
      <c r="D14" s="28" t="s">
        <v>257</v>
      </c>
      <c r="E14" s="28" t="s">
        <v>258</v>
      </c>
    </row>
    <row r="15" customFormat="false" ht="15" hidden="false" customHeight="false" outlineLevel="0" collapsed="false">
      <c r="A15" s="20" t="s">
        <v>259</v>
      </c>
      <c r="B15" s="33" t="n">
        <f aca="false">(SUMPRODUCT((1-(0))^('7. Cash flow'!$A$7:$A$86/4)*'7. Cash flow'!$C$7:$C$86/(1+('3. Assumptions'!$B$28))^('7. Cash flow'!$A$7:$A$86/4))+SUMPRODUCT((1-(0))^(('7. Cash flow'!$A$7:$A$86-1)/4)*(1-(1-(0))^0.25)*'7. Cash flow'!$D$7:$D$86/(1+('3. Assumptions'!$B$29))^('7. Cash flow'!$A$7:$A$86/4))+(1-(0))^'3. Assumptions'!$B$9*'7. Cash flow'!$D$87/(1+('3. Assumptions'!$B$29))^'3. Assumptions'!$B$9)/(1+'3. Assumptions'!$B$14)</f>
        <v>219604804.327798</v>
      </c>
      <c r="C15" s="33" t="n">
        <f aca="false">B15-$B$12</f>
        <v>66614127.4219826</v>
      </c>
      <c r="D15" s="13" t="n">
        <f aca="false">B15/$B$12-1</f>
        <v>0.435412985740248</v>
      </c>
      <c r="E15" s="20" t="n">
        <f aca="false">SUMPRODUCT((ABS($C$15:$C$22)&gt;ABS(C15))*1)+1</f>
        <v>1</v>
      </c>
    </row>
    <row r="16" customFormat="false" ht="15" hidden="false" customHeight="false" outlineLevel="0" collapsed="false">
      <c r="A16" s="20" t="s">
        <v>260</v>
      </c>
      <c r="B16" s="33" t="n">
        <f aca="false">(SUMPRODUCT((1-($B$5*('3. Assumptions'!$B$21/(1-'3. Assumptions'!$B$22))))^('7. Cash flow'!$A$7:$A$86/4)*'7. Cash flow'!$C$7:$C$86/(1+('3. Assumptions'!$B$28))^('7. Cash flow'!$A$7:$A$86/4))+SUMPRODUCT((1-($B$5*('3. Assumptions'!$B$21/(1-'3. Assumptions'!$B$22))))^(('7. Cash flow'!$A$7:$A$86-1)/4)*(1-(1-($B$5*('3. Assumptions'!$B$21/(1-'3. Assumptions'!$B$22))))^0.25)*'7. Cash flow'!$D$7:$D$86/(1+('3. Assumptions'!$B$29))^('7. Cash flow'!$A$7:$A$86/4))+(1-($B$5*('3. Assumptions'!$B$21/(1-'3. Assumptions'!$B$22))))^'3. Assumptions'!$B$9*'7. Cash flow'!$D$87/(1+('3. Assumptions'!$B$29))^'3. Assumptions'!$B$9)/(1+'3. Assumptions'!$B$14)</f>
        <v>122400220.24781</v>
      </c>
      <c r="C16" s="33" t="n">
        <f aca="false">B16-$B$12</f>
        <v>-30590456.6580058</v>
      </c>
      <c r="D16" s="13" t="n">
        <f aca="false">B16/$B$12-1</f>
        <v>-0.199949809208557</v>
      </c>
      <c r="E16" s="20" t="n">
        <f aca="false">SUMPRODUCT((ABS($C$15:$C$22)&gt;ABS(C16))*1)+1</f>
        <v>2</v>
      </c>
    </row>
    <row r="17" customFormat="false" ht="15" hidden="false" customHeight="false" outlineLevel="0" collapsed="false">
      <c r="A17" s="20" t="s">
        <v>261</v>
      </c>
      <c r="B17" s="33" t="n">
        <f aca="false">'14. Scenario engine'!H11</f>
        <v>163695102.539738</v>
      </c>
      <c r="C17" s="33" t="n">
        <f aca="false">B17-$B$12</f>
        <v>10704425.633923</v>
      </c>
      <c r="D17" s="13" t="n">
        <f aca="false">B17/$B$12-1</f>
        <v>0.0699678297424156</v>
      </c>
      <c r="E17" s="20" t="n">
        <f aca="false">SUMPRODUCT((ABS($C$15:$C$22)&gt;ABS(C17))*1)+1</f>
        <v>3</v>
      </c>
    </row>
    <row r="18" customFormat="false" ht="15" hidden="false" customHeight="false" outlineLevel="0" collapsed="false">
      <c r="A18" s="20" t="s">
        <v>262</v>
      </c>
      <c r="B18" s="33" t="n">
        <f aca="false">'14. Scenario engine'!J11</f>
        <v>145992177.929068</v>
      </c>
      <c r="C18" s="33" t="n">
        <f aca="false">B18-$B$12</f>
        <v>-6998498.97674692</v>
      </c>
      <c r="D18" s="13" t="n">
        <f aca="false">B18/$B$12-1</f>
        <v>-0.0457446108370078</v>
      </c>
      <c r="E18" s="20" t="n">
        <f aca="false">SUMPRODUCT((ABS($C$15:$C$22)&gt;ABS(C18))*1)+1</f>
        <v>4</v>
      </c>
    </row>
    <row r="19" customFormat="false" ht="15" hidden="false" customHeight="false" outlineLevel="0" collapsed="false">
      <c r="A19" s="20" t="s">
        <v>263</v>
      </c>
      <c r="B19" s="33" t="n">
        <f aca="false">(SUMPRODUCT((1-(('3. Assumptions'!$B$21/(1-'3. Assumptions'!$B$22))))^('7. Cash flow'!$A$7:$A$86/4)*'7. Cash flow'!$C$7:$C$86/(1+('3. Assumptions'!$B$28+$B$9))^('7. Cash flow'!$A$7:$A$86/4))+SUMPRODUCT((1-(('3. Assumptions'!$B$21/(1-'3. Assumptions'!$B$22))))^(('7. Cash flow'!$A$7:$A$86-1)/4)*(1-(1-(('3. Assumptions'!$B$21/(1-'3. Assumptions'!$B$22))))^0.25)*'7. Cash flow'!$D$7:$D$86/(1+('3. Assumptions'!$B$29+$B$9))^('7. Cash flow'!$A$7:$A$86/4))+(1-(('3. Assumptions'!$B$21/(1-'3. Assumptions'!$B$22))))^'3. Assumptions'!$B$9*'7. Cash flow'!$D$87/(1+('3. Assumptions'!$B$29+$B$9))^'3. Assumptions'!$B$9)/(1+'3. Assumptions'!$B$14)</f>
        <v>147612608.490256</v>
      </c>
      <c r="C19" s="33" t="n">
        <f aca="false">B19-$B$12</f>
        <v>-5378068.41555911</v>
      </c>
      <c r="D19" s="13" t="n">
        <f aca="false">B19/$B$12-1</f>
        <v>-0.0351529160098427</v>
      </c>
      <c r="E19" s="20" t="n">
        <f aca="false">SUMPRODUCT((ABS($C$15:$C$22)&gt;ABS(C19))*1)+1</f>
        <v>5</v>
      </c>
    </row>
    <row r="20" customFormat="false" ht="15" hidden="false" customHeight="false" outlineLevel="0" collapsed="false">
      <c r="A20" s="20" t="s">
        <v>264</v>
      </c>
      <c r="B20" s="33" t="n">
        <f aca="false">'14. Scenario engine'!D11</f>
        <v>148851006.001461</v>
      </c>
      <c r="C20" s="33" t="n">
        <f aca="false">B20-$B$12</f>
        <v>-4139670.90435436</v>
      </c>
      <c r="D20" s="13" t="n">
        <f aca="false">B20/$B$12-1</f>
        <v>-0.0270583213832228</v>
      </c>
      <c r="E20" s="20" t="n">
        <f aca="false">SUMPRODUCT((ABS($C$15:$C$22)&gt;ABS(C20))*1)+1</f>
        <v>6</v>
      </c>
    </row>
    <row r="21" customFormat="false" ht="15" hidden="false" customHeight="false" outlineLevel="0" collapsed="false">
      <c r="A21" s="20" t="s">
        <v>265</v>
      </c>
      <c r="B21" s="33" t="n">
        <f aca="false">(SUMPRODUCT((1-(('3.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Assumptions'!$B$9*$B$25/(1+('3. Assumptions'!$B$29))^'3. Assumptions'!$B$9)/(1+'3. Assumptions'!$B$14)</f>
        <v>151813302.734761</v>
      </c>
      <c r="C21" s="33" t="n">
        <f aca="false">B21-$B$12</f>
        <v>-1177374.17105398</v>
      </c>
      <c r="D21" s="13" t="n">
        <f aca="false">B21/$B$12-1</f>
        <v>-0.00769572496093207</v>
      </c>
      <c r="E21" s="20" t="n">
        <f aca="false">SUMPRODUCT((ABS($C$15:$C$22)&gt;ABS(C21))*1)+1</f>
        <v>7</v>
      </c>
    </row>
    <row r="22" customFormat="false" ht="15" hidden="false" customHeight="false" outlineLevel="0" collapsed="false">
      <c r="A22" s="20" t="s">
        <v>266</v>
      </c>
      <c r="B22" s="33" t="n">
        <f aca="false">'14. Scenario engine'!F11</f>
        <v>153468378.506958</v>
      </c>
      <c r="C22" s="33" t="n">
        <f aca="false">B22-$B$12</f>
        <v>477701.601142824</v>
      </c>
      <c r="D22" s="13" t="n">
        <f aca="false">B22/$B$12-1</f>
        <v>0.00312242295285037</v>
      </c>
      <c r="E22" s="20" t="n">
        <f aca="false">SUMPRODUCT((ABS($C$15:$C$22)&gt;ABS(C22))*1)+1</f>
        <v>8</v>
      </c>
    </row>
    <row r="25" customFormat="false" ht="15" hidden="false" customHeight="false" outlineLevel="0" collapsed="false">
      <c r="A25" s="20" t="s">
        <v>267</v>
      </c>
      <c r="B25" s="33" t="n">
        <f aca="false">(1-'3. Assumptions'!$B$15)*(($B$10)*SUMPRODUCT('2. The tape'!$C$5:$C$13*'2. The tape'!$D$5:$D$13*(1-'2. The tape'!$J$5:$J$13)^('3. Assumptions'!$B$9)*(1+'3. Assumptions'!$B$12)^('3. Assumptions'!$B$9)*((1-'3. Assumptions'!$B$13)/('3. Assumptions'!$B$5)-0.5*'3. Assumptions'!$B$16))+(1-($B$10))*SUMPRODUCT((('2. The tape'!$C$5:$C$13*'2. The tape'!$D$5:$D$13*(1-'2. The tape'!$J$5:$J$13)^('3. Assumptions'!$B$9)*(1+'3. Assumptions'!$B$12)^('3. Assumptions'!$B$9)*((1-'3. Assumptions'!$B$13)/('3. Assumptions'!$B$5)-'2. The tape'!$H$5:$H$13/12-'3. Assumptions'!$B$16)-'2. The tape'!$C$5:$C$13*'2. The tape'!$I$5:$I$13*(1+'3. Assumptions'!$B$12)^('3. Assumptions'!$B$9))&gt;0)*('2. The tape'!$C$5:$C$13*'2. The tape'!$D$5:$D$13*(1-'2. The tape'!$J$5:$J$13)^('3. Assumptions'!$B$9)*(1+'3. Assumptions'!$B$12)^('3. Assumptions'!$B$9)*((1-'3. Assumptions'!$B$13)/('3. Assumptions'!$B$5)-'2. The tape'!$H$5:$H$13/12-'3. Assumptions'!$B$16)-'2. The tape'!$C$5:$C$13*'2. The tape'!$I$5:$I$13*(1+'3. Assumptions'!$B$12)^('3. Assumptions'!$B$9))))</f>
        <v>73972713.2726463</v>
      </c>
    </row>
    <row r="27" customFormat="false" ht="15" hidden="false" customHeight="false" outlineLevel="0" collapsed="false">
      <c r="A27" s="20" t="s">
        <v>268</v>
      </c>
      <c r="B27" s="21" t="n">
        <v>0.06</v>
      </c>
    </row>
    <row r="28" customFormat="false" ht="15" hidden="false" customHeight="false" outlineLevel="0" collapsed="false">
      <c r="A28" s="20" t="s">
        <v>269</v>
      </c>
      <c r="B28" s="35" t="n">
        <f aca="false">B27/(1-'3. Assumptions'!$B$22)</f>
        <v>0.1</v>
      </c>
      <c r="C28" s="33" t="n">
        <f aca="false">(SUMPRODUCT((1-(B28))^('7. Cash flow'!$A$7:$A$86/4)*'7. Cash flow'!$C$7:$C$86/(1+('3. Assumptions'!$B$28))^('7. Cash flow'!$A$7:$A$86/4))+SUMPRODUCT((1-(B28))^(('7. Cash flow'!$A$7:$A$86-1)/4)*(1-(1-(B28))^0.25)*'7. Cash flow'!$D$7:$D$86/(1+('3. Assumptions'!$B$29))^('7. Cash flow'!$A$7:$A$86/4))+(1-(B28))^'3. Assumptions'!$B$9*'7. Cash flow'!$D$87/(1+('3. Assumptions'!$B$29))^'3. Assumptions'!$B$9)/(1+'3. Assumptions'!$B$14)</f>
        <v>133197999.477064</v>
      </c>
      <c r="D28" s="33" t="n">
        <f aca="false">C28-B12</f>
        <v>-19792677.4287515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3" min="2" style="0" width="16"/>
    <col collapsed="false" customWidth="true" hidden="false" outlineLevel="0" max="4" min="4" style="0" width="40"/>
    <col collapsed="false" customWidth="true" hidden="false" outlineLevel="0" max="5" min="5" style="0" width="16"/>
  </cols>
  <sheetData>
    <row r="1" customFormat="false" ht="16.15" hidden="false" customHeight="false" outlineLevel="0" collapsed="false">
      <c r="A1" s="38" t="s">
        <v>270</v>
      </c>
    </row>
    <row r="2" customFormat="false" ht="15" hidden="false" customHeight="false" outlineLevel="0" collapsed="false">
      <c r="A2" s="22" t="s">
        <v>271</v>
      </c>
    </row>
    <row r="4" customFormat="false" ht="15" hidden="false" customHeight="false" outlineLevel="0" collapsed="false">
      <c r="A4" s="20" t="s">
        <v>203</v>
      </c>
      <c r="B4" s="33" t="n">
        <f aca="false">('2. The tape'!$C$17/'3. Assumptions'!$B$4)</f>
        <v>179459259.259259</v>
      </c>
    </row>
    <row r="6" customFormat="false" ht="15" hidden="false" customHeight="false" outlineLevel="0" collapsed="false">
      <c r="A6" s="30" t="s">
        <v>272</v>
      </c>
    </row>
    <row r="7" customFormat="false" ht="15" hidden="false" customHeight="false" outlineLevel="0" collapsed="false">
      <c r="A7" s="20" t="s">
        <v>273</v>
      </c>
      <c r="B7" s="35" t="n">
        <f aca="false">B12</f>
        <v>0.3</v>
      </c>
    </row>
    <row r="8" customFormat="false" ht="15" hidden="false" customHeight="false" outlineLevel="0" collapsed="false">
      <c r="A8" s="20" t="s">
        <v>274</v>
      </c>
      <c r="B8" s="33" t="n">
        <f aca="false">'14. Scenario engine'!L11</f>
        <v>79603588.1481901</v>
      </c>
    </row>
    <row r="9" customFormat="false" ht="15" hidden="false" customHeight="false" outlineLevel="0" collapsed="false">
      <c r="A9" s="20" t="s">
        <v>275</v>
      </c>
      <c r="B9" s="21" t="n">
        <v>-0.03</v>
      </c>
    </row>
    <row r="10" customFormat="false" ht="15" hidden="false" customHeight="false" outlineLevel="0" collapsed="false">
      <c r="A10" s="20" t="s">
        <v>276</v>
      </c>
      <c r="B10" s="21" t="n">
        <v>-0.02</v>
      </c>
    </row>
    <row r="12" customFormat="false" ht="15" hidden="false" customHeight="false" outlineLevel="0" collapsed="false">
      <c r="A12" s="20" t="s">
        <v>277</v>
      </c>
      <c r="B12" s="21" t="n">
        <v>0.3</v>
      </c>
    </row>
    <row r="15" customFormat="false" ht="15" hidden="false" customHeight="false" outlineLevel="0" collapsed="false">
      <c r="A15" s="30" t="s">
        <v>278</v>
      </c>
    </row>
    <row r="16" customFormat="false" ht="15" hidden="false" customHeight="false" outlineLevel="0" collapsed="false">
      <c r="A16" s="20" t="s">
        <v>279</v>
      </c>
      <c r="B16" s="21" t="n">
        <v>0.05</v>
      </c>
    </row>
    <row r="17" customFormat="false" ht="15" hidden="false" customHeight="false" outlineLevel="0" collapsed="false">
      <c r="A17" s="20" t="s">
        <v>276</v>
      </c>
      <c r="B17" s="21" t="n">
        <v>0.065</v>
      </c>
    </row>
    <row r="20" customFormat="false" ht="28.35" hidden="false" customHeight="false" outlineLevel="0" collapsed="false">
      <c r="A20" s="28" t="s">
        <v>280</v>
      </c>
      <c r="B20" s="28" t="s">
        <v>281</v>
      </c>
      <c r="C20" s="28" t="s">
        <v>282</v>
      </c>
      <c r="D20" s="28" t="s">
        <v>283</v>
      </c>
      <c r="E20" s="28" t="s">
        <v>284</v>
      </c>
    </row>
    <row r="21" customFormat="false" ht="15" hidden="false" customHeight="false" outlineLevel="0" collapsed="false">
      <c r="A21" s="20" t="s">
        <v>285</v>
      </c>
      <c r="B21" s="35" t="n">
        <f aca="false">('3. Assumptions'!$B$21/(1-'3. Assumptions'!$B$22))</f>
        <v>0.0641666666666667</v>
      </c>
      <c r="C21" s="35" t="n">
        <f aca="false">'9. Solvers'!$V$6</f>
        <v>0.032285034807498</v>
      </c>
      <c r="D21" s="20" t="str">
        <f aca="false">IF('9. Solvers'!W6="converged","Yes","No")</f>
        <v>Yes</v>
      </c>
      <c r="E21" s="33" t="n">
        <f aca="false">(SUMPRODUCT((1-(C21))^('7. Cash flow'!$A$7:$A$86/4)*'7. Cash flow'!$C$7:$C$86/(1+('3. Assumptions'!$B$28))^('7. Cash flow'!$A$7:$A$86/4))+SUMPRODUCT((1-(C21))^(('7. Cash flow'!$A$7:$A$86-1)/4)*(1-(1-(C21))^0.25)*'7. Cash flow'!$D$7:$D$86/(1+('3. Assumptions'!$B$29))^('7. Cash flow'!$A$7:$A$86/4))+(1-(C21))^'3. Assumptions'!$B$9*'7. Cash flow'!$D$87/(1+('3. Assumptions'!$B$29))^'3. Assumptions'!$B$9)/(1+'3. Assumptions'!$B$14)</f>
        <v>179459259.25926</v>
      </c>
    </row>
    <row r="22" customFormat="false" ht="15" hidden="false" customHeight="false" outlineLevel="0" collapsed="false">
      <c r="A22" s="20" t="s">
        <v>286</v>
      </c>
      <c r="B22" s="35" t="n">
        <f aca="false">'3. Assumptions'!$B$12</f>
        <v>0.022</v>
      </c>
      <c r="C22" s="35" t="n">
        <f aca="false">'14. Scenario engine'!AF5</f>
        <v>-0.0262111098518936</v>
      </c>
      <c r="D22" s="20" t="str">
        <f aca="false">IF(ABS(E22-B4)&gt;1,"No",IF(C22&lt;0,"Only by deflation every year, a negative nominal rent-leg rate","Yes"))</f>
        <v>Only by deflation every year, a negative nominal rent-leg rate</v>
      </c>
      <c r="E22" s="33" t="n">
        <f aca="false">'14. Scenario engine'!AF11</f>
        <v>179459259.259259</v>
      </c>
    </row>
    <row r="23" customFormat="false" ht="15" hidden="false" customHeight="false" outlineLevel="0" collapsed="false">
      <c r="A23" s="20" t="s">
        <v>287</v>
      </c>
      <c r="B23" s="13" t="n">
        <f aca="false">'3. Assumptions'!$B$17</f>
        <v>0.55</v>
      </c>
      <c r="C23" s="20" t="s">
        <v>288</v>
      </c>
      <c r="D23" s="20" t="str">
        <f aca="false">IF(E23&lt;B4,"No — at any value","Yes")</f>
        <v>No — at any value</v>
      </c>
      <c r="E23" s="33" t="n">
        <f aca="false">(SUMPRODUCT((1-(('3.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Assumptions'!$B$9*$B$25/(1+('3. Assumptions'!$B$29))^'3. Assumptions'!$B$9)/(1+'3. Assumptions'!$B$14)</f>
        <v>153953983.045769</v>
      </c>
    </row>
    <row r="24" customFormat="false" ht="15" hidden="false" customHeight="false" outlineLevel="0" collapsed="false">
      <c r="A24" s="20" t="s">
        <v>289</v>
      </c>
      <c r="B24" s="35" t="n">
        <f aca="false">'3. Assumptions'!$B$5</f>
        <v>0.085</v>
      </c>
      <c r="C24" s="35" t="n">
        <f aca="false">'14. Scenario engine'!AZ6</f>
        <v>0.0572438162404894</v>
      </c>
      <c r="D24" s="20" t="str">
        <f aca="false">IF(ABS(E24-B4)&gt;1,"No","Yes")</f>
        <v>Yes</v>
      </c>
      <c r="E24" s="33" t="n">
        <f aca="false">'14. Scenario engine'!AZ11</f>
        <v>179459259.259259</v>
      </c>
    </row>
    <row r="25" customFormat="false" ht="15" hidden="false" customHeight="false" outlineLevel="0" collapsed="false">
      <c r="A25" s="20" t="s">
        <v>290</v>
      </c>
      <c r="B25" s="33" t="n">
        <f aca="false">(1-'3. Assumptions'!$B$15)*((1)*SUMPRODUCT('2. The tape'!$C$5:$C$13*'2. The tape'!$D$5:$D$13*(1-'2. The tape'!$J$5:$J$13)^('3. Assumptions'!$B$9)*(1+'3. Assumptions'!$B$12)^('3. Assumptions'!$B$9)*((1-'3. Assumptions'!$B$13)/('3. Assumptions'!$B$5)-0.5*'3. Assumptions'!$B$16))+(1-(1))*SUMPRODUCT((('2. The tape'!$C$5:$C$13*'2. The tape'!$D$5:$D$13*(1-'2. The tape'!$J$5:$J$13)^('3. Assumptions'!$B$9)*(1+'3. Assumptions'!$B$12)^('3. Assumptions'!$B$9)*((1-'3. Assumptions'!$B$13)/('3. Assumptions'!$B$5)-'2. The tape'!$H$5:$H$13/12-'3. Assumptions'!$B$16)-'2. The tape'!$C$5:$C$13*'2. The tape'!$I$5:$I$13*(1+'3. Assumptions'!$B$12)^('3. Assumptions'!$B$9))&gt;0)*('2. The tape'!$C$5:$C$13*'2. The tape'!$D$5:$D$13*(1-'2. The tape'!$J$5:$J$13)^('3. Assumptions'!$B$9)*(1+'3. Assumptions'!$B$12)^('3. Assumptions'!$B$9)*((1-'3. Assumptions'!$B$13)/('3. Assumptions'!$B$5)-'2. The tape'!$H$5:$H$13/12-'3. Assumptions'!$B$16)-'2. The tape'!$C$5:$C$13*'2. The tape'!$I$5:$I$13*(1+'3. Assumptions'!$B$12)^('3. Assumptions'!$B$9))))</f>
        <v>108914979.407403</v>
      </c>
    </row>
    <row r="26" customFormat="false" ht="15" hidden="false" customHeight="false" outlineLevel="0" collapsed="false">
      <c r="A26" s="20" t="s">
        <v>291</v>
      </c>
      <c r="B26" s="35" t="n">
        <f aca="false">'3. Assumptions'!$B$28+C22-'3. Assumptions'!$B$12</f>
        <v>-0.00971110985189359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8"/>
    <col collapsed="false" customWidth="true" hidden="false" outlineLevel="0" max="2" min="2" style="0" width="11"/>
    <col collapsed="false" customWidth="true" hidden="false" outlineLevel="0" max="3" min="3" style="0" width="14"/>
    <col collapsed="false" customWidth="true" hidden="false" outlineLevel="0" max="4" min="4" style="0" width="11"/>
    <col collapsed="false" customWidth="true" hidden="false" outlineLevel="0" max="6" min="5" style="0" width="14"/>
    <col collapsed="false" customWidth="true" hidden="false" outlineLevel="0" max="7" min="7" style="0" width="13"/>
    <col collapsed="false" customWidth="true" hidden="false" outlineLevel="0" max="8" min="8" style="0" width="14"/>
    <col collapsed="false" customWidth="true" hidden="false" outlineLevel="0" max="9" min="9" style="0" width="11"/>
    <col collapsed="false" customWidth="true" hidden="false" outlineLevel="0" max="10" min="10" style="0" width="12"/>
    <col collapsed="false" customWidth="true" hidden="false" outlineLevel="0" max="11" min="11" style="0" width="15"/>
    <col collapsed="false" customWidth="true" hidden="false" outlineLevel="0" max="13" min="12" style="0" width="12"/>
  </cols>
  <sheetData>
    <row r="1" customFormat="false" ht="16.15" hidden="false" customHeight="false" outlineLevel="0" collapsed="false">
      <c r="A1" s="38" t="s">
        <v>292</v>
      </c>
    </row>
    <row r="2" customFormat="false" ht="15" hidden="false" customHeight="false" outlineLevel="0" collapsed="false">
      <c r="A2" s="22" t="s">
        <v>293</v>
      </c>
    </row>
    <row r="4" customFormat="false" ht="41.75" hidden="false" customHeight="false" outlineLevel="0" collapsed="false">
      <c r="A4" s="28" t="s">
        <v>25</v>
      </c>
      <c r="B4" s="28" t="s">
        <v>31</v>
      </c>
      <c r="C4" s="28" t="s">
        <v>294</v>
      </c>
      <c r="D4" s="28" t="s">
        <v>295</v>
      </c>
      <c r="E4" s="28" t="s">
        <v>296</v>
      </c>
      <c r="F4" s="28" t="s">
        <v>297</v>
      </c>
      <c r="G4" s="28" t="s">
        <v>298</v>
      </c>
      <c r="H4" s="28" t="s">
        <v>299</v>
      </c>
      <c r="I4" s="28" t="s">
        <v>300</v>
      </c>
      <c r="J4" s="28" t="s">
        <v>301</v>
      </c>
      <c r="K4" s="28" t="s">
        <v>302</v>
      </c>
      <c r="L4" s="28" t="s">
        <v>303</v>
      </c>
      <c r="M4" s="28" t="s">
        <v>304</v>
      </c>
    </row>
    <row r="5" customFormat="false" ht="15" hidden="false" customHeight="false" outlineLevel="0" collapsed="false">
      <c r="A5" s="20" t="str">
        <f aca="false">'2. The tape'!$A$5</f>
        <v>Alkmaar processing plant</v>
      </c>
      <c r="B5" s="31" t="n">
        <f aca="false">'2. The tape'!$G$5</f>
        <v>0.95</v>
      </c>
      <c r="C5" s="33" t="n">
        <f aca="false">'2. The tape'!$C$5*('2. The tape'!$E$5-'2. The tape'!$D$5)*SUMPRODUCT((1+MIN(MAX('3. Assumptions'!$B$12,'3. Assumptions'!$B$11),'3. Assumptions'!$B$10))^INT(('7. Cash flow'!$A$7:$A$86-1)/4)/4/(1+'3. Assumptions'!$B$23)^('7. Cash flow'!$A$7:$A$86/4))</f>
        <v>8422158.58867778</v>
      </c>
      <c r="D5" s="31" t="n">
        <f aca="false">ROUND((0.25+3.5*B5^2)*4,0)/4</f>
        <v>3.5</v>
      </c>
      <c r="E5" s="33" t="n">
        <f aca="false">'3. Assumptions'!$B$19*B5*'2. The tape'!$C$5*'2. The tape'!$D$5/SUMPRODUCT('2. The tape'!$G$5:$G$13,'2. The tape'!$C$5:$C$13,'2. The tape'!$D$5:$D$13)</f>
        <v>4263532.43940904</v>
      </c>
      <c r="F5" s="33" t="n">
        <f aca="false">E5/4*SUMPRODUCT(('7. Cash flow'!$A$7:$A$86&lt;=D5*4)/(1+'3. Assumptions'!$B$23)^('7. Cash flow'!$A$7:$A$86/4))</f>
        <v>13646151.9740567</v>
      </c>
      <c r="G5" s="33" t="n">
        <f aca="false">'2. The tape'!$C$5*'2. The tape'!$D$5*'3. Assumptions'!$B$26*(0.3+1.2*B5)</f>
        <v>1425600</v>
      </c>
      <c r="H5" s="33" t="n">
        <f aca="false">F5+G5</f>
        <v>15071751.9740567</v>
      </c>
      <c r="I5" s="20" t="str">
        <f aca="false">IF(H5&gt;C5,"Keep","Hand back")</f>
        <v>Keep</v>
      </c>
      <c r="J5" s="13" t="n">
        <f aca="false">(H5-C5)/H5</f>
        <v>0.441195781142431</v>
      </c>
      <c r="K5" s="33" t="n">
        <f aca="false">'5. Decomposition'!H5-'5. Decomposition'!G5</f>
        <v>18077215.6862745</v>
      </c>
      <c r="L5" s="20" t="str">
        <f aca="false">IF(H5*(1-$B$18)&gt;C5,"Keep","Hand back")</f>
        <v>Keep</v>
      </c>
      <c r="M5" s="20" t="str">
        <f aca="false">IF(H5*(1+$B$18)&gt;C5,"Keep","Hand back")</f>
        <v>Keep</v>
      </c>
    </row>
    <row r="6" customFormat="false" ht="15" hidden="false" customHeight="false" outlineLevel="0" collapsed="false">
      <c r="A6" s="20" t="str">
        <f aca="false">'2. The tape'!$A$6</f>
        <v>Roeselare cold store</v>
      </c>
      <c r="B6" s="31" t="n">
        <f aca="false">'2. The tape'!$G$6</f>
        <v>0.9</v>
      </c>
      <c r="C6" s="33" t="n">
        <f aca="false">'2. The tape'!$C$6*('2. The tape'!$E$6-'2. The tape'!$D$6)*SUMPRODUCT((1+MIN(MAX('3. Assumptions'!$B$12,'3. Assumptions'!$B$11),'3. Assumptions'!$B$10))^INT(('7. Cash flow'!$A$7:$A$86-1)/4)/4/(1+'3. Assumptions'!$B$23)^('7. Cash flow'!$A$7:$A$86/4))</f>
        <v>6797231.25227527</v>
      </c>
      <c r="D6" s="31" t="n">
        <f aca="false">ROUND((0.25+3.5*B6^2)*4,0)/4</f>
        <v>3</v>
      </c>
      <c r="E6" s="33" t="n">
        <f aca="false">'3. Assumptions'!$B$19*B6*'2. The tape'!$C$6*'2. The tape'!$D$6/SUMPRODUCT('2. The tape'!$G$5:$G$13,'2. The tape'!$C$5:$C$13,'2. The tape'!$D$5:$D$13)</f>
        <v>3433265.59594517</v>
      </c>
      <c r="F6" s="33" t="n">
        <f aca="false">E6/4*SUMPRODUCT(('7. Cash flow'!$A$7:$A$86&lt;=D6*4)/(1+'3. Assumptions'!$B$23)^('7. Cash flow'!$A$7:$A$86/4))</f>
        <v>9530367.18930863</v>
      </c>
      <c r="G6" s="33" t="n">
        <f aca="false">'2. The tape'!$C$6*'2. The tape'!$D$6*'3. Assumptions'!$B$26*(0.3+1.2*B6)</f>
        <v>1161270</v>
      </c>
      <c r="H6" s="33" t="n">
        <f aca="false">F6+G6</f>
        <v>10691637.1893086</v>
      </c>
      <c r="I6" s="20" t="str">
        <f aca="false">IF(H6&gt;C6,"Keep","Hand back")</f>
        <v>Keep</v>
      </c>
      <c r="J6" s="13" t="n">
        <f aca="false">(H6-C6)/H6</f>
        <v>0.364247857281172</v>
      </c>
      <c r="K6" s="33" t="n">
        <f aca="false">'5. Decomposition'!H6-'5. Decomposition'!G6</f>
        <v>13490522.2222222</v>
      </c>
      <c r="L6" s="20" t="str">
        <f aca="false">IF(H6*(1-$B$18)&gt;C6,"Keep","Hand back")</f>
        <v>Keep</v>
      </c>
      <c r="M6" s="20" t="str">
        <f aca="false">IF(H6*(1+$B$18)&gt;C6,"Keep","Hand back")</f>
        <v>Keep</v>
      </c>
    </row>
    <row r="7" customFormat="false" ht="15" hidden="false" customHeight="false" outlineLevel="0" collapsed="false">
      <c r="A7" s="20" t="str">
        <f aca="false">'2. The tape'!$A$7</f>
        <v>Zeebrugge warehouse</v>
      </c>
      <c r="B7" s="31" t="n">
        <f aca="false">'2. The tape'!$G$7</f>
        <v>0.35</v>
      </c>
      <c r="C7" s="33" t="n">
        <f aca="false">'2. The tape'!$C$7*('2. The tape'!$E$7-'2. The tape'!$D$7)*SUMPRODUCT((1+MIN(MAX('3. Assumptions'!$B$12,'3. Assumptions'!$B$11),'3. Assumptions'!$B$10))^INT(('7. Cash flow'!$A$7:$A$86-1)/4)/4/(1+'3. Assumptions'!$B$23)^('7. Cash flow'!$A$7:$A$86/4))</f>
        <v>2929446.46562705</v>
      </c>
      <c r="D7" s="31" t="n">
        <f aca="false">ROUND((0.25+3.5*B7^2)*4,0)/4</f>
        <v>0.75</v>
      </c>
      <c r="E7" s="33" t="n">
        <f aca="false">'3. Assumptions'!$B$19*B7*'2. The tape'!$C$7*'2. The tape'!$D$7/SUMPRODUCT('2. The tape'!$G$5:$G$13,'2. The tape'!$C$5:$C$13,'2. The tape'!$D$5:$D$13)</f>
        <v>1980128.62257721</v>
      </c>
      <c r="F7" s="33" t="n">
        <f aca="false">E7/4*SUMPRODUCT(('7. Cash flow'!$A$7:$A$86&lt;=D7*4)/(1+'3. Assumptions'!$B$23)^('7. Cash flow'!$A$7:$A$86/4))</f>
        <v>1449721.44355561</v>
      </c>
      <c r="G7" s="33" t="n">
        <f aca="false">'2. The tape'!$C$7*'2. The tape'!$D$7*'3. Assumptions'!$B$26*(0.3+1.2*B7)</f>
        <v>898560</v>
      </c>
      <c r="H7" s="33" t="n">
        <f aca="false">F7+G7</f>
        <v>2348281.44355561</v>
      </c>
      <c r="I7" s="20" t="str">
        <f aca="false">IF(H7&gt;C7,"Keep","Hand back")</f>
        <v>Hand back</v>
      </c>
      <c r="J7" s="13" t="n">
        <f aca="false">(H7-C7)/H7</f>
        <v>-0.247485250827297</v>
      </c>
      <c r="K7" s="33" t="n">
        <f aca="false">'5. Decomposition'!H7-'5. Decomposition'!G7</f>
        <v>11053190.4139434</v>
      </c>
      <c r="L7" s="20" t="str">
        <f aca="false">IF(H7*(1-$B$18)&gt;C7,"Keep","Hand back")</f>
        <v>Hand back</v>
      </c>
      <c r="M7" s="20" t="str">
        <f aca="false">IF(H7*(1+$B$18)&gt;C7,"Keep","Hand back")</f>
        <v>Hand back</v>
      </c>
    </row>
    <row r="8" customFormat="false" ht="15" hidden="false" customHeight="false" outlineLevel="0" collapsed="false">
      <c r="A8" s="20" t="str">
        <f aca="false">'2. The tape'!$A$8</f>
        <v>Venlo distribution centre</v>
      </c>
      <c r="B8" s="31" t="n">
        <f aca="false">'2. The tape'!$G$8</f>
        <v>0.4</v>
      </c>
      <c r="C8" s="33" t="n">
        <f aca="false">'2. The tape'!$C$8*('2. The tape'!$E$8-'2. The tape'!$D$8)*SUMPRODUCT((1+MIN(MAX('3. Assumptions'!$B$12,'3. Assumptions'!$B$11),'3. Assumptions'!$B$10))^INT(('7. Cash flow'!$A$7:$A$86-1)/4)/4/(1+'3. Assumptions'!$B$23)^('7. Cash flow'!$A$7:$A$86/4))</f>
        <v>2609038.25844909</v>
      </c>
      <c r="D8" s="31" t="n">
        <f aca="false">ROUND((0.25+3.5*B8^2)*4,0)/4</f>
        <v>0.75</v>
      </c>
      <c r="E8" s="33" t="n">
        <f aca="false">'3. Assumptions'!$B$19*B8*'2. The tape'!$C$8*'2. The tape'!$D$8/SUMPRODUCT('2. The tape'!$G$5:$G$13,'2. The tape'!$C$5:$C$13,'2. The tape'!$D$5:$D$13)</f>
        <v>2248044.37714295</v>
      </c>
      <c r="F8" s="33" t="n">
        <f aca="false">E8/4*SUMPRODUCT(('7. Cash flow'!$A$7:$A$86&lt;=D8*4)/(1+'3. Assumptions'!$B$23)^('7. Cash flow'!$A$7:$A$86/4))</f>
        <v>1645871.94106966</v>
      </c>
      <c r="G8" s="33" t="n">
        <f aca="false">'2. The tape'!$C$8*'2. The tape'!$D$8*'3. Assumptions'!$B$26*(0.3+1.2*B8)</f>
        <v>967005</v>
      </c>
      <c r="H8" s="33" t="n">
        <f aca="false">F8+G8</f>
        <v>2612876.94106966</v>
      </c>
      <c r="I8" s="20" t="str">
        <f aca="false">IF(H8&gt;C8,"Keep","Hand back")</f>
        <v>Keep</v>
      </c>
      <c r="J8" s="13" t="n">
        <f aca="false">(H8-C8)/H8</f>
        <v>0.00146914022632435</v>
      </c>
      <c r="K8" s="33" t="n">
        <f aca="false">'5. Decomposition'!H8-'5. Decomposition'!G8</f>
        <v>10402083.9869281</v>
      </c>
      <c r="L8" s="20" t="str">
        <f aca="false">IF(H8*(1-$B$18)&gt;C8,"Keep","Hand back")</f>
        <v>Hand back</v>
      </c>
      <c r="M8" s="20" t="str">
        <f aca="false">IF(H8*(1+$B$18)&gt;C8,"Keep","Hand back")</f>
        <v>Keep</v>
      </c>
    </row>
    <row r="9" customFormat="false" ht="15" hidden="false" customHeight="false" outlineLevel="0" collapsed="false">
      <c r="A9" s="20" t="str">
        <f aca="false">'2. The tape'!$A$9</f>
        <v>Lyon processing plant</v>
      </c>
      <c r="B9" s="31" t="n">
        <f aca="false">'2. The tape'!$G$9</f>
        <v>0.92</v>
      </c>
      <c r="C9" s="33" t="n">
        <f aca="false">'2. The tape'!$C$9*('2. The tape'!$E$9-'2. The tape'!$D$9)*SUMPRODUCT((1+MIN(MAX('3. Assumptions'!$B$12,'3. Assumptions'!$B$11),'3. Assumptions'!$B$10))^INT(('7. Cash flow'!$A$7:$A$86-1)/4)/4/(1+'3. Assumptions'!$B$23)^('7. Cash flow'!$A$7:$A$86/4))</f>
        <v>6667542.21603657</v>
      </c>
      <c r="D9" s="31" t="n">
        <f aca="false">ROUND((0.25+3.5*B9^2)*4,0)/4</f>
        <v>3.25</v>
      </c>
      <c r="E9" s="33" t="n">
        <f aca="false">'3. Assumptions'!$B$19*B9*'2. The tape'!$C$9*'2. The tape'!$D$9/SUMPRODUCT('2. The tape'!$G$5:$G$13,'2. The tape'!$C$5:$C$13,'2. The tape'!$D$5:$D$13)</f>
        <v>2852690.79582277</v>
      </c>
      <c r="F9" s="33" t="n">
        <f aca="false">E9/4*SUMPRODUCT(('7. Cash flow'!$A$7:$A$86&lt;=D9*4)/(1+'3. Assumptions'!$B$23)^('7. Cash flow'!$A$7:$A$86/4))</f>
        <v>8528294.86433042</v>
      </c>
      <c r="G9" s="33" t="n">
        <f aca="false">'2. The tape'!$C$9*'2. The tape'!$D$9*'3. Assumptions'!$B$26*(0.3+1.2*B9)</f>
        <v>960336</v>
      </c>
      <c r="H9" s="33" t="n">
        <f aca="false">F9+G9</f>
        <v>9488630.86433042</v>
      </c>
      <c r="I9" s="20" t="str">
        <f aca="false">IF(H9&gt;C9,"Keep","Hand back")</f>
        <v>Keep</v>
      </c>
      <c r="J9" s="13" t="n">
        <f aca="false">(H9-C9)/H9</f>
        <v>0.297312508899346</v>
      </c>
      <c r="K9" s="33" t="n">
        <f aca="false">'5. Decomposition'!H9-'5. Decomposition'!G9</f>
        <v>13603867.5381264</v>
      </c>
      <c r="L9" s="20" t="str">
        <f aca="false">IF(H9*(1-$B$18)&gt;C9,"Keep","Hand back")</f>
        <v>Keep</v>
      </c>
      <c r="M9" s="20" t="str">
        <f aca="false">IF(H9*(1+$B$18)&gt;C9,"Keep","Hand back")</f>
        <v>Keep</v>
      </c>
    </row>
    <row r="10" customFormat="false" ht="15" hidden="false" customHeight="false" outlineLevel="0" collapsed="false">
      <c r="A10" s="20" t="str">
        <f aca="false">'2. The tape'!$A$10</f>
        <v>Valencia packing hall</v>
      </c>
      <c r="B10" s="31" t="n">
        <f aca="false">'2. The tape'!$G$10</f>
        <v>0.6</v>
      </c>
      <c r="C10" s="33" t="n">
        <f aca="false">'2. The tape'!$C$10*('2. The tape'!$E$10-'2. The tape'!$D$10)*SUMPRODUCT((1+MIN(MAX('3. Assumptions'!$B$12,'3. Assumptions'!$B$11),'3. Assumptions'!$B$10))^INT(('7. Cash flow'!$A$7:$A$86-1)/4)/4/(1+'3. Assumptions'!$B$23)^('7. Cash flow'!$A$7:$A$86/4))</f>
        <v>1830904.04101691</v>
      </c>
      <c r="D10" s="31" t="n">
        <f aca="false">ROUND((0.25+3.5*B10^2)*4,0)/4</f>
        <v>1.5</v>
      </c>
      <c r="E10" s="33" t="n">
        <f aca="false">'3. Assumptions'!$B$19*B10*'2. The tape'!$C$10*'2. The tape'!$D$10/SUMPRODUCT('2. The tape'!$G$5:$G$13,'2. The tape'!$C$5:$C$13,'2. The tape'!$D$5:$D$13)</f>
        <v>1028143.70787663</v>
      </c>
      <c r="F10" s="33" t="n">
        <f aca="false">E10/4*SUMPRODUCT(('7. Cash flow'!$A$7:$A$86&lt;=D10*4)/(1+'3. Assumptions'!$B$23)^('7. Cash flow'!$A$7:$A$86/4))</f>
        <v>1478692.38999468</v>
      </c>
      <c r="G10" s="33" t="n">
        <f aca="false">'2. The tape'!$C$10*'2. The tape'!$D$10*'3. Assumptions'!$B$26*(0.3+1.2*B10)</f>
        <v>385560</v>
      </c>
      <c r="H10" s="33" t="n">
        <f aca="false">F10+G10</f>
        <v>1864252.38999468</v>
      </c>
      <c r="I10" s="20" t="str">
        <f aca="false">IF(H10&gt;C10,"Keep","Hand back")</f>
        <v>Keep</v>
      </c>
      <c r="J10" s="13" t="n">
        <f aca="false">(H10-C10)/H10</f>
        <v>0.0178883230386347</v>
      </c>
      <c r="K10" s="33" t="n">
        <f aca="false">'5. Decomposition'!H10-'5. Decomposition'!G10</f>
        <v>4673926.79738562</v>
      </c>
      <c r="L10" s="20" t="str">
        <f aca="false">IF(H10*(1-$B$18)&gt;C10,"Keep","Hand back")</f>
        <v>Hand back</v>
      </c>
      <c r="M10" s="20" t="str">
        <f aca="false">IF(H10*(1+$B$18)&gt;C10,"Keep","Hand back")</f>
        <v>Keep</v>
      </c>
    </row>
    <row r="11" customFormat="false" ht="15" hidden="false" customHeight="false" outlineLevel="0" collapsed="false">
      <c r="A11" s="20" t="str">
        <f aca="false">'2. The tape'!$A$11</f>
        <v>Wroclaw plant</v>
      </c>
      <c r="B11" s="31" t="n">
        <f aca="false">'2. The tape'!$G$11</f>
        <v>0.88</v>
      </c>
      <c r="C11" s="33" t="n">
        <f aca="false">'2. The tape'!$C$11*('2. The tape'!$E$11-'2. The tape'!$D$11)*SUMPRODUCT((1+MIN(MAX('3. Assumptions'!$B$12,'3. Assumptions'!$B$11),'3. Assumptions'!$B$10))^INT(('7. Cash flow'!$A$7:$A$86-1)/4)/4/(1+'3. Assumptions'!$B$23)^('7. Cash flow'!$A$7:$A$86/4))</f>
        <v>4806123.10766938</v>
      </c>
      <c r="D11" s="31" t="n">
        <f aca="false">ROUND((0.25+3.5*B11^2)*4,0)/4</f>
        <v>3</v>
      </c>
      <c r="E11" s="33" t="n">
        <f aca="false">'3. Assumptions'!$B$19*B11*'2. The tape'!$C$11*'2. The tape'!$D$11/SUMPRODUCT('2. The tape'!$G$5:$G$13,'2. The tape'!$C$5:$C$13,'2. The tape'!$D$5:$D$13)</f>
        <v>2136254.14858811</v>
      </c>
      <c r="F11" s="33" t="n">
        <f aca="false">E11/4*SUMPRODUCT(('7. Cash flow'!$A$7:$A$86&lt;=D11*4)/(1+'3. Assumptions'!$B$23)^('7. Cash flow'!$A$7:$A$86/4))</f>
        <v>5930006.25112537</v>
      </c>
      <c r="G11" s="33" t="n">
        <f aca="false">'2. The tape'!$C$11*'2. The tape'!$D$11*'3. Assumptions'!$B$26*(0.3+1.2*B11)</f>
        <v>726138</v>
      </c>
      <c r="H11" s="33" t="n">
        <f aca="false">F11+G11</f>
        <v>6656144.25112537</v>
      </c>
      <c r="I11" s="20" t="str">
        <f aca="false">IF(H11&gt;C11,"Keep","Hand back")</f>
        <v>Keep</v>
      </c>
      <c r="J11" s="13" t="n">
        <f aca="false">(H11-C11)/H11</f>
        <v>0.277941864487567</v>
      </c>
      <c r="K11" s="33" t="n">
        <f aca="false">'5. Decomposition'!H11-'5. Decomposition'!G11</f>
        <v>10773544.4444444</v>
      </c>
      <c r="L11" s="20" t="str">
        <f aca="false">IF(H11*(1-$B$18)&gt;C11,"Keep","Hand back")</f>
        <v>Keep</v>
      </c>
      <c r="M11" s="20" t="str">
        <f aca="false">IF(H11*(1+$B$18)&gt;C11,"Keep","Hand back")</f>
        <v>Keep</v>
      </c>
    </row>
    <row r="12" customFormat="false" ht="15" hidden="false" customHeight="false" outlineLevel="0" collapsed="false">
      <c r="A12" s="20" t="str">
        <f aca="false">'2. The tape'!$A$12</f>
        <v>Hamburg head office</v>
      </c>
      <c r="B12" s="31" t="n">
        <f aca="false">'2. The tape'!$G$12</f>
        <v>0.25</v>
      </c>
      <c r="C12" s="33" t="n">
        <f aca="false">'2. The tape'!$C$12*('2. The tape'!$E$12-'2. The tape'!$D$12)*SUMPRODUCT((1+MIN(MAX('3. Assumptions'!$B$12,'3. Assumptions'!$B$11),'3. Assumptions'!$B$10))^INT(('7. Cash flow'!$A$7:$A$86-1)/4)/4/(1+'3. Assumptions'!$B$23)^('7. Cash flow'!$A$7:$A$86/4))</f>
        <v>3471088.91109456</v>
      </c>
      <c r="D12" s="31" t="n">
        <f aca="false">ROUND((0.25+3.5*B12^2)*4,0)/4</f>
        <v>0.5</v>
      </c>
      <c r="E12" s="33" t="n">
        <f aca="false">'3. Assumptions'!$B$19*B12*'2. The tape'!$C$12*'2. The tape'!$D$12/SUMPRODUCT('2. The tape'!$G$5:$G$13,'2. The tape'!$C$5:$C$13,'2. The tape'!$D$5:$D$13)</f>
        <v>966859.678992779</v>
      </c>
      <c r="F12" s="33" t="n">
        <f aca="false">E12/4*SUMPRODUCT(('7. Cash flow'!$A$7:$A$86&lt;=D12*4)/(1+'3. Assumptions'!$B$23)^('7. Cash flow'!$A$7:$A$86/4))</f>
        <v>474758.727645038</v>
      </c>
      <c r="G12" s="33" t="n">
        <f aca="false">'2. The tape'!$C$12*'2. The tape'!$D$12*'3. Assumptions'!$B$26*(0.3+1.2*B12)</f>
        <v>511875</v>
      </c>
      <c r="H12" s="33" t="n">
        <f aca="false">F12+G12</f>
        <v>986633.727645038</v>
      </c>
      <c r="I12" s="20" t="str">
        <f aca="false">IF(H12&gt;C12,"Keep","Hand back")</f>
        <v>Hand back</v>
      </c>
      <c r="J12" s="13" t="n">
        <f aca="false">(H12-C12)/H12</f>
        <v>-2.51811296718953</v>
      </c>
      <c r="K12" s="33" t="n">
        <f aca="false">'5. Decomposition'!H12-'5. Decomposition'!G12</f>
        <v>10841192.8104575</v>
      </c>
      <c r="L12" s="20" t="str">
        <f aca="false">IF(H12*(1-$B$18)&gt;C12,"Keep","Hand back")</f>
        <v>Hand back</v>
      </c>
      <c r="M12" s="20" t="str">
        <f aca="false">IF(H12*(1+$B$18)&gt;C12,"Keep","Hand back")</f>
        <v>Hand back</v>
      </c>
    </row>
    <row r="13" customFormat="false" ht="15" hidden="false" customHeight="false" outlineLevel="0" collapsed="false">
      <c r="A13" s="20" t="str">
        <f aca="false">'2. The tape'!$A$13</f>
        <v>Bristol depot</v>
      </c>
      <c r="B13" s="31" t="n">
        <f aca="false">'2. The tape'!$G$13</f>
        <v>0.3</v>
      </c>
      <c r="C13" s="33" t="n">
        <f aca="false">'2. The tape'!$C$13*('2. The tape'!$E$13-'2. The tape'!$D$13)*SUMPRODUCT((1+MIN(MAX('3. Assumptions'!$B$12,'3. Assumptions'!$B$11),'3. Assumptions'!$B$10))^INT(('7. Cash flow'!$A$7:$A$86-1)/4)/4/(1+'3. Assumptions'!$B$23)^('7. Cash flow'!$A$7:$A$86/4))</f>
        <v>724732.849569193</v>
      </c>
      <c r="D13" s="31" t="n">
        <f aca="false">ROUND((0.25+3.5*B13^2)*4,0)/4</f>
        <v>0.5</v>
      </c>
      <c r="E13" s="33" t="n">
        <f aca="false">'3. Assumptions'!$B$19*B13*'2. The tape'!$C$13*'2. The tape'!$D$13/SUMPRODUCT('2. The tape'!$G$5:$G$13,'2. The tape'!$C$5:$C$13,'2. The tape'!$D$5:$D$13)</f>
        <v>591080.633645344</v>
      </c>
      <c r="F13" s="33" t="n">
        <f aca="false">E13/4*SUMPRODUCT(('7. Cash flow'!$A$7:$A$86&lt;=D13*4)/(1+'3. Assumptions'!$B$23)^('7. Cash flow'!$A$7:$A$86/4))</f>
        <v>290239.31358625</v>
      </c>
      <c r="G13" s="33" t="n">
        <f aca="false">'2. The tape'!$C$13*'2. The tape'!$D$13*'3. Assumptions'!$B$26*(0.3+1.2*B13)</f>
        <v>286852.5</v>
      </c>
      <c r="H13" s="33" t="n">
        <f aca="false">F13+G13</f>
        <v>577091.81358625</v>
      </c>
      <c r="I13" s="20" t="str">
        <f aca="false">IF(H13&gt;C13,"Keep","Hand back")</f>
        <v>Hand back</v>
      </c>
      <c r="J13" s="13" t="n">
        <f aca="false">(H13-C13)/H13</f>
        <v>-0.255836302832733</v>
      </c>
      <c r="K13" s="33" t="n">
        <f aca="false">'5. Decomposition'!H13-'5. Decomposition'!G13</f>
        <v>3391884.96732026</v>
      </c>
      <c r="L13" s="20" t="str">
        <f aca="false">IF(H13*(1-$B$18)&gt;C13,"Keep","Hand back")</f>
        <v>Hand back</v>
      </c>
      <c r="M13" s="20" t="str">
        <f aca="false">IF(H13*(1+$B$18)&gt;C13,"Keep","Hand back")</f>
        <v>Hand back</v>
      </c>
    </row>
    <row r="15" customFormat="false" ht="15" hidden="false" customHeight="false" outlineLevel="0" collapsed="false">
      <c r="A15" s="30" t="s">
        <v>305</v>
      </c>
      <c r="B15" s="20" t="n">
        <f aca="false">COUNTIF(I5:I13,"Hand back")</f>
        <v>3</v>
      </c>
      <c r="C15" s="20" t="s">
        <v>306</v>
      </c>
      <c r="K15" s="33" t="n">
        <f aca="false">SUMIF(I5:I13,"Hand back",K5:K13)</f>
        <v>25286268.1917211</v>
      </c>
    </row>
    <row r="16" customFormat="false" ht="15" hidden="false" customHeight="false" outlineLevel="0" collapsed="false">
      <c r="A16" s="20" t="s">
        <v>307</v>
      </c>
      <c r="K16" s="13" t="n">
        <f aca="false">K15/('2. The tape'!$C$17/'3. Assumptions'!$B$4)</f>
        <v>0.140902555243421</v>
      </c>
    </row>
    <row r="18" customFormat="false" ht="15" hidden="false" customHeight="false" outlineLevel="0" collapsed="false">
      <c r="A18" s="20" t="s">
        <v>308</v>
      </c>
      <c r="B18" s="44" t="n">
        <v>0.1</v>
      </c>
    </row>
    <row r="19" customFormat="false" ht="15" hidden="false" customHeight="false" outlineLevel="0" collapsed="false">
      <c r="A19" s="20" t="s">
        <v>309</v>
      </c>
      <c r="B19" s="20" t="n">
        <f aca="false">MIN(COUNTIF(L5:L13,"Hand back"),COUNTIF(M5:M13,"Hand back"),B15)</f>
        <v>3</v>
      </c>
      <c r="C19" s="20" t="n">
        <f aca="false">MAX(COUNTIF(L5:L13,"Hand back"),COUNTIF(M5:M13,"Hand back"),B15)</f>
        <v>5</v>
      </c>
    </row>
    <row r="20" customFormat="false" ht="15" hidden="false" customHeight="false" outlineLevel="0" collapsed="false">
      <c r="A20" s="20" t="s">
        <v>310</v>
      </c>
      <c r="B20" s="33" t="n">
        <f aca="false">MIN(SUMIF(L5:L13,"Hand back",K5:K13),SUMIF(M5:M13,"Hand back",K5:K13),K15)</f>
        <v>25286268.1917211</v>
      </c>
      <c r="C20" s="33" t="n">
        <f aca="false">MAX(SUMIF(L5:L13,"Hand back",K5:K13),SUMIF(M5:M13,"Hand back",K5:K13),K15)</f>
        <v>40362278.9760349</v>
      </c>
    </row>
    <row r="21" customFormat="false" ht="15" hidden="false" customHeight="false" outlineLevel="0" collapsed="false">
      <c r="A21" s="20" t="s">
        <v>311</v>
      </c>
      <c r="B21" s="31" t="n">
        <f aca="false">H5/C5</f>
        <v>1.78953552291431</v>
      </c>
    </row>
    <row r="23" customFormat="false" ht="15" hidden="false" customHeight="false" outlineLevel="0" collapsed="false">
      <c r="A23" s="22" t="s">
        <v>312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3" style="0" width="16"/>
    <col collapsed="false" customWidth="true" hidden="false" outlineLevel="0" max="12" min="8" style="0" width="15"/>
  </cols>
  <sheetData>
    <row r="1" customFormat="false" ht="16.15" hidden="false" customHeight="false" outlineLevel="0" collapsed="false">
      <c r="A1" s="38" t="s">
        <v>313</v>
      </c>
    </row>
    <row r="2" customFormat="false" ht="15" hidden="false" customHeight="false" outlineLevel="0" collapsed="false">
      <c r="A2" s="22" t="s">
        <v>314</v>
      </c>
    </row>
    <row r="5" customFormat="false" ht="28.35" hidden="false" customHeight="false" outlineLevel="0" collapsed="false">
      <c r="H5" s="28" t="s">
        <v>192</v>
      </c>
      <c r="I5" s="28" t="s">
        <v>315</v>
      </c>
      <c r="J5" s="28" t="s">
        <v>316</v>
      </c>
      <c r="K5" s="28" t="s">
        <v>317</v>
      </c>
      <c r="L5" s="28" t="s">
        <v>318</v>
      </c>
    </row>
    <row r="6" customFormat="false" ht="15" hidden="false" customHeight="false" outlineLevel="0" collapsed="false">
      <c r="A6" s="30" t="s">
        <v>319</v>
      </c>
      <c r="H6" s="20" t="n">
        <v>0</v>
      </c>
      <c r="I6" s="33" t="n">
        <f aca="false">-'2. The tape'!$C$18*(1-'3. Assumptions'!$B$13)/'3. Assumptions'!$B$4</f>
        <v>-36776666.6666667</v>
      </c>
      <c r="J6" s="33" t="n">
        <f aca="false">('2. The tape'!$C$17/'3. Assumptions'!$B$4)*(1-'3. Assumptions'!$B$27)</f>
        <v>177664666.666667</v>
      </c>
      <c r="K6" s="33" t="n">
        <f aca="false">'2. The tape'!$C$16/'3. Assumptions'!$B$4*(1-'3. Assumptions'!$B$27)</f>
        <v>140888000</v>
      </c>
      <c r="L6" s="33" t="n">
        <f aca="false">'2. The tape'!$C$18/'3. Assumptions'!$B$4</f>
        <v>37148148.1481482</v>
      </c>
    </row>
    <row r="7" customFormat="false" ht="15" hidden="false" customHeight="false" outlineLevel="0" collapsed="false">
      <c r="A7" s="20" t="s">
        <v>320</v>
      </c>
      <c r="C7" s="33" t="n">
        <f aca="false">-I6</f>
        <v>36776666.6666667</v>
      </c>
      <c r="H7" s="20" t="n">
        <v>1</v>
      </c>
      <c r="I7" s="33" t="n">
        <f aca="false">'2. The tape'!$C$18*(1-'3. Assumptions'!$B$13)*(1+MIN(MAX('3. Assumptions'!$B$12,'3. Assumptions'!$B$11),'3. Assumptions'!$B$10))^INT((H7-1)/4)/4</f>
        <v>620606.25</v>
      </c>
      <c r="J7" s="33" t="n">
        <f aca="false">-'2. The tape'!$C$17*(1+MIN(MAX('3. Assumptions'!$B$12,'3. Assumptions'!$B$11),'3. Assumptions'!$B$10))^INT((H7-1)/4)/4</f>
        <v>-3028375</v>
      </c>
      <c r="K7" s="33" t="n">
        <f aca="false">-'2. The tape'!$C$16*(1+MIN(MAX('3. Assumptions'!$B$12,'3. Assumptions'!$B$11),'3. Assumptions'!$B$10))^INT((H7-1)/4)/4</f>
        <v>-2401500</v>
      </c>
      <c r="L7" s="33" t="n">
        <f aca="false">-'2. The tape'!$C$18*(1+MIN(MAX('3. Assumptions'!$B$12,'3. Assumptions'!$B$11),'3. Assumptions'!$B$10))^INT((H7-1)/4)/4</f>
        <v>-626875</v>
      </c>
    </row>
    <row r="8" customFormat="false" ht="15" hidden="false" customHeight="false" outlineLevel="0" collapsed="false">
      <c r="A8" s="20" t="s">
        <v>321</v>
      </c>
      <c r="C8" s="33" t="n">
        <f aca="false">SUM(I7:I86)</f>
        <v>61532340.9615765</v>
      </c>
      <c r="H8" s="20" t="n">
        <v>2</v>
      </c>
      <c r="I8" s="33" t="n">
        <f aca="false">'2. The tape'!$C$18*(1-'3. Assumptions'!$B$13)*(1+MIN(MAX('3. Assumptions'!$B$12,'3. Assumptions'!$B$11),'3. Assumptions'!$B$10))^INT((H8-1)/4)/4</f>
        <v>620606.25</v>
      </c>
      <c r="J8" s="33" t="n">
        <f aca="false">-'2. The tape'!$C$17*(1+MIN(MAX('3. Assumptions'!$B$12,'3. Assumptions'!$B$11),'3. Assumptions'!$B$10))^INT((H8-1)/4)/4</f>
        <v>-3028375</v>
      </c>
      <c r="K8" s="33" t="n">
        <f aca="false">-'2. The tape'!$C$16*(1+MIN(MAX('3. Assumptions'!$B$12,'3. Assumptions'!$B$11),'3. Assumptions'!$B$10))^INT((H8-1)/4)/4</f>
        <v>-2401500</v>
      </c>
      <c r="L8" s="33" t="n">
        <f aca="false">-'2. The tape'!$C$18*(1+MIN(MAX('3. Assumptions'!$B$12,'3. Assumptions'!$B$11),'3. Assumptions'!$B$10))^INT((H8-1)/4)/4</f>
        <v>-626875</v>
      </c>
    </row>
    <row r="9" customFormat="false" ht="15" hidden="false" customHeight="false" outlineLevel="0" collapsed="false">
      <c r="A9" s="20" t="s">
        <v>322</v>
      </c>
      <c r="C9" s="31" t="n">
        <f aca="false">$C$8/$C$7</f>
        <v>1.67313534745518</v>
      </c>
      <c r="H9" s="20" t="n">
        <v>3</v>
      </c>
      <c r="I9" s="33" t="n">
        <f aca="false">'2. The tape'!$C$18*(1-'3. Assumptions'!$B$13)*(1+MIN(MAX('3. Assumptions'!$B$12,'3. Assumptions'!$B$11),'3. Assumptions'!$B$10))^INT((H9-1)/4)/4</f>
        <v>620606.25</v>
      </c>
      <c r="J9" s="33" t="n">
        <f aca="false">-'2. The tape'!$C$17*(1+MIN(MAX('3. Assumptions'!$B$12,'3. Assumptions'!$B$11),'3. Assumptions'!$B$10))^INT((H9-1)/4)/4</f>
        <v>-3028375</v>
      </c>
      <c r="K9" s="33" t="n">
        <f aca="false">-'2. The tape'!$C$16*(1+MIN(MAX('3. Assumptions'!$B$12,'3. Assumptions'!$B$11),'3. Assumptions'!$B$10))^INT((H9-1)/4)/4</f>
        <v>-2401500</v>
      </c>
      <c r="L9" s="33" t="n">
        <f aca="false">-'2. The tape'!$C$18*(1+MIN(MAX('3. Assumptions'!$B$12,'3. Assumptions'!$B$11),'3. Assumptions'!$B$10))^INT((H9-1)/4)/4</f>
        <v>-626875</v>
      </c>
    </row>
    <row r="10" customFormat="false" ht="15" hidden="false" customHeight="false" outlineLevel="0" collapsed="false">
      <c r="A10" s="20" t="s">
        <v>323</v>
      </c>
      <c r="C10" s="35" t="n">
        <f aca="false">(1+IRR(I6:I86,0.01))^4-1</f>
        <v>0.0528681351316365</v>
      </c>
      <c r="H10" s="20" t="n">
        <v>4</v>
      </c>
      <c r="I10" s="33" t="n">
        <f aca="false">'2. The tape'!$C$18*(1-'3. Assumptions'!$B$13)*(1+MIN(MAX('3. Assumptions'!$B$12,'3. Assumptions'!$B$11),'3. Assumptions'!$B$10))^INT((H10-1)/4)/4</f>
        <v>620606.25</v>
      </c>
      <c r="J10" s="33" t="n">
        <f aca="false">-'2. The tape'!$C$17*(1+MIN(MAX('3. Assumptions'!$B$12,'3. Assumptions'!$B$11),'3. Assumptions'!$B$10))^INT((H10-1)/4)/4</f>
        <v>-3028375</v>
      </c>
      <c r="K10" s="33" t="n">
        <f aca="false">-'2. The tape'!$C$16*(1+MIN(MAX('3. Assumptions'!$B$12,'3. Assumptions'!$B$11),'3. Assumptions'!$B$10))^INT((H10-1)/4)/4</f>
        <v>-2401500</v>
      </c>
      <c r="L10" s="33" t="n">
        <f aca="false">-'2. The tape'!$C$18*(1+MIN(MAX('3. Assumptions'!$B$12,'3. Assumptions'!$B$11),'3. Assumptions'!$B$10))^INT((H10-1)/4)/4</f>
        <v>-626875</v>
      </c>
    </row>
    <row r="11" customFormat="false" ht="15" hidden="false" customHeight="false" outlineLevel="0" collapsed="false">
      <c r="A11" s="20" t="s">
        <v>324</v>
      </c>
      <c r="C11" s="35" t="n">
        <f aca="false">$C$10-'3. Assumptions'!$B$6</f>
        <v>0.0268681351316365</v>
      </c>
      <c r="H11" s="20" t="n">
        <v>5</v>
      </c>
      <c r="I11" s="33" t="n">
        <f aca="false">'2. The tape'!$C$18*(1-'3. Assumptions'!$B$13)*(1+MIN(MAX('3. Assumptions'!$B$12,'3. Assumptions'!$B$11),'3. Assumptions'!$B$10))^INT((H11-1)/4)/4</f>
        <v>634259.5875</v>
      </c>
      <c r="J11" s="33" t="n">
        <f aca="false">-'2. The tape'!$C$17*(1+MIN(MAX('3. Assumptions'!$B$12,'3. Assumptions'!$B$11),'3. Assumptions'!$B$10))^INT((H11-1)/4)/4</f>
        <v>-3094999.25</v>
      </c>
      <c r="K11" s="33" t="n">
        <f aca="false">-'2. The tape'!$C$16*(1+MIN(MAX('3. Assumptions'!$B$12,'3. Assumptions'!$B$11),'3. Assumptions'!$B$10))^INT((H11-1)/4)/4</f>
        <v>-2454333</v>
      </c>
      <c r="L11" s="33" t="n">
        <f aca="false">-'2. The tape'!$C$18*(1+MIN(MAX('3. Assumptions'!$B$12,'3. Assumptions'!$B$11),'3. Assumptions'!$B$10))^INT((H11-1)/4)/4</f>
        <v>-640666.25</v>
      </c>
    </row>
    <row r="12" customFormat="false" ht="15" hidden="false" customHeight="false" outlineLevel="0" collapsed="false">
      <c r="A12" s="20" t="s">
        <v>325</v>
      </c>
      <c r="C12" s="35" t="n">
        <f aca="false">$C$11-'3. Assumptions'!$B$21</f>
        <v>-0.0116318648683635</v>
      </c>
      <c r="H12" s="20" t="n">
        <v>6</v>
      </c>
      <c r="I12" s="33" t="n">
        <f aca="false">'2. The tape'!$C$18*(1-'3. Assumptions'!$B$13)*(1+MIN(MAX('3. Assumptions'!$B$12,'3. Assumptions'!$B$11),'3. Assumptions'!$B$10))^INT((H12-1)/4)/4</f>
        <v>634259.5875</v>
      </c>
      <c r="J12" s="33" t="n">
        <f aca="false">-'2. The tape'!$C$17*(1+MIN(MAX('3. Assumptions'!$B$12,'3. Assumptions'!$B$11),'3. Assumptions'!$B$10))^INT((H12-1)/4)/4</f>
        <v>-3094999.25</v>
      </c>
      <c r="K12" s="33" t="n">
        <f aca="false">-'2. The tape'!$C$16*(1+MIN(MAX('3. Assumptions'!$B$12,'3. Assumptions'!$B$11),'3. Assumptions'!$B$10))^INT((H12-1)/4)/4</f>
        <v>-2454333</v>
      </c>
      <c r="L12" s="33" t="n">
        <f aca="false">-'2. The tape'!$C$18*(1+MIN(MAX('3. Assumptions'!$B$12,'3. Assumptions'!$B$11),'3. Assumptions'!$B$10))^INT((H12-1)/4)/4</f>
        <v>-640666.25</v>
      </c>
    </row>
    <row r="13" customFormat="false" ht="15" hidden="false" customHeight="false" outlineLevel="0" collapsed="false">
      <c r="A13" s="20" t="s">
        <v>326</v>
      </c>
      <c r="C13" s="21" t="n">
        <v>0.003</v>
      </c>
      <c r="H13" s="20" t="n">
        <v>7</v>
      </c>
      <c r="I13" s="33" t="n">
        <f aca="false">'2. The tape'!$C$18*(1-'3. Assumptions'!$B$13)*(1+MIN(MAX('3. Assumptions'!$B$12,'3. Assumptions'!$B$11),'3. Assumptions'!$B$10))^INT((H13-1)/4)/4</f>
        <v>634259.5875</v>
      </c>
      <c r="J13" s="33" t="n">
        <f aca="false">-'2. The tape'!$C$17*(1+MIN(MAX('3. Assumptions'!$B$12,'3. Assumptions'!$B$11),'3. Assumptions'!$B$10))^INT((H13-1)/4)/4</f>
        <v>-3094999.25</v>
      </c>
      <c r="K13" s="33" t="n">
        <f aca="false">-'2. The tape'!$C$16*(1+MIN(MAX('3. Assumptions'!$B$12,'3. Assumptions'!$B$11),'3. Assumptions'!$B$10))^INT((H13-1)/4)/4</f>
        <v>-2454333</v>
      </c>
      <c r="L13" s="33" t="n">
        <f aca="false">-'2. The tape'!$C$18*(1+MIN(MAX('3. Assumptions'!$B$12,'3. Assumptions'!$B$11),'3. Assumptions'!$B$10))^INT((H13-1)/4)/4</f>
        <v>-640666.25</v>
      </c>
    </row>
    <row r="14" customFormat="false" ht="15" hidden="false" customHeight="false" outlineLevel="0" collapsed="false">
      <c r="A14" s="20" t="s">
        <v>327</v>
      </c>
      <c r="C14" s="35" t="n">
        <f aca="false">'3. Assumptions'!$B$6-$C$13+'3. Assumptions'!$B$21-$C$10</f>
        <v>0.00863186486836354</v>
      </c>
      <c r="H14" s="20" t="n">
        <v>8</v>
      </c>
      <c r="I14" s="33" t="n">
        <f aca="false">'2. The tape'!$C$18*(1-'3. Assumptions'!$B$13)*(1+MIN(MAX('3. Assumptions'!$B$12,'3. Assumptions'!$B$11),'3. Assumptions'!$B$10))^INT((H14-1)/4)/4</f>
        <v>634259.5875</v>
      </c>
      <c r="J14" s="33" t="n">
        <f aca="false">-'2. The tape'!$C$17*(1+MIN(MAX('3. Assumptions'!$B$12,'3. Assumptions'!$B$11),'3. Assumptions'!$B$10))^INT((H14-1)/4)/4</f>
        <v>-3094999.25</v>
      </c>
      <c r="K14" s="33" t="n">
        <f aca="false">-'2. The tape'!$C$16*(1+MIN(MAX('3. Assumptions'!$B$12,'3. Assumptions'!$B$11),'3. Assumptions'!$B$10))^INT((H14-1)/4)/4</f>
        <v>-2454333</v>
      </c>
      <c r="L14" s="33" t="n">
        <f aca="false">-'2. The tape'!$C$18*(1+MIN(MAX('3. Assumptions'!$B$12,'3. Assumptions'!$B$11),'3. Assumptions'!$B$10))^INT((H14-1)/4)/4</f>
        <v>-640666.25</v>
      </c>
    </row>
    <row r="15" customFormat="false" ht="15" hidden="false" customHeight="false" outlineLevel="0" collapsed="false">
      <c r="A15" s="30" t="s">
        <v>328</v>
      </c>
      <c r="H15" s="20" t="n">
        <v>9</v>
      </c>
      <c r="I15" s="33" t="n">
        <f aca="false">'2. The tape'!$C$18*(1-'3. Assumptions'!$B$13)*(1+MIN(MAX('3. Assumptions'!$B$12,'3. Assumptions'!$B$11),'3. Assumptions'!$B$10))^INT((H15-1)/4)/4</f>
        <v>648213.298425</v>
      </c>
      <c r="J15" s="33" t="n">
        <f aca="false">-'2. The tape'!$C$17*(1+MIN(MAX('3. Assumptions'!$B$12,'3. Assumptions'!$B$11),'3. Assumptions'!$B$10))^INT((H15-1)/4)/4</f>
        <v>-3163089.2335</v>
      </c>
      <c r="K15" s="33" t="n">
        <f aca="false">-'2. The tape'!$C$16*(1+MIN(MAX('3. Assumptions'!$B$12,'3. Assumptions'!$B$11),'3. Assumptions'!$B$10))^INT((H15-1)/4)/4</f>
        <v>-2508328.326</v>
      </c>
      <c r="L15" s="33" t="n">
        <f aca="false">-'2. The tape'!$C$18*(1+MIN(MAX('3. Assumptions'!$B$12,'3. Assumptions'!$B$11),'3. Assumptions'!$B$10))^INT((H15-1)/4)/4</f>
        <v>-654760.9075</v>
      </c>
    </row>
    <row r="16" customFormat="false" ht="15" hidden="false" customHeight="false" outlineLevel="0" collapsed="false">
      <c r="A16" s="20" t="s">
        <v>329</v>
      </c>
      <c r="C16" s="33" t="n">
        <f aca="false">'5. Decomposition'!G14*'3. Assumptions'!$B$24</f>
        <v>45733506.7156863</v>
      </c>
      <c r="H16" s="20" t="n">
        <v>10</v>
      </c>
      <c r="I16" s="33" t="n">
        <f aca="false">'2. The tape'!$C$18*(1-'3. Assumptions'!$B$13)*(1+MIN(MAX('3. Assumptions'!$B$12,'3. Assumptions'!$B$11),'3. Assumptions'!$B$10))^INT((H16-1)/4)/4</f>
        <v>648213.298425</v>
      </c>
      <c r="J16" s="33" t="n">
        <f aca="false">-'2. The tape'!$C$17*(1+MIN(MAX('3. Assumptions'!$B$12,'3. Assumptions'!$B$11),'3. Assumptions'!$B$10))^INT((H16-1)/4)/4</f>
        <v>-3163089.2335</v>
      </c>
      <c r="K16" s="33" t="n">
        <f aca="false">-'2. The tape'!$C$16*(1+MIN(MAX('3. Assumptions'!$B$12,'3. Assumptions'!$B$11),'3. Assumptions'!$B$10))^INT((H16-1)/4)/4</f>
        <v>-2508328.326</v>
      </c>
      <c r="L16" s="33" t="n">
        <f aca="false">-'2. The tape'!$C$18*(1+MIN(MAX('3. Assumptions'!$B$12,'3. Assumptions'!$B$11),'3. Assumptions'!$B$10))^INT((H16-1)/4)/4</f>
        <v>-654760.9075</v>
      </c>
    </row>
    <row r="17" customFormat="false" ht="15" hidden="false" customHeight="false" outlineLevel="0" collapsed="false">
      <c r="A17" s="20" t="s">
        <v>330</v>
      </c>
      <c r="C17" s="33" t="n">
        <f aca="false">('2. The tape'!$C$17/'3. Assumptions'!$B$4)*'3. Assumptions'!$B$24</f>
        <v>98702592.5925926</v>
      </c>
      <c r="H17" s="20" t="n">
        <v>11</v>
      </c>
      <c r="I17" s="33" t="n">
        <f aca="false">'2. The tape'!$C$18*(1-'3. Assumptions'!$B$13)*(1+MIN(MAX('3. Assumptions'!$B$12,'3. Assumptions'!$B$11),'3. Assumptions'!$B$10))^INT((H17-1)/4)/4</f>
        <v>648213.298425</v>
      </c>
      <c r="J17" s="33" t="n">
        <f aca="false">-'2. The tape'!$C$17*(1+MIN(MAX('3. Assumptions'!$B$12,'3. Assumptions'!$B$11),'3. Assumptions'!$B$10))^INT((H17-1)/4)/4</f>
        <v>-3163089.2335</v>
      </c>
      <c r="K17" s="33" t="n">
        <f aca="false">-'2. The tape'!$C$16*(1+MIN(MAX('3. Assumptions'!$B$12,'3. Assumptions'!$B$11),'3. Assumptions'!$B$10))^INT((H17-1)/4)/4</f>
        <v>-2508328.326</v>
      </c>
      <c r="L17" s="33" t="n">
        <f aca="false">-'2. The tape'!$C$18*(1+MIN(MAX('3. Assumptions'!$B$12,'3. Assumptions'!$B$11),'3. Assumptions'!$B$10))^INT((H17-1)/4)/4</f>
        <v>-654760.9075</v>
      </c>
    </row>
    <row r="18" customFormat="false" ht="15" hidden="false" customHeight="false" outlineLevel="0" collapsed="false">
      <c r="A18" s="20" t="s">
        <v>331</v>
      </c>
      <c r="C18" s="33" t="n">
        <f aca="false">'2. The tape'!C16*(1-'3. Assumptions'!$B$13)/('3. Assumptions'!$B$25*'3. Assumptions'!$B$23)</f>
        <v>106733333.333333</v>
      </c>
      <c r="H18" s="20" t="n">
        <v>12</v>
      </c>
      <c r="I18" s="33" t="n">
        <f aca="false">'2. The tape'!$C$18*(1-'3. Assumptions'!$B$13)*(1+MIN(MAX('3. Assumptions'!$B$12,'3. Assumptions'!$B$11),'3. Assumptions'!$B$10))^INT((H18-1)/4)/4</f>
        <v>648213.298425</v>
      </c>
      <c r="J18" s="33" t="n">
        <f aca="false">-'2. The tape'!$C$17*(1+MIN(MAX('3. Assumptions'!$B$12,'3. Assumptions'!$B$11),'3. Assumptions'!$B$10))^INT((H18-1)/4)/4</f>
        <v>-3163089.2335</v>
      </c>
      <c r="K18" s="33" t="n">
        <f aca="false">-'2. The tape'!$C$16*(1+MIN(MAX('3. Assumptions'!$B$12,'3. Assumptions'!$B$11),'3. Assumptions'!$B$10))^INT((H18-1)/4)/4</f>
        <v>-2508328.326</v>
      </c>
      <c r="L18" s="33" t="n">
        <f aca="false">-'2. The tape'!$C$18*(1+MIN(MAX('3. Assumptions'!$B$12,'3. Assumptions'!$B$11),'3. Assumptions'!$B$10))^INT((H18-1)/4)/4</f>
        <v>-654760.9075</v>
      </c>
    </row>
    <row r="19" customFormat="false" ht="15" hidden="false" customHeight="false" outlineLevel="0" collapsed="false">
      <c r="A19" s="20" t="s">
        <v>332</v>
      </c>
      <c r="C19" s="33" t="n">
        <f aca="false">'2. The tape'!C17*(1-'3. Assumptions'!$B$13)/('3. Assumptions'!$B$25*'3. Assumptions'!$B$23)</f>
        <v>134594444.444444</v>
      </c>
      <c r="H19" s="20" t="n">
        <v>13</v>
      </c>
      <c r="I19" s="33" t="n">
        <f aca="false">'2. The tape'!$C$18*(1-'3. Assumptions'!$B$13)*(1+MIN(MAX('3. Assumptions'!$B$12,'3. Assumptions'!$B$11),'3. Assumptions'!$B$10))^INT((H19-1)/4)/4</f>
        <v>662473.99099035</v>
      </c>
      <c r="J19" s="33" t="n">
        <f aca="false">-'2. The tape'!$C$17*(1+MIN(MAX('3. Assumptions'!$B$12,'3. Assumptions'!$B$11),'3. Assumptions'!$B$10))^INT((H19-1)/4)/4</f>
        <v>-3232677.196637</v>
      </c>
      <c r="K19" s="33" t="n">
        <f aca="false">-'2. The tape'!$C$16*(1+MIN(MAX('3. Assumptions'!$B$12,'3. Assumptions'!$B$11),'3. Assumptions'!$B$10))^INT((H19-1)/4)/4</f>
        <v>-2563511.549172</v>
      </c>
      <c r="L19" s="33" t="n">
        <f aca="false">-'2. The tape'!$C$18*(1+MIN(MAX('3. Assumptions'!$B$12,'3. Assumptions'!$B$11),'3. Assumptions'!$B$10))^INT((H19-1)/4)/4</f>
        <v>-669165.647465</v>
      </c>
    </row>
    <row r="20" customFormat="false" ht="15" hidden="false" customHeight="false" outlineLevel="0" collapsed="false">
      <c r="A20" s="20" t="s">
        <v>333</v>
      </c>
      <c r="C20" s="33" t="n">
        <f aca="false">MIN($C$16,$C$18)</f>
        <v>45733506.7156863</v>
      </c>
      <c r="H20" s="20" t="n">
        <v>14</v>
      </c>
      <c r="I20" s="33" t="n">
        <f aca="false">'2. The tape'!$C$18*(1-'3. Assumptions'!$B$13)*(1+MIN(MAX('3. Assumptions'!$B$12,'3. Assumptions'!$B$11),'3. Assumptions'!$B$10))^INT((H20-1)/4)/4</f>
        <v>662473.99099035</v>
      </c>
      <c r="J20" s="33" t="n">
        <f aca="false">-'2. The tape'!$C$17*(1+MIN(MAX('3. Assumptions'!$B$12,'3. Assumptions'!$B$11),'3. Assumptions'!$B$10))^INT((H20-1)/4)/4</f>
        <v>-3232677.196637</v>
      </c>
      <c r="K20" s="33" t="n">
        <f aca="false">-'2. The tape'!$C$16*(1+MIN(MAX('3. Assumptions'!$B$12,'3. Assumptions'!$B$11),'3. Assumptions'!$B$10))^INT((H20-1)/4)/4</f>
        <v>-2563511.549172</v>
      </c>
      <c r="L20" s="33" t="n">
        <f aca="false">-'2. The tape'!$C$18*(1+MIN(MAX('3. Assumptions'!$B$12,'3. Assumptions'!$B$11),'3. Assumptions'!$B$10))^INT((H20-1)/4)/4</f>
        <v>-669165.647465</v>
      </c>
    </row>
    <row r="21" customFormat="false" ht="15" hidden="false" customHeight="false" outlineLevel="0" collapsed="false">
      <c r="A21" s="20" t="s">
        <v>334</v>
      </c>
      <c r="C21" s="13" t="n">
        <f aca="false">$C$20/('2. The tape'!$C$17/'3. Assumptions'!$B$4)</f>
        <v>0.254840607859729</v>
      </c>
      <c r="H21" s="20" t="n">
        <v>15</v>
      </c>
      <c r="I21" s="33" t="n">
        <f aca="false">'2. The tape'!$C$18*(1-'3. Assumptions'!$B$13)*(1+MIN(MAX('3. Assumptions'!$B$12,'3. Assumptions'!$B$11),'3. Assumptions'!$B$10))^INT((H21-1)/4)/4</f>
        <v>662473.99099035</v>
      </c>
      <c r="J21" s="33" t="n">
        <f aca="false">-'2. The tape'!$C$17*(1+MIN(MAX('3. Assumptions'!$B$12,'3. Assumptions'!$B$11),'3. Assumptions'!$B$10))^INT((H21-1)/4)/4</f>
        <v>-3232677.196637</v>
      </c>
      <c r="K21" s="33" t="n">
        <f aca="false">-'2. The tape'!$C$16*(1+MIN(MAX('3. Assumptions'!$B$12,'3. Assumptions'!$B$11),'3. Assumptions'!$B$10))^INT((H21-1)/4)/4</f>
        <v>-2563511.549172</v>
      </c>
      <c r="L21" s="33" t="n">
        <f aca="false">-'2. The tape'!$C$18*(1+MIN(MAX('3. Assumptions'!$B$12,'3. Assumptions'!$B$11),'3. Assumptions'!$B$10))^INT((H21-1)/4)/4</f>
        <v>-669165.647465</v>
      </c>
    </row>
    <row r="22" customFormat="false" ht="15" hidden="false" customHeight="false" outlineLevel="0" collapsed="false">
      <c r="A22" s="20" t="s">
        <v>335</v>
      </c>
      <c r="C22" s="33" t="n">
        <f aca="false">('2. The tape'!$C$17/'3. Assumptions'!$B$4)*(1+'3. Assumptions'!$B$14)-$C$20</f>
        <v>137314937.728758</v>
      </c>
      <c r="H22" s="20" t="n">
        <v>16</v>
      </c>
      <c r="I22" s="33" t="n">
        <f aca="false">'2. The tape'!$C$18*(1-'3. Assumptions'!$B$13)*(1+MIN(MAX('3. Assumptions'!$B$12,'3. Assumptions'!$B$11),'3. Assumptions'!$B$10))^INT((H22-1)/4)/4</f>
        <v>662473.99099035</v>
      </c>
      <c r="J22" s="33" t="n">
        <f aca="false">-'2. The tape'!$C$17*(1+MIN(MAX('3. Assumptions'!$B$12,'3. Assumptions'!$B$11),'3. Assumptions'!$B$10))^INT((H22-1)/4)/4</f>
        <v>-3232677.196637</v>
      </c>
      <c r="K22" s="33" t="n">
        <f aca="false">-'2. The tape'!$C$16*(1+MIN(MAX('3. Assumptions'!$B$12,'3. Assumptions'!$B$11),'3. Assumptions'!$B$10))^INT((H22-1)/4)/4</f>
        <v>-2563511.549172</v>
      </c>
      <c r="L22" s="33" t="n">
        <f aca="false">-'2. The tape'!$C$18*(1+MIN(MAX('3. Assumptions'!$B$12,'3. Assumptions'!$B$11),'3. Assumptions'!$B$10))^INT((H22-1)/4)/4</f>
        <v>-669165.647465</v>
      </c>
    </row>
    <row r="23" customFormat="false" ht="15" hidden="false" customHeight="false" outlineLevel="0" collapsed="false">
      <c r="A23" s="20" t="s">
        <v>336</v>
      </c>
      <c r="C23" s="33" t="n">
        <f aca="false">$C$22-'5. Decomposition'!G14</f>
        <v>54163107.3366013</v>
      </c>
      <c r="H23" s="20" t="n">
        <v>17</v>
      </c>
      <c r="I23" s="33" t="n">
        <f aca="false">'2. The tape'!$C$18*(1-'3. Assumptions'!$B$13)*(1+MIN(MAX('3. Assumptions'!$B$12,'3. Assumptions'!$B$11),'3. Assumptions'!$B$10))^INT((H23-1)/4)/4</f>
        <v>677048.418792138</v>
      </c>
      <c r="J23" s="33" t="n">
        <f aca="false">-'2. The tape'!$C$17*(1+MIN(MAX('3. Assumptions'!$B$12,'3. Assumptions'!$B$11),'3. Assumptions'!$B$10))^INT((H23-1)/4)/4</f>
        <v>-3303796.09496301</v>
      </c>
      <c r="K23" s="33" t="n">
        <f aca="false">-'2. The tape'!$C$16*(1+MIN(MAX('3. Assumptions'!$B$12,'3. Assumptions'!$B$11),'3. Assumptions'!$B$10))^INT((H23-1)/4)/4</f>
        <v>-2619908.80325378</v>
      </c>
      <c r="L23" s="33" t="n">
        <f aca="false">-'2. The tape'!$C$18*(1+MIN(MAX('3. Assumptions'!$B$12,'3. Assumptions'!$B$11),'3. Assumptions'!$B$10))^INT((H23-1)/4)/4</f>
        <v>-683887.29170923</v>
      </c>
    </row>
    <row r="24" customFormat="false" ht="15" hidden="false" customHeight="false" outlineLevel="0" collapsed="false">
      <c r="A24" s="30" t="s">
        <v>337</v>
      </c>
      <c r="H24" s="20" t="n">
        <v>18</v>
      </c>
      <c r="I24" s="33" t="n">
        <f aca="false">'2. The tape'!$C$18*(1-'3. Assumptions'!$B$13)*(1+MIN(MAX('3. Assumptions'!$B$12,'3. Assumptions'!$B$11),'3. Assumptions'!$B$10))^INT((H24-1)/4)/4</f>
        <v>677048.418792138</v>
      </c>
      <c r="J24" s="33" t="n">
        <f aca="false">-'2. The tape'!$C$17*(1+MIN(MAX('3. Assumptions'!$B$12,'3. Assumptions'!$B$11),'3. Assumptions'!$B$10))^INT((H24-1)/4)/4</f>
        <v>-3303796.09496301</v>
      </c>
      <c r="K24" s="33" t="n">
        <f aca="false">-'2. The tape'!$C$16*(1+MIN(MAX('3. Assumptions'!$B$12,'3. Assumptions'!$B$11),'3. Assumptions'!$B$10))^INT((H24-1)/4)/4</f>
        <v>-2619908.80325378</v>
      </c>
      <c r="L24" s="33" t="n">
        <f aca="false">-'2. The tape'!$C$18*(1+MIN(MAX('3. Assumptions'!$B$12,'3. Assumptions'!$B$11),'3. Assumptions'!$B$10))^INT((H24-1)/4)/4</f>
        <v>-683887.29170923</v>
      </c>
    </row>
    <row r="25" customFormat="false" ht="15" hidden="false" customHeight="false" outlineLevel="0" collapsed="false">
      <c r="A25" s="20" t="s">
        <v>338</v>
      </c>
      <c r="C25" s="35" t="n">
        <f aca="false">(1+IRR(J6:J86,0.01))^4-1</f>
        <v>0.0683175841669079</v>
      </c>
      <c r="H25" s="20" t="n">
        <v>19</v>
      </c>
      <c r="I25" s="33" t="n">
        <f aca="false">'2. The tape'!$C$18*(1-'3. Assumptions'!$B$13)*(1+MIN(MAX('3. Assumptions'!$B$12,'3. Assumptions'!$B$11),'3. Assumptions'!$B$10))^INT((H25-1)/4)/4</f>
        <v>677048.418792138</v>
      </c>
      <c r="J25" s="33" t="n">
        <f aca="false">-'2. The tape'!$C$17*(1+MIN(MAX('3. Assumptions'!$B$12,'3. Assumptions'!$B$11),'3. Assumptions'!$B$10))^INT((H25-1)/4)/4</f>
        <v>-3303796.09496301</v>
      </c>
      <c r="K25" s="33" t="n">
        <f aca="false">-'2. The tape'!$C$16*(1+MIN(MAX('3. Assumptions'!$B$12,'3. Assumptions'!$B$11),'3. Assumptions'!$B$10))^INT((H25-1)/4)/4</f>
        <v>-2619908.80325378</v>
      </c>
      <c r="L25" s="33" t="n">
        <f aca="false">-'2. The tape'!$C$18*(1+MIN(MAX('3. Assumptions'!$B$12,'3. Assumptions'!$B$11),'3. Assumptions'!$B$10))^INT((H25-1)/4)/4</f>
        <v>-683887.29170923</v>
      </c>
    </row>
    <row r="26" customFormat="false" ht="15" hidden="false" customHeight="false" outlineLevel="0" collapsed="false">
      <c r="A26" s="20" t="s">
        <v>339</v>
      </c>
      <c r="C26" s="35" t="n">
        <f aca="false">(1+IRR(K6:K86,0.01))^4-1</f>
        <v>0.0713686190786866</v>
      </c>
      <c r="H26" s="20" t="n">
        <v>20</v>
      </c>
      <c r="I26" s="33" t="n">
        <f aca="false">'2. The tape'!$C$18*(1-'3. Assumptions'!$B$13)*(1+MIN(MAX('3. Assumptions'!$B$12,'3. Assumptions'!$B$11),'3. Assumptions'!$B$10))^INT((H26-1)/4)/4</f>
        <v>677048.418792138</v>
      </c>
      <c r="J26" s="33" t="n">
        <f aca="false">-'2. The tape'!$C$17*(1+MIN(MAX('3. Assumptions'!$B$12,'3. Assumptions'!$B$11),'3. Assumptions'!$B$10))^INT((H26-1)/4)/4</f>
        <v>-3303796.09496301</v>
      </c>
      <c r="K26" s="33" t="n">
        <f aca="false">-'2. The tape'!$C$16*(1+MIN(MAX('3. Assumptions'!$B$12,'3. Assumptions'!$B$11),'3. Assumptions'!$B$10))^INT((H26-1)/4)/4</f>
        <v>-2619908.80325378</v>
      </c>
      <c r="L26" s="33" t="n">
        <f aca="false">-'2. The tape'!$C$18*(1+MIN(MAX('3. Assumptions'!$B$12,'3. Assumptions'!$B$11),'3. Assumptions'!$B$10))^INT((H26-1)/4)/4</f>
        <v>-683887.29170923</v>
      </c>
    </row>
    <row r="27" customFormat="false" ht="15" hidden="false" customHeight="false" outlineLevel="0" collapsed="false">
      <c r="A27" s="20" t="s">
        <v>340</v>
      </c>
      <c r="C27" s="35" t="n">
        <f aca="false">(1+IRR(L6:L86,0.01))^4-1</f>
        <v>0.0528681351316365</v>
      </c>
      <c r="H27" s="20" t="n">
        <v>21</v>
      </c>
      <c r="I27" s="33" t="n">
        <f aca="false">'2. The tape'!$C$18*(1-'3. Assumptions'!$B$13)*(1+MIN(MAX('3. Assumptions'!$B$12,'3. Assumptions'!$B$11),'3. Assumptions'!$B$10))^INT((H27-1)/4)/4</f>
        <v>691943.484005565</v>
      </c>
      <c r="J27" s="33" t="n">
        <f aca="false">-'2. The tape'!$C$17*(1+MIN(MAX('3. Assumptions'!$B$12,'3. Assumptions'!$B$11),'3. Assumptions'!$B$10))^INT((H27-1)/4)/4</f>
        <v>-3376479.6090522</v>
      </c>
      <c r="K27" s="33" t="n">
        <f aca="false">-'2. The tape'!$C$16*(1+MIN(MAX('3. Assumptions'!$B$12,'3. Assumptions'!$B$11),'3. Assumptions'!$B$10))^INT((H27-1)/4)/4</f>
        <v>-2677546.79692537</v>
      </c>
      <c r="L27" s="33" t="n">
        <f aca="false">-'2. The tape'!$C$18*(1+MIN(MAX('3. Assumptions'!$B$12,'3. Assumptions'!$B$11),'3. Assumptions'!$B$10))^INT((H27-1)/4)/4</f>
        <v>-698932.812126833</v>
      </c>
    </row>
    <row r="28" customFormat="false" ht="15" hidden="false" customHeight="false" outlineLevel="0" collapsed="false">
      <c r="A28" s="20" t="s">
        <v>341</v>
      </c>
      <c r="C28" s="35" t="n">
        <f aca="false">$C$25-'3. Assumptions'!$B$23</f>
        <v>0.0188175841669079</v>
      </c>
      <c r="H28" s="20" t="n">
        <v>22</v>
      </c>
      <c r="I28" s="33" t="n">
        <f aca="false">'2. The tape'!$C$18*(1-'3. Assumptions'!$B$13)*(1+MIN(MAX('3. Assumptions'!$B$12,'3. Assumptions'!$B$11),'3. Assumptions'!$B$10))^INT((H28-1)/4)/4</f>
        <v>691943.484005565</v>
      </c>
      <c r="J28" s="33" t="n">
        <f aca="false">-'2. The tape'!$C$17*(1+MIN(MAX('3. Assumptions'!$B$12,'3. Assumptions'!$B$11),'3. Assumptions'!$B$10))^INT((H28-1)/4)/4</f>
        <v>-3376479.6090522</v>
      </c>
      <c r="K28" s="33" t="n">
        <f aca="false">-'2. The tape'!$C$16*(1+MIN(MAX('3. Assumptions'!$B$12,'3. Assumptions'!$B$11),'3. Assumptions'!$B$10))^INT((H28-1)/4)/4</f>
        <v>-2677546.79692537</v>
      </c>
      <c r="L28" s="33" t="n">
        <f aca="false">-'2. The tape'!$C$18*(1+MIN(MAX('3. Assumptions'!$B$12,'3. Assumptions'!$B$11),'3. Assumptions'!$B$10))^INT((H28-1)/4)/4</f>
        <v>-698932.812126833</v>
      </c>
    </row>
    <row r="29" customFormat="false" ht="15" hidden="false" customHeight="false" outlineLevel="0" collapsed="false">
      <c r="A29" s="20" t="s">
        <v>342</v>
      </c>
      <c r="C29" s="35" t="n">
        <f aca="false">$C$25-'3. Assumptions'!$B$6-'3. Assumptions'!$B$21</f>
        <v>0.00381758416690792</v>
      </c>
      <c r="H29" s="20" t="n">
        <v>23</v>
      </c>
      <c r="I29" s="33" t="n">
        <f aca="false">'2. The tape'!$C$18*(1-'3. Assumptions'!$B$13)*(1+MIN(MAX('3. Assumptions'!$B$12,'3. Assumptions'!$B$11),'3. Assumptions'!$B$10))^INT((H29-1)/4)/4</f>
        <v>691943.484005565</v>
      </c>
      <c r="J29" s="33" t="n">
        <f aca="false">-'2. The tape'!$C$17*(1+MIN(MAX('3. Assumptions'!$B$12,'3. Assumptions'!$B$11),'3. Assumptions'!$B$10))^INT((H29-1)/4)/4</f>
        <v>-3376479.6090522</v>
      </c>
      <c r="K29" s="33" t="n">
        <f aca="false">-'2. The tape'!$C$16*(1+MIN(MAX('3. Assumptions'!$B$12,'3. Assumptions'!$B$11),'3. Assumptions'!$B$10))^INT((H29-1)/4)/4</f>
        <v>-2677546.79692537</v>
      </c>
      <c r="L29" s="33" t="n">
        <f aca="false">-'2. The tape'!$C$18*(1+MIN(MAX('3. Assumptions'!$B$12,'3. Assumptions'!$B$11),'3. Assumptions'!$B$10))^INT((H29-1)/4)/4</f>
        <v>-698932.812126833</v>
      </c>
    </row>
    <row r="30" customFormat="false" ht="15" hidden="false" customHeight="false" outlineLevel="0" collapsed="false">
      <c r="A30" s="20" t="s">
        <v>343</v>
      </c>
      <c r="C30" s="33" t="n">
        <f aca="false">SUMPRODUCT((('2. The tape'!$C$5:$C$13*'2. The tape'!$D$5:$D$13*(1-'2. The tape'!$J$5:$J$13)^('3. Assumptions'!$B$9)*(1+'3. Assumptions'!$B$12)^('3. Assumptions'!$B$9)*((1-'3. Assumptions'!$B$13)/('3. Assumptions'!$B$5)-'2. The tape'!$H$5:$H$13/12-'3. Assumptions'!$B$16)-'2. The tape'!$C$5:$C$13*'2. The tape'!$I$5:$I$13*(1+'3. Assumptions'!$B$12)^('3. Assumptions'!$B$9))&gt;0)*('2. The tape'!$C$5:$C$13*'2. The tape'!$D$5:$D$13*(1-'2. The tape'!$J$5:$J$13)^('3. Assumptions'!$B$9)*(1+'3. Assumptions'!$B$12)^('3. Assumptions'!$B$9)*((1-'3. Assumptions'!$B$13)/('3. Assumptions'!$B$5)-'2. The tape'!$H$5:$H$13/12-'3. Assumptions'!$B$16)-'2. The tape'!$C$5:$C$13*'2. The tape'!$I$5:$I$13*(1+'3. Assumptions'!$B$12)^('3. Assumptions'!$B$9)))</f>
        <v>75099201.2920267</v>
      </c>
      <c r="H30" s="20" t="n">
        <v>24</v>
      </c>
      <c r="I30" s="33" t="n">
        <f aca="false">'2. The tape'!$C$18*(1-'3. Assumptions'!$B$13)*(1+MIN(MAX('3. Assumptions'!$B$12,'3. Assumptions'!$B$11),'3. Assumptions'!$B$10))^INT((H30-1)/4)/4</f>
        <v>691943.484005565</v>
      </c>
      <c r="J30" s="33" t="n">
        <f aca="false">-'2. The tape'!$C$17*(1+MIN(MAX('3. Assumptions'!$B$12,'3. Assumptions'!$B$11),'3. Assumptions'!$B$10))^INT((H30-1)/4)/4</f>
        <v>-3376479.6090522</v>
      </c>
      <c r="K30" s="33" t="n">
        <f aca="false">-'2. The tape'!$C$16*(1+MIN(MAX('3. Assumptions'!$B$12,'3. Assumptions'!$B$11),'3. Assumptions'!$B$10))^INT((H30-1)/4)/4</f>
        <v>-2677546.79692537</v>
      </c>
      <c r="L30" s="33" t="n">
        <f aca="false">-'2. The tape'!$C$18*(1+MIN(MAX('3. Assumptions'!$B$12,'3. Assumptions'!$B$11),'3. Assumptions'!$B$10))^INT((H30-1)/4)/4</f>
        <v>-698932.812126833</v>
      </c>
    </row>
    <row r="31" customFormat="false" ht="15" hidden="false" customHeight="false" outlineLevel="0" collapsed="false">
      <c r="A31" s="30" t="s">
        <v>344</v>
      </c>
      <c r="H31" s="20" t="n">
        <v>25</v>
      </c>
      <c r="I31" s="33" t="n">
        <f aca="false">'2. The tape'!$C$18*(1-'3. Assumptions'!$B$13)*(1+MIN(MAX('3. Assumptions'!$B$12,'3. Assumptions'!$B$11),'3. Assumptions'!$B$10))^INT((H31-1)/4)/4</f>
        <v>707166.240653687</v>
      </c>
      <c r="J31" s="33" t="n">
        <f aca="false">-'2. The tape'!$C$17*(1+MIN(MAX('3. Assumptions'!$B$12,'3. Assumptions'!$B$11),'3. Assumptions'!$B$10))^INT((H31-1)/4)/4</f>
        <v>-3450762.16045135</v>
      </c>
      <c r="K31" s="33" t="n">
        <f aca="false">-'2. The tape'!$C$16*(1+MIN(MAX('3. Assumptions'!$B$12,'3. Assumptions'!$B$11),'3. Assumptions'!$B$10))^INT((H31-1)/4)/4</f>
        <v>-2736452.82645773</v>
      </c>
      <c r="L31" s="33" t="n">
        <f aca="false">-'2. The tape'!$C$18*(1+MIN(MAX('3. Assumptions'!$B$12,'3. Assumptions'!$B$11),'3. Assumptions'!$B$10))^INT((H31-1)/4)/4</f>
        <v>-714309.333993624</v>
      </c>
    </row>
    <row r="32" customFormat="false" ht="15" hidden="false" customHeight="false" outlineLevel="0" collapsed="false">
      <c r="A32" s="20" t="s">
        <v>345</v>
      </c>
      <c r="C32" s="33" t="n">
        <f aca="false">('2. The tape'!$C$17/'3. Assumptions'!$B$4)*(1-'3. Assumptions'!$B$27)</f>
        <v>177664666.666667</v>
      </c>
      <c r="H32" s="20" t="n">
        <v>26</v>
      </c>
      <c r="I32" s="33" t="n">
        <f aca="false">'2. The tape'!$C$18*(1-'3. Assumptions'!$B$13)*(1+MIN(MAX('3. Assumptions'!$B$12,'3. Assumptions'!$B$11),'3. Assumptions'!$B$10))^INT((H32-1)/4)/4</f>
        <v>707166.240653687</v>
      </c>
      <c r="J32" s="33" t="n">
        <f aca="false">-'2. The tape'!$C$17*(1+MIN(MAX('3. Assumptions'!$B$12,'3. Assumptions'!$B$11),'3. Assumptions'!$B$10))^INT((H32-1)/4)/4</f>
        <v>-3450762.16045135</v>
      </c>
      <c r="K32" s="33" t="n">
        <f aca="false">-'2. The tape'!$C$16*(1+MIN(MAX('3. Assumptions'!$B$12,'3. Assumptions'!$B$11),'3. Assumptions'!$B$10))^INT((H32-1)/4)/4</f>
        <v>-2736452.82645773</v>
      </c>
      <c r="L32" s="33" t="n">
        <f aca="false">-'2. The tape'!$C$18*(1+MIN(MAX('3. Assumptions'!$B$12,'3. Assumptions'!$B$11),'3. Assumptions'!$B$10))^INT((H32-1)/4)/4</f>
        <v>-714309.333993624</v>
      </c>
    </row>
    <row r="33" customFormat="false" ht="15" hidden="false" customHeight="false" outlineLevel="0" collapsed="false">
      <c r="A33" s="20" t="s">
        <v>346</v>
      </c>
      <c r="C33" s="33" t="n">
        <f aca="false">'3. Assumptions'!$B$20-$C$32</f>
        <v>162335333.333333</v>
      </c>
      <c r="H33" s="20" t="n">
        <v>27</v>
      </c>
      <c r="I33" s="33" t="n">
        <f aca="false">'2. The tape'!$C$18*(1-'3. Assumptions'!$B$13)*(1+MIN(MAX('3. Assumptions'!$B$12,'3. Assumptions'!$B$11),'3. Assumptions'!$B$10))^INT((H33-1)/4)/4</f>
        <v>707166.240653687</v>
      </c>
      <c r="J33" s="33" t="n">
        <f aca="false">-'2. The tape'!$C$17*(1+MIN(MAX('3. Assumptions'!$B$12,'3. Assumptions'!$B$11),'3. Assumptions'!$B$10))^INT((H33-1)/4)/4</f>
        <v>-3450762.16045135</v>
      </c>
      <c r="K33" s="33" t="n">
        <f aca="false">-'2. The tape'!$C$16*(1+MIN(MAX('3. Assumptions'!$B$12,'3. Assumptions'!$B$11),'3. Assumptions'!$B$10))^INT((H33-1)/4)/4</f>
        <v>-2736452.82645773</v>
      </c>
      <c r="L33" s="33" t="n">
        <f aca="false">-'2. The tape'!$C$18*(1+MIN(MAX('3. Assumptions'!$B$12,'3. Assumptions'!$B$11),'3. Assumptions'!$B$10))^INT((H33-1)/4)/4</f>
        <v>-714309.333993624</v>
      </c>
    </row>
    <row r="34" customFormat="false" ht="15" hidden="false" customHeight="false" outlineLevel="0" collapsed="false">
      <c r="A34" s="20" t="s">
        <v>347</v>
      </c>
      <c r="C34" s="33" t="n">
        <f aca="false">'2. The tape'!C17/4*(1-(1+((1+'3. Assumptions'!$B$23)^0.25-1))^-('3. Assumptions'!$B$9*4))/((1+'3. Assumptions'!$B$23)^0.25-1)</f>
        <v>154388849.791213</v>
      </c>
      <c r="H34" s="20" t="n">
        <v>28</v>
      </c>
      <c r="I34" s="33" t="n">
        <f aca="false">'2. The tape'!$C$18*(1-'3. Assumptions'!$B$13)*(1+MIN(MAX('3. Assumptions'!$B$12,'3. Assumptions'!$B$11),'3. Assumptions'!$B$10))^INT((H34-1)/4)/4</f>
        <v>707166.240653687</v>
      </c>
      <c r="J34" s="33" t="n">
        <f aca="false">-'2. The tape'!$C$17*(1+MIN(MAX('3. Assumptions'!$B$12,'3. Assumptions'!$B$11),'3. Assumptions'!$B$10))^INT((H34-1)/4)/4</f>
        <v>-3450762.16045135</v>
      </c>
      <c r="K34" s="33" t="n">
        <f aca="false">-'2. The tape'!$C$16*(1+MIN(MAX('3. Assumptions'!$B$12,'3. Assumptions'!$B$11),'3. Assumptions'!$B$10))^INT((H34-1)/4)/4</f>
        <v>-2736452.82645773</v>
      </c>
      <c r="L34" s="33" t="n">
        <f aca="false">-'2. The tape'!$C$18*(1+MIN(MAX('3. Assumptions'!$B$12,'3. Assumptions'!$B$11),'3. Assumptions'!$B$10))^INT((H34-1)/4)/4</f>
        <v>-714309.333993624</v>
      </c>
    </row>
    <row r="35" customFormat="false" ht="15" hidden="false" customHeight="false" outlineLevel="0" collapsed="false">
      <c r="A35" s="20" t="s">
        <v>348</v>
      </c>
      <c r="C35" s="33" t="n">
        <f aca="false">$C$33+$C$34</f>
        <v>316724183.124547</v>
      </c>
      <c r="H35" s="20" t="n">
        <v>29</v>
      </c>
      <c r="I35" s="33" t="n">
        <f aca="false">'2. The tape'!$C$18*(1-'3. Assumptions'!$B$13)*(1+MIN(MAX('3. Assumptions'!$B$12,'3. Assumptions'!$B$11),'3. Assumptions'!$B$10))^INT((H35-1)/4)/4</f>
        <v>722723.897948069</v>
      </c>
      <c r="J35" s="33" t="n">
        <f aca="false">-'2. The tape'!$C$17*(1+MIN(MAX('3. Assumptions'!$B$12,'3. Assumptions'!$B$11),'3. Assumptions'!$B$10))^INT((H35-1)/4)/4</f>
        <v>-3526678.92798128</v>
      </c>
      <c r="K35" s="33" t="n">
        <f aca="false">-'2. The tape'!$C$16*(1+MIN(MAX('3. Assumptions'!$B$12,'3. Assumptions'!$B$11),'3. Assumptions'!$B$10))^INT((H35-1)/4)/4</f>
        <v>-2796654.7886398</v>
      </c>
      <c r="L35" s="33" t="n">
        <f aca="false">-'2. The tape'!$C$18*(1+MIN(MAX('3. Assumptions'!$B$12,'3. Assumptions'!$B$11),'3. Assumptions'!$B$10))^INT((H35-1)/4)/4</f>
        <v>-730024.139341483</v>
      </c>
    </row>
    <row r="36" customFormat="false" ht="15" hidden="false" customHeight="false" outlineLevel="0" collapsed="false">
      <c r="A36" s="20" t="s">
        <v>349</v>
      </c>
      <c r="C36" s="33" t="n">
        <f aca="false">'3. Assumptions'!$B$20-$C$35</f>
        <v>23275816.8754532</v>
      </c>
      <c r="H36" s="20" t="n">
        <v>30</v>
      </c>
      <c r="I36" s="33" t="n">
        <f aca="false">'2. The tape'!$C$18*(1-'3. Assumptions'!$B$13)*(1+MIN(MAX('3. Assumptions'!$B$12,'3. Assumptions'!$B$11),'3. Assumptions'!$B$10))^INT((H36-1)/4)/4</f>
        <v>722723.897948069</v>
      </c>
      <c r="J36" s="33" t="n">
        <f aca="false">-'2. The tape'!$C$17*(1+MIN(MAX('3. Assumptions'!$B$12,'3. Assumptions'!$B$11),'3. Assumptions'!$B$10))^INT((H36-1)/4)/4</f>
        <v>-3526678.92798128</v>
      </c>
      <c r="K36" s="33" t="n">
        <f aca="false">-'2. The tape'!$C$16*(1+MIN(MAX('3. Assumptions'!$B$12,'3. Assumptions'!$B$11),'3. Assumptions'!$B$10))^INT((H36-1)/4)/4</f>
        <v>-2796654.7886398</v>
      </c>
      <c r="L36" s="33" t="n">
        <f aca="false">-'2. The tape'!$C$18*(1+MIN(MAX('3. Assumptions'!$B$12,'3. Assumptions'!$B$11),'3. Assumptions'!$B$10))^INT((H36-1)/4)/4</f>
        <v>-730024.139341483</v>
      </c>
    </row>
    <row r="37" customFormat="false" ht="15" hidden="false" customHeight="false" outlineLevel="0" collapsed="false">
      <c r="A37" s="20" t="s">
        <v>350</v>
      </c>
      <c r="C37" s="13" t="n">
        <f aca="false">$C$36/$C$32</f>
        <v>0.131009824925533</v>
      </c>
      <c r="H37" s="20" t="n">
        <v>31</v>
      </c>
      <c r="I37" s="33" t="n">
        <f aca="false">'2. The tape'!$C$18*(1-'3. Assumptions'!$B$13)*(1+MIN(MAX('3. Assumptions'!$B$12,'3. Assumptions'!$B$11),'3. Assumptions'!$B$10))^INT((H37-1)/4)/4</f>
        <v>722723.897948069</v>
      </c>
      <c r="J37" s="33" t="n">
        <f aca="false">-'2. The tape'!$C$17*(1+MIN(MAX('3. Assumptions'!$B$12,'3. Assumptions'!$B$11),'3. Assumptions'!$B$10))^INT((H37-1)/4)/4</f>
        <v>-3526678.92798128</v>
      </c>
      <c r="K37" s="33" t="n">
        <f aca="false">-'2. The tape'!$C$16*(1+MIN(MAX('3. Assumptions'!$B$12,'3. Assumptions'!$B$11),'3. Assumptions'!$B$10))^INT((H37-1)/4)/4</f>
        <v>-2796654.7886398</v>
      </c>
      <c r="L37" s="33" t="n">
        <f aca="false">-'2. The tape'!$C$18*(1+MIN(MAX('3. Assumptions'!$B$12,'3. Assumptions'!$B$11),'3. Assumptions'!$B$10))^INT((H37-1)/4)/4</f>
        <v>-730024.139341483</v>
      </c>
    </row>
    <row r="38" customFormat="false" ht="15" hidden="false" customHeight="false" outlineLevel="0" collapsed="false">
      <c r="A38" s="20" t="s">
        <v>351</v>
      </c>
      <c r="C38" s="31" t="n">
        <f aca="false">'3. Assumptions'!$B$20/'3. Assumptions'!$B$18</f>
        <v>5.86206896551724</v>
      </c>
      <c r="H38" s="20" t="n">
        <v>32</v>
      </c>
      <c r="I38" s="33" t="n">
        <f aca="false">'2. The tape'!$C$18*(1-'3. Assumptions'!$B$13)*(1+MIN(MAX('3. Assumptions'!$B$12,'3. Assumptions'!$B$11),'3. Assumptions'!$B$10))^INT((H38-1)/4)/4</f>
        <v>722723.897948069</v>
      </c>
      <c r="J38" s="33" t="n">
        <f aca="false">-'2. The tape'!$C$17*(1+MIN(MAX('3. Assumptions'!$B$12,'3. Assumptions'!$B$11),'3. Assumptions'!$B$10))^INT((H38-1)/4)/4</f>
        <v>-3526678.92798128</v>
      </c>
      <c r="K38" s="33" t="n">
        <f aca="false">-'2. The tape'!$C$16*(1+MIN(MAX('3. Assumptions'!$B$12,'3. Assumptions'!$B$11),'3. Assumptions'!$B$10))^INT((H38-1)/4)/4</f>
        <v>-2796654.7886398</v>
      </c>
      <c r="L38" s="33" t="n">
        <f aca="false">-'2. The tape'!$C$18*(1+MIN(MAX('3. Assumptions'!$B$12,'3. Assumptions'!$B$11),'3. Assumptions'!$B$10))^INT((H38-1)/4)/4</f>
        <v>-730024.139341483</v>
      </c>
    </row>
    <row r="39" customFormat="false" ht="15" hidden="false" customHeight="false" outlineLevel="0" collapsed="false">
      <c r="A39" s="20" t="s">
        <v>352</v>
      </c>
      <c r="C39" s="31" t="n">
        <f aca="false">$C$35/'3. Assumptions'!$B$18</f>
        <v>5.46076177800943</v>
      </c>
      <c r="H39" s="20" t="n">
        <v>33</v>
      </c>
      <c r="I39" s="33" t="n">
        <f aca="false">'2. The tape'!$C$18*(1-'3. Assumptions'!$B$13)*(1+MIN(MAX('3. Assumptions'!$B$12,'3. Assumptions'!$B$11),'3. Assumptions'!$B$10))^INT((H39-1)/4)/4</f>
        <v>738623.823702926</v>
      </c>
      <c r="J39" s="33" t="n">
        <f aca="false">-'2. The tape'!$C$17*(1+MIN(MAX('3. Assumptions'!$B$12,'3. Assumptions'!$B$11),'3. Assumptions'!$B$10))^INT((H39-1)/4)/4</f>
        <v>-3604265.86439687</v>
      </c>
      <c r="K39" s="33" t="n">
        <f aca="false">-'2. The tape'!$C$16*(1+MIN(MAX('3. Assumptions'!$B$12,'3. Assumptions'!$B$11),'3. Assumptions'!$B$10))^INT((H39-1)/4)/4</f>
        <v>-2858181.19398987</v>
      </c>
      <c r="L39" s="33" t="n">
        <f aca="false">-'2. The tape'!$C$18*(1+MIN(MAX('3. Assumptions'!$B$12,'3. Assumptions'!$B$11),'3. Assumptions'!$B$10))^INT((H39-1)/4)/4</f>
        <v>-746084.670406996</v>
      </c>
    </row>
    <row r="40" customFormat="false" ht="15" hidden="false" customHeight="false" outlineLevel="0" collapsed="false">
      <c r="A40" s="20" t="s">
        <v>353</v>
      </c>
      <c r="C40" s="31" t="n">
        <f aca="false">$C$33/('3. Assumptions'!$B$18-'2. The tape'!C17)</f>
        <v>3.53775801887992</v>
      </c>
      <c r="H40" s="20" t="n">
        <v>34</v>
      </c>
      <c r="I40" s="33" t="n">
        <f aca="false">'2. The tape'!$C$18*(1-'3. Assumptions'!$B$13)*(1+MIN(MAX('3. Assumptions'!$B$12,'3. Assumptions'!$B$11),'3. Assumptions'!$B$10))^INT((H40-1)/4)/4</f>
        <v>738623.823702926</v>
      </c>
      <c r="J40" s="33" t="n">
        <f aca="false">-'2. The tape'!$C$17*(1+MIN(MAX('3. Assumptions'!$B$12,'3. Assumptions'!$B$11),'3. Assumptions'!$B$10))^INT((H40-1)/4)/4</f>
        <v>-3604265.86439687</v>
      </c>
      <c r="K40" s="33" t="n">
        <f aca="false">-'2. The tape'!$C$16*(1+MIN(MAX('3. Assumptions'!$B$12,'3. Assumptions'!$B$11),'3. Assumptions'!$B$10))^INT((H40-1)/4)/4</f>
        <v>-2858181.19398987</v>
      </c>
      <c r="L40" s="33" t="n">
        <f aca="false">-'2. The tape'!$C$18*(1+MIN(MAX('3. Assumptions'!$B$12,'3. Assumptions'!$B$11),'3. Assumptions'!$B$10))^INT((H40-1)/4)/4</f>
        <v>-746084.670406996</v>
      </c>
    </row>
    <row r="41" customFormat="false" ht="15" hidden="false" customHeight="false" outlineLevel="0" collapsed="false">
      <c r="A41" s="20" t="s">
        <v>354</v>
      </c>
      <c r="C41" s="21" t="n">
        <v>0.065</v>
      </c>
      <c r="H41" s="20" t="n">
        <v>35</v>
      </c>
      <c r="I41" s="33" t="n">
        <f aca="false">'2. The tape'!$C$18*(1-'3. Assumptions'!$B$13)*(1+MIN(MAX('3. Assumptions'!$B$12,'3. Assumptions'!$B$11),'3. Assumptions'!$B$10))^INT((H41-1)/4)/4</f>
        <v>738623.823702926</v>
      </c>
      <c r="J41" s="33" t="n">
        <f aca="false">-'2. The tape'!$C$17*(1+MIN(MAX('3. Assumptions'!$B$12,'3. Assumptions'!$B$11),'3. Assumptions'!$B$10))^INT((H41-1)/4)/4</f>
        <v>-3604265.86439687</v>
      </c>
      <c r="K41" s="33" t="n">
        <f aca="false">-'2. The tape'!$C$16*(1+MIN(MAX('3. Assumptions'!$B$12,'3. Assumptions'!$B$11),'3. Assumptions'!$B$10))^INT((H41-1)/4)/4</f>
        <v>-2858181.19398987</v>
      </c>
      <c r="L41" s="33" t="n">
        <f aca="false">-'2. The tape'!$C$18*(1+MIN(MAX('3. Assumptions'!$B$12,'3. Assumptions'!$B$11),'3. Assumptions'!$B$10))^INT((H41-1)/4)/4</f>
        <v>-746084.670406996</v>
      </c>
    </row>
    <row r="42" customFormat="false" ht="15" hidden="false" customHeight="false" outlineLevel="0" collapsed="false">
      <c r="A42" s="20" t="s">
        <v>355</v>
      </c>
      <c r="C42" s="33" t="n">
        <f aca="false">'2. The tape'!C17/4*(1-(1+((1+$C$41)^0.25-1))^-('3. Assumptions'!$B$9*4))/((1+$C$41)^0.25-1)</f>
        <v>136683403.545498</v>
      </c>
      <c r="H42" s="20" t="n">
        <v>36</v>
      </c>
      <c r="I42" s="33" t="n">
        <f aca="false">'2. The tape'!$C$18*(1-'3. Assumptions'!$B$13)*(1+MIN(MAX('3. Assumptions'!$B$12,'3. Assumptions'!$B$11),'3. Assumptions'!$B$10))^INT((H42-1)/4)/4</f>
        <v>738623.823702926</v>
      </c>
      <c r="J42" s="33" t="n">
        <f aca="false">-'2. The tape'!$C$17*(1+MIN(MAX('3. Assumptions'!$B$12,'3. Assumptions'!$B$11),'3. Assumptions'!$B$10))^INT((H42-1)/4)/4</f>
        <v>-3604265.86439687</v>
      </c>
      <c r="K42" s="33" t="n">
        <f aca="false">-'2. The tape'!$C$16*(1+MIN(MAX('3. Assumptions'!$B$12,'3. Assumptions'!$B$11),'3. Assumptions'!$B$10))^INT((H42-1)/4)/4</f>
        <v>-2858181.19398987</v>
      </c>
      <c r="L42" s="33" t="n">
        <f aca="false">-'2. The tape'!$C$18*(1+MIN(MAX('3. Assumptions'!$B$12,'3. Assumptions'!$B$11),'3. Assumptions'!$B$10))^INT((H42-1)/4)/4</f>
        <v>-746084.670406996</v>
      </c>
    </row>
    <row r="43" customFormat="false" ht="15" hidden="false" customHeight="false" outlineLevel="0" collapsed="false">
      <c r="A43" s="20" t="s">
        <v>356</v>
      </c>
      <c r="C43" s="33" t="n">
        <f aca="false">SUMPRODUCT('2. The tape'!$C$17/4*(1+MIN(MAX('3. Assumptions'!$B$12,'3. Assumptions'!$B$11),'3. Assumptions'!$B$10))^INT(('7. Cash flow'!$A$7:$A$86-1)/4))</f>
        <v>300259630.094789</v>
      </c>
      <c r="H43" s="20" t="n">
        <v>37</v>
      </c>
      <c r="I43" s="33" t="n">
        <f aca="false">'2. The tape'!$C$18*(1-'3. Assumptions'!$B$13)*(1+MIN(MAX('3. Assumptions'!$B$12,'3. Assumptions'!$B$11),'3. Assumptions'!$B$10))^INT((H43-1)/4)/4</f>
        <v>754873.54782439</v>
      </c>
      <c r="J43" s="33" t="n">
        <f aca="false">-'2. The tape'!$C$17*(1+MIN(MAX('3. Assumptions'!$B$12,'3. Assumptions'!$B$11),'3. Assumptions'!$B$10))^INT((H43-1)/4)/4</f>
        <v>-3683559.7134136</v>
      </c>
      <c r="K43" s="33" t="n">
        <f aca="false">-'2. The tape'!$C$16*(1+MIN(MAX('3. Assumptions'!$B$12,'3. Assumptions'!$B$11),'3. Assumptions'!$B$10))^INT((H43-1)/4)/4</f>
        <v>-2921061.18025765</v>
      </c>
      <c r="L43" s="33" t="n">
        <f aca="false">-'2. The tape'!$C$18*(1+MIN(MAX('3. Assumptions'!$B$12,'3. Assumptions'!$B$11),'3. Assumptions'!$B$10))^INT((H43-1)/4)/4</f>
        <v>-762498.53315595</v>
      </c>
    </row>
    <row r="44" customFormat="false" ht="15" hidden="false" customHeight="false" outlineLevel="0" collapsed="false">
      <c r="A44" s="30" t="s">
        <v>357</v>
      </c>
      <c r="H44" s="20" t="n">
        <v>38</v>
      </c>
      <c r="I44" s="33" t="n">
        <f aca="false">'2. The tape'!$C$18*(1-'3. Assumptions'!$B$13)*(1+MIN(MAX('3. Assumptions'!$B$12,'3. Assumptions'!$B$11),'3. Assumptions'!$B$10))^INT((H44-1)/4)/4</f>
        <v>754873.54782439</v>
      </c>
      <c r="J44" s="33" t="n">
        <f aca="false">-'2. The tape'!$C$17*(1+MIN(MAX('3. Assumptions'!$B$12,'3. Assumptions'!$B$11),'3. Assumptions'!$B$10))^INT((H44-1)/4)/4</f>
        <v>-3683559.7134136</v>
      </c>
      <c r="K44" s="33" t="n">
        <f aca="false">-'2. The tape'!$C$16*(1+MIN(MAX('3. Assumptions'!$B$12,'3. Assumptions'!$B$11),'3. Assumptions'!$B$10))^INT((H44-1)/4)/4</f>
        <v>-2921061.18025765</v>
      </c>
      <c r="L44" s="33" t="n">
        <f aca="false">-'2. The tape'!$C$18*(1+MIN(MAX('3. Assumptions'!$B$12,'3. Assumptions'!$B$11),'3. Assumptions'!$B$10))^INT((H44-1)/4)/4</f>
        <v>-762498.53315595</v>
      </c>
    </row>
    <row r="45" customFormat="false" ht="15" hidden="false" customHeight="false" outlineLevel="0" collapsed="false">
      <c r="A45" s="20" t="s">
        <v>358</v>
      </c>
      <c r="C45" s="31" t="n">
        <f aca="false">'3. Assumptions'!$B$19/('2. The tape'!C17*(1+MIN(MAX('3. Assumptions'!$B$12,'3. Assumptions'!$B$11),'3. Assumptions'!$B$10))^9)</f>
        <v>1.32344807177899</v>
      </c>
      <c r="H45" s="20" t="n">
        <v>39</v>
      </c>
      <c r="I45" s="33" t="n">
        <f aca="false">'2. The tape'!$C$18*(1-'3. Assumptions'!$B$13)*(1+MIN(MAX('3. Assumptions'!$B$12,'3. Assumptions'!$B$11),'3. Assumptions'!$B$10))^INT((H45-1)/4)/4</f>
        <v>754873.54782439</v>
      </c>
      <c r="J45" s="33" t="n">
        <f aca="false">-'2. The tape'!$C$17*(1+MIN(MAX('3. Assumptions'!$B$12,'3. Assumptions'!$B$11),'3. Assumptions'!$B$10))^INT((H45-1)/4)/4</f>
        <v>-3683559.7134136</v>
      </c>
      <c r="K45" s="33" t="n">
        <f aca="false">-'2. The tape'!$C$16*(1+MIN(MAX('3. Assumptions'!$B$12,'3. Assumptions'!$B$11),'3. Assumptions'!$B$10))^INT((H45-1)/4)/4</f>
        <v>-2921061.18025765</v>
      </c>
      <c r="L45" s="33" t="n">
        <f aca="false">-'2. The tape'!$C$18*(1+MIN(MAX('3. Assumptions'!$B$12,'3. Assumptions'!$B$11),'3. Assumptions'!$B$10))^INT((H45-1)/4)/4</f>
        <v>-762498.53315595</v>
      </c>
    </row>
    <row r="46" customFormat="false" ht="15" hidden="false" customHeight="false" outlineLevel="0" collapsed="false">
      <c r="A46" s="20" t="s">
        <v>359</v>
      </c>
      <c r="C46" s="31" t="n">
        <f aca="false">'3. Assumptions'!$B$19/('2. The tape'!C17*(1+MIN(MAX('3. Assumptions'!$B$12,'3. Assumptions'!$B$11),'3. Assumptions'!$B$10))^('3. Assumptions'!$B$9-1))</f>
        <v>1.06462815565248</v>
      </c>
      <c r="H46" s="20" t="n">
        <v>40</v>
      </c>
      <c r="I46" s="33" t="n">
        <f aca="false">'2. The tape'!$C$18*(1-'3. Assumptions'!$B$13)*(1+MIN(MAX('3. Assumptions'!$B$12,'3. Assumptions'!$B$11),'3. Assumptions'!$B$10))^INT((H46-1)/4)/4</f>
        <v>754873.54782439</v>
      </c>
      <c r="J46" s="33" t="n">
        <f aca="false">-'2. The tape'!$C$17*(1+MIN(MAX('3. Assumptions'!$B$12,'3. Assumptions'!$B$11),'3. Assumptions'!$B$10))^INT((H46-1)/4)/4</f>
        <v>-3683559.7134136</v>
      </c>
      <c r="K46" s="33" t="n">
        <f aca="false">-'2. The tape'!$C$16*(1+MIN(MAX('3. Assumptions'!$B$12,'3. Assumptions'!$B$11),'3. Assumptions'!$B$10))^INT((H46-1)/4)/4</f>
        <v>-2921061.18025765</v>
      </c>
      <c r="L46" s="33" t="n">
        <f aca="false">-'2. The tape'!$C$18*(1+MIN(MAX('3. Assumptions'!$B$12,'3. Assumptions'!$B$11),'3. Assumptions'!$B$10))^INT((H46-1)/4)/4</f>
        <v>-762498.53315595</v>
      </c>
    </row>
    <row r="47" customFormat="false" ht="15" hidden="false" customHeight="false" outlineLevel="0" collapsed="false">
      <c r="H47" s="20" t="n">
        <v>41</v>
      </c>
      <c r="I47" s="33" t="n">
        <f aca="false">'2. The tape'!$C$18*(1-'3. Assumptions'!$B$13)*(1+MIN(MAX('3. Assumptions'!$B$12,'3. Assumptions'!$B$11),'3. Assumptions'!$B$10))^INT((H47-1)/4)/4</f>
        <v>771480.765876527</v>
      </c>
      <c r="J47" s="33" t="n">
        <f aca="false">-'2. The tape'!$C$17*(1+MIN(MAX('3. Assumptions'!$B$12,'3. Assumptions'!$B$11),'3. Assumptions'!$B$10))^INT((H47-1)/4)/4</f>
        <v>-3764598.0271087</v>
      </c>
      <c r="K47" s="33" t="n">
        <f aca="false">-'2. The tape'!$C$16*(1+MIN(MAX('3. Assumptions'!$B$12,'3. Assumptions'!$B$11),'3. Assumptions'!$B$10))^INT((H47-1)/4)/4</f>
        <v>-2985324.52622332</v>
      </c>
      <c r="L47" s="33" t="n">
        <f aca="false">-'2. The tape'!$C$18*(1+MIN(MAX('3. Assumptions'!$B$12,'3. Assumptions'!$B$11),'3. Assumptions'!$B$10))^INT((H47-1)/4)/4</f>
        <v>-779273.500885381</v>
      </c>
    </row>
    <row r="48" customFormat="false" ht="15" hidden="false" customHeight="false" outlineLevel="0" collapsed="false">
      <c r="H48" s="20" t="n">
        <v>42</v>
      </c>
      <c r="I48" s="33" t="n">
        <f aca="false">'2. The tape'!$C$18*(1-'3. Assumptions'!$B$13)*(1+MIN(MAX('3. Assumptions'!$B$12,'3. Assumptions'!$B$11),'3. Assumptions'!$B$10))^INT((H48-1)/4)/4</f>
        <v>771480.765876527</v>
      </c>
      <c r="J48" s="33" t="n">
        <f aca="false">-'2. The tape'!$C$17*(1+MIN(MAX('3. Assumptions'!$B$12,'3. Assumptions'!$B$11),'3. Assumptions'!$B$10))^INT((H48-1)/4)/4</f>
        <v>-3764598.0271087</v>
      </c>
      <c r="K48" s="33" t="n">
        <f aca="false">-'2. The tape'!$C$16*(1+MIN(MAX('3. Assumptions'!$B$12,'3. Assumptions'!$B$11),'3. Assumptions'!$B$10))^INT((H48-1)/4)/4</f>
        <v>-2985324.52622332</v>
      </c>
      <c r="L48" s="33" t="n">
        <f aca="false">-'2. The tape'!$C$18*(1+MIN(MAX('3. Assumptions'!$B$12,'3. Assumptions'!$B$11),'3. Assumptions'!$B$10))^INT((H48-1)/4)/4</f>
        <v>-779273.500885381</v>
      </c>
    </row>
    <row r="49" customFormat="false" ht="15" hidden="false" customHeight="false" outlineLevel="0" collapsed="false">
      <c r="H49" s="20" t="n">
        <v>43</v>
      </c>
      <c r="I49" s="33" t="n">
        <f aca="false">'2. The tape'!$C$18*(1-'3. Assumptions'!$B$13)*(1+MIN(MAX('3. Assumptions'!$B$12,'3. Assumptions'!$B$11),'3. Assumptions'!$B$10))^INT((H49-1)/4)/4</f>
        <v>771480.765876527</v>
      </c>
      <c r="J49" s="33" t="n">
        <f aca="false">-'2. The tape'!$C$17*(1+MIN(MAX('3. Assumptions'!$B$12,'3. Assumptions'!$B$11),'3. Assumptions'!$B$10))^INT((H49-1)/4)/4</f>
        <v>-3764598.0271087</v>
      </c>
      <c r="K49" s="33" t="n">
        <f aca="false">-'2. The tape'!$C$16*(1+MIN(MAX('3. Assumptions'!$B$12,'3. Assumptions'!$B$11),'3. Assumptions'!$B$10))^INT((H49-1)/4)/4</f>
        <v>-2985324.52622332</v>
      </c>
      <c r="L49" s="33" t="n">
        <f aca="false">-'2. The tape'!$C$18*(1+MIN(MAX('3. Assumptions'!$B$12,'3. Assumptions'!$B$11),'3. Assumptions'!$B$10))^INT((H49-1)/4)/4</f>
        <v>-779273.500885381</v>
      </c>
    </row>
    <row r="50" customFormat="false" ht="15" hidden="false" customHeight="false" outlineLevel="0" collapsed="false">
      <c r="H50" s="20" t="n">
        <v>44</v>
      </c>
      <c r="I50" s="33" t="n">
        <f aca="false">'2. The tape'!$C$18*(1-'3. Assumptions'!$B$13)*(1+MIN(MAX('3. Assumptions'!$B$12,'3. Assumptions'!$B$11),'3. Assumptions'!$B$10))^INT((H50-1)/4)/4</f>
        <v>771480.765876527</v>
      </c>
      <c r="J50" s="33" t="n">
        <f aca="false">-'2. The tape'!$C$17*(1+MIN(MAX('3. Assumptions'!$B$12,'3. Assumptions'!$B$11),'3. Assumptions'!$B$10))^INT((H50-1)/4)/4</f>
        <v>-3764598.0271087</v>
      </c>
      <c r="K50" s="33" t="n">
        <f aca="false">-'2. The tape'!$C$16*(1+MIN(MAX('3. Assumptions'!$B$12,'3. Assumptions'!$B$11),'3. Assumptions'!$B$10))^INT((H50-1)/4)/4</f>
        <v>-2985324.52622332</v>
      </c>
      <c r="L50" s="33" t="n">
        <f aca="false">-'2. The tape'!$C$18*(1+MIN(MAX('3. Assumptions'!$B$12,'3. Assumptions'!$B$11),'3. Assumptions'!$B$10))^INT((H50-1)/4)/4</f>
        <v>-779273.500885381</v>
      </c>
    </row>
    <row r="51" customFormat="false" ht="15" hidden="false" customHeight="false" outlineLevel="0" collapsed="false">
      <c r="H51" s="20" t="n">
        <v>45</v>
      </c>
      <c r="I51" s="33" t="n">
        <f aca="false">'2. The tape'!$C$18*(1-'3. Assumptions'!$B$13)*(1+MIN(MAX('3. Assumptions'!$B$12,'3. Assumptions'!$B$11),'3. Assumptions'!$B$10))^INT((H51-1)/4)/4</f>
        <v>788453.342725811</v>
      </c>
      <c r="J51" s="33" t="n">
        <f aca="false">-'2. The tape'!$C$17*(1+MIN(MAX('3. Assumptions'!$B$12,'3. Assumptions'!$B$11),'3. Assumptions'!$B$10))^INT((H51-1)/4)/4</f>
        <v>-3847419.18370509</v>
      </c>
      <c r="K51" s="33" t="n">
        <f aca="false">-'2. The tape'!$C$16*(1+MIN(MAX('3. Assumptions'!$B$12,'3. Assumptions'!$B$11),'3. Assumptions'!$B$10))^INT((H51-1)/4)/4</f>
        <v>-3051001.66580023</v>
      </c>
      <c r="L51" s="33" t="n">
        <f aca="false">-'2. The tape'!$C$18*(1+MIN(MAX('3. Assumptions'!$B$12,'3. Assumptions'!$B$11),'3. Assumptions'!$B$10))^INT((H51-1)/4)/4</f>
        <v>-796417.517904859</v>
      </c>
    </row>
    <row r="52" customFormat="false" ht="15" hidden="false" customHeight="false" outlineLevel="0" collapsed="false">
      <c r="H52" s="20" t="n">
        <v>46</v>
      </c>
      <c r="I52" s="33" t="n">
        <f aca="false">'2. The tape'!$C$18*(1-'3. Assumptions'!$B$13)*(1+MIN(MAX('3. Assumptions'!$B$12,'3. Assumptions'!$B$11),'3. Assumptions'!$B$10))^INT((H52-1)/4)/4</f>
        <v>788453.342725811</v>
      </c>
      <c r="J52" s="33" t="n">
        <f aca="false">-'2. The tape'!$C$17*(1+MIN(MAX('3. Assumptions'!$B$12,'3. Assumptions'!$B$11),'3. Assumptions'!$B$10))^INT((H52-1)/4)/4</f>
        <v>-3847419.18370509</v>
      </c>
      <c r="K52" s="33" t="n">
        <f aca="false">-'2. The tape'!$C$16*(1+MIN(MAX('3. Assumptions'!$B$12,'3. Assumptions'!$B$11),'3. Assumptions'!$B$10))^INT((H52-1)/4)/4</f>
        <v>-3051001.66580023</v>
      </c>
      <c r="L52" s="33" t="n">
        <f aca="false">-'2. The tape'!$C$18*(1+MIN(MAX('3. Assumptions'!$B$12,'3. Assumptions'!$B$11),'3. Assumptions'!$B$10))^INT((H52-1)/4)/4</f>
        <v>-796417.517904859</v>
      </c>
    </row>
    <row r="53" customFormat="false" ht="15" hidden="false" customHeight="false" outlineLevel="0" collapsed="false">
      <c r="H53" s="20" t="n">
        <v>47</v>
      </c>
      <c r="I53" s="33" t="n">
        <f aca="false">'2. The tape'!$C$18*(1-'3. Assumptions'!$B$13)*(1+MIN(MAX('3. Assumptions'!$B$12,'3. Assumptions'!$B$11),'3. Assumptions'!$B$10))^INT((H53-1)/4)/4</f>
        <v>788453.342725811</v>
      </c>
      <c r="J53" s="33" t="n">
        <f aca="false">-'2. The tape'!$C$17*(1+MIN(MAX('3. Assumptions'!$B$12,'3. Assumptions'!$B$11),'3. Assumptions'!$B$10))^INT((H53-1)/4)/4</f>
        <v>-3847419.18370509</v>
      </c>
      <c r="K53" s="33" t="n">
        <f aca="false">-'2. The tape'!$C$16*(1+MIN(MAX('3. Assumptions'!$B$12,'3. Assumptions'!$B$11),'3. Assumptions'!$B$10))^INT((H53-1)/4)/4</f>
        <v>-3051001.66580023</v>
      </c>
      <c r="L53" s="33" t="n">
        <f aca="false">-'2. The tape'!$C$18*(1+MIN(MAX('3. Assumptions'!$B$12,'3. Assumptions'!$B$11),'3. Assumptions'!$B$10))^INT((H53-1)/4)/4</f>
        <v>-796417.517904859</v>
      </c>
    </row>
    <row r="54" customFormat="false" ht="15" hidden="false" customHeight="false" outlineLevel="0" collapsed="false">
      <c r="H54" s="20" t="n">
        <v>48</v>
      </c>
      <c r="I54" s="33" t="n">
        <f aca="false">'2. The tape'!$C$18*(1-'3. Assumptions'!$B$13)*(1+MIN(MAX('3. Assumptions'!$B$12,'3. Assumptions'!$B$11),'3. Assumptions'!$B$10))^INT((H54-1)/4)/4</f>
        <v>788453.342725811</v>
      </c>
      <c r="J54" s="33" t="n">
        <f aca="false">-'2. The tape'!$C$17*(1+MIN(MAX('3. Assumptions'!$B$12,'3. Assumptions'!$B$11),'3. Assumptions'!$B$10))^INT((H54-1)/4)/4</f>
        <v>-3847419.18370509</v>
      </c>
      <c r="K54" s="33" t="n">
        <f aca="false">-'2. The tape'!$C$16*(1+MIN(MAX('3. Assumptions'!$B$12,'3. Assumptions'!$B$11),'3. Assumptions'!$B$10))^INT((H54-1)/4)/4</f>
        <v>-3051001.66580023</v>
      </c>
      <c r="L54" s="33" t="n">
        <f aca="false">-'2. The tape'!$C$18*(1+MIN(MAX('3. Assumptions'!$B$12,'3. Assumptions'!$B$11),'3. Assumptions'!$B$10))^INT((H54-1)/4)/4</f>
        <v>-796417.517904859</v>
      </c>
    </row>
    <row r="55" customFormat="false" ht="15" hidden="false" customHeight="false" outlineLevel="0" collapsed="false">
      <c r="H55" s="20" t="n">
        <v>49</v>
      </c>
      <c r="I55" s="33" t="n">
        <f aca="false">'2. The tape'!$C$18*(1-'3. Assumptions'!$B$13)*(1+MIN(MAX('3. Assumptions'!$B$12,'3. Assumptions'!$B$11),'3. Assumptions'!$B$10))^INT((H55-1)/4)/4</f>
        <v>805799.316265778</v>
      </c>
      <c r="J55" s="33" t="n">
        <f aca="false">-'2. The tape'!$C$17*(1+MIN(MAX('3. Assumptions'!$B$12,'3. Assumptions'!$B$11),'3. Assumptions'!$B$10))^INT((H55-1)/4)/4</f>
        <v>-3932062.4057466</v>
      </c>
      <c r="K55" s="33" t="n">
        <f aca="false">-'2. The tape'!$C$16*(1+MIN(MAX('3. Assumptions'!$B$12,'3. Assumptions'!$B$11),'3. Assumptions'!$B$10))^INT((H55-1)/4)/4</f>
        <v>-3118123.70244784</v>
      </c>
      <c r="L55" s="33" t="n">
        <f aca="false">-'2. The tape'!$C$18*(1+MIN(MAX('3. Assumptions'!$B$12,'3. Assumptions'!$B$11),'3. Assumptions'!$B$10))^INT((H55-1)/4)/4</f>
        <v>-813938.703298766</v>
      </c>
    </row>
    <row r="56" customFormat="false" ht="15" hidden="false" customHeight="false" outlineLevel="0" collapsed="false">
      <c r="H56" s="20" t="n">
        <v>50</v>
      </c>
      <c r="I56" s="33" t="n">
        <f aca="false">'2. The tape'!$C$18*(1-'3. Assumptions'!$B$13)*(1+MIN(MAX('3. Assumptions'!$B$12,'3. Assumptions'!$B$11),'3. Assumptions'!$B$10))^INT((H56-1)/4)/4</f>
        <v>805799.316265778</v>
      </c>
      <c r="J56" s="33" t="n">
        <f aca="false">-'2. The tape'!$C$17*(1+MIN(MAX('3. Assumptions'!$B$12,'3. Assumptions'!$B$11),'3. Assumptions'!$B$10))^INT((H56-1)/4)/4</f>
        <v>-3932062.4057466</v>
      </c>
      <c r="K56" s="33" t="n">
        <f aca="false">-'2. The tape'!$C$16*(1+MIN(MAX('3. Assumptions'!$B$12,'3. Assumptions'!$B$11),'3. Assumptions'!$B$10))^INT((H56-1)/4)/4</f>
        <v>-3118123.70244784</v>
      </c>
      <c r="L56" s="33" t="n">
        <f aca="false">-'2. The tape'!$C$18*(1+MIN(MAX('3. Assumptions'!$B$12,'3. Assumptions'!$B$11),'3. Assumptions'!$B$10))^INT((H56-1)/4)/4</f>
        <v>-813938.703298766</v>
      </c>
    </row>
    <row r="57" customFormat="false" ht="15" hidden="false" customHeight="false" outlineLevel="0" collapsed="false">
      <c r="H57" s="20" t="n">
        <v>51</v>
      </c>
      <c r="I57" s="33" t="n">
        <f aca="false">'2. The tape'!$C$18*(1-'3. Assumptions'!$B$13)*(1+MIN(MAX('3. Assumptions'!$B$12,'3. Assumptions'!$B$11),'3. Assumptions'!$B$10))^INT((H57-1)/4)/4</f>
        <v>805799.316265778</v>
      </c>
      <c r="J57" s="33" t="n">
        <f aca="false">-'2. The tape'!$C$17*(1+MIN(MAX('3. Assumptions'!$B$12,'3. Assumptions'!$B$11),'3. Assumptions'!$B$10))^INT((H57-1)/4)/4</f>
        <v>-3932062.4057466</v>
      </c>
      <c r="K57" s="33" t="n">
        <f aca="false">-'2. The tape'!$C$16*(1+MIN(MAX('3. Assumptions'!$B$12,'3. Assumptions'!$B$11),'3. Assumptions'!$B$10))^INT((H57-1)/4)/4</f>
        <v>-3118123.70244784</v>
      </c>
      <c r="L57" s="33" t="n">
        <f aca="false">-'2. The tape'!$C$18*(1+MIN(MAX('3. Assumptions'!$B$12,'3. Assumptions'!$B$11),'3. Assumptions'!$B$10))^INT((H57-1)/4)/4</f>
        <v>-813938.703298766</v>
      </c>
    </row>
    <row r="58" customFormat="false" ht="15" hidden="false" customHeight="false" outlineLevel="0" collapsed="false">
      <c r="H58" s="20" t="n">
        <v>52</v>
      </c>
      <c r="I58" s="33" t="n">
        <f aca="false">'2. The tape'!$C$18*(1-'3. Assumptions'!$B$13)*(1+MIN(MAX('3. Assumptions'!$B$12,'3. Assumptions'!$B$11),'3. Assumptions'!$B$10))^INT((H58-1)/4)/4</f>
        <v>805799.316265778</v>
      </c>
      <c r="J58" s="33" t="n">
        <f aca="false">-'2. The tape'!$C$17*(1+MIN(MAX('3. Assumptions'!$B$12,'3. Assumptions'!$B$11),'3. Assumptions'!$B$10))^INT((H58-1)/4)/4</f>
        <v>-3932062.4057466</v>
      </c>
      <c r="K58" s="33" t="n">
        <f aca="false">-'2. The tape'!$C$16*(1+MIN(MAX('3. Assumptions'!$B$12,'3. Assumptions'!$B$11),'3. Assumptions'!$B$10))^INT((H58-1)/4)/4</f>
        <v>-3118123.70244784</v>
      </c>
      <c r="L58" s="33" t="n">
        <f aca="false">-'2. The tape'!$C$18*(1+MIN(MAX('3. Assumptions'!$B$12,'3. Assumptions'!$B$11),'3. Assumptions'!$B$10))^INT((H58-1)/4)/4</f>
        <v>-813938.703298766</v>
      </c>
    </row>
    <row r="59" customFormat="false" ht="15" hidden="false" customHeight="false" outlineLevel="0" collapsed="false">
      <c r="H59" s="20" t="n">
        <v>53</v>
      </c>
      <c r="I59" s="33" t="n">
        <f aca="false">'2. The tape'!$C$18*(1-'3. Assumptions'!$B$13)*(1+MIN(MAX('3. Assumptions'!$B$12,'3. Assumptions'!$B$11),'3. Assumptions'!$B$10))^INT((H59-1)/4)/4</f>
        <v>823526.901223625</v>
      </c>
      <c r="J59" s="33" t="n">
        <f aca="false">-'2. The tape'!$C$17*(1+MIN(MAX('3. Assumptions'!$B$12,'3. Assumptions'!$B$11),'3. Assumptions'!$B$10))^INT((H59-1)/4)/4</f>
        <v>-4018567.77867303</v>
      </c>
      <c r="K59" s="33" t="n">
        <f aca="false">-'2. The tape'!$C$16*(1+MIN(MAX('3. Assumptions'!$B$12,'3. Assumptions'!$B$11),'3. Assumptions'!$B$10))^INT((H59-1)/4)/4</f>
        <v>-3186722.42390169</v>
      </c>
      <c r="L59" s="33" t="n">
        <f aca="false">-'2. The tape'!$C$18*(1+MIN(MAX('3. Assumptions'!$B$12,'3. Assumptions'!$B$11),'3. Assumptions'!$B$10))^INT((H59-1)/4)/4</f>
        <v>-831845.354771339</v>
      </c>
    </row>
    <row r="60" customFormat="false" ht="15" hidden="false" customHeight="false" outlineLevel="0" collapsed="false">
      <c r="H60" s="20" t="n">
        <v>54</v>
      </c>
      <c r="I60" s="33" t="n">
        <f aca="false">'2. The tape'!$C$18*(1-'3. Assumptions'!$B$13)*(1+MIN(MAX('3. Assumptions'!$B$12,'3. Assumptions'!$B$11),'3. Assumptions'!$B$10))^INT((H60-1)/4)/4</f>
        <v>823526.901223625</v>
      </c>
      <c r="J60" s="33" t="n">
        <f aca="false">-'2. The tape'!$C$17*(1+MIN(MAX('3. Assumptions'!$B$12,'3. Assumptions'!$B$11),'3. Assumptions'!$B$10))^INT((H60-1)/4)/4</f>
        <v>-4018567.77867303</v>
      </c>
      <c r="K60" s="33" t="n">
        <f aca="false">-'2. The tape'!$C$16*(1+MIN(MAX('3. Assumptions'!$B$12,'3. Assumptions'!$B$11),'3. Assumptions'!$B$10))^INT((H60-1)/4)/4</f>
        <v>-3186722.42390169</v>
      </c>
      <c r="L60" s="33" t="n">
        <f aca="false">-'2. The tape'!$C$18*(1+MIN(MAX('3. Assumptions'!$B$12,'3. Assumptions'!$B$11),'3. Assumptions'!$B$10))^INT((H60-1)/4)/4</f>
        <v>-831845.354771339</v>
      </c>
    </row>
    <row r="61" customFormat="false" ht="15" hidden="false" customHeight="false" outlineLevel="0" collapsed="false">
      <c r="H61" s="20" t="n">
        <v>55</v>
      </c>
      <c r="I61" s="33" t="n">
        <f aca="false">'2. The tape'!$C$18*(1-'3. Assumptions'!$B$13)*(1+MIN(MAX('3. Assumptions'!$B$12,'3. Assumptions'!$B$11),'3. Assumptions'!$B$10))^INT((H61-1)/4)/4</f>
        <v>823526.901223625</v>
      </c>
      <c r="J61" s="33" t="n">
        <f aca="false">-'2. The tape'!$C$17*(1+MIN(MAX('3. Assumptions'!$B$12,'3. Assumptions'!$B$11),'3. Assumptions'!$B$10))^INT((H61-1)/4)/4</f>
        <v>-4018567.77867303</v>
      </c>
      <c r="K61" s="33" t="n">
        <f aca="false">-'2. The tape'!$C$16*(1+MIN(MAX('3. Assumptions'!$B$12,'3. Assumptions'!$B$11),'3. Assumptions'!$B$10))^INT((H61-1)/4)/4</f>
        <v>-3186722.42390169</v>
      </c>
      <c r="L61" s="33" t="n">
        <f aca="false">-'2. The tape'!$C$18*(1+MIN(MAX('3. Assumptions'!$B$12,'3. Assumptions'!$B$11),'3. Assumptions'!$B$10))^INT((H61-1)/4)/4</f>
        <v>-831845.354771339</v>
      </c>
    </row>
    <row r="62" customFormat="false" ht="15" hidden="false" customHeight="false" outlineLevel="0" collapsed="false">
      <c r="H62" s="20" t="n">
        <v>56</v>
      </c>
      <c r="I62" s="33" t="n">
        <f aca="false">'2. The tape'!$C$18*(1-'3. Assumptions'!$B$13)*(1+MIN(MAX('3. Assumptions'!$B$12,'3. Assumptions'!$B$11),'3. Assumptions'!$B$10))^INT((H62-1)/4)/4</f>
        <v>823526.901223625</v>
      </c>
      <c r="J62" s="33" t="n">
        <f aca="false">-'2. The tape'!$C$17*(1+MIN(MAX('3. Assumptions'!$B$12,'3. Assumptions'!$B$11),'3. Assumptions'!$B$10))^INT((H62-1)/4)/4</f>
        <v>-4018567.77867303</v>
      </c>
      <c r="K62" s="33" t="n">
        <f aca="false">-'2. The tape'!$C$16*(1+MIN(MAX('3. Assumptions'!$B$12,'3. Assumptions'!$B$11),'3. Assumptions'!$B$10))^INT((H62-1)/4)/4</f>
        <v>-3186722.42390169</v>
      </c>
      <c r="L62" s="33" t="n">
        <f aca="false">-'2. The tape'!$C$18*(1+MIN(MAX('3. Assumptions'!$B$12,'3. Assumptions'!$B$11),'3. Assumptions'!$B$10))^INT((H62-1)/4)/4</f>
        <v>-831845.354771339</v>
      </c>
    </row>
    <row r="63" customFormat="false" ht="15" hidden="false" customHeight="false" outlineLevel="0" collapsed="false">
      <c r="H63" s="20" t="n">
        <v>57</v>
      </c>
      <c r="I63" s="33" t="n">
        <f aca="false">'2. The tape'!$C$18*(1-'3. Assumptions'!$B$13)*(1+MIN(MAX('3. Assumptions'!$B$12,'3. Assumptions'!$B$11),'3. Assumptions'!$B$10))^INT((H63-1)/4)/4</f>
        <v>841644.493050545</v>
      </c>
      <c r="J63" s="33" t="n">
        <f aca="false">-'2. The tape'!$C$17*(1+MIN(MAX('3. Assumptions'!$B$12,'3. Assumptions'!$B$11),'3. Assumptions'!$B$10))^INT((H63-1)/4)/4</f>
        <v>-4106976.26980383</v>
      </c>
      <c r="K63" s="33" t="n">
        <f aca="false">-'2. The tape'!$C$16*(1+MIN(MAX('3. Assumptions'!$B$12,'3. Assumptions'!$B$11),'3. Assumptions'!$B$10))^INT((H63-1)/4)/4</f>
        <v>-3256830.31722752</v>
      </c>
      <c r="L63" s="33" t="n">
        <f aca="false">-'2. The tape'!$C$18*(1+MIN(MAX('3. Assumptions'!$B$12,'3. Assumptions'!$B$11),'3. Assumptions'!$B$10))^INT((H63-1)/4)/4</f>
        <v>-850145.952576308</v>
      </c>
    </row>
    <row r="64" customFormat="false" ht="15" hidden="false" customHeight="false" outlineLevel="0" collapsed="false">
      <c r="H64" s="20" t="n">
        <v>58</v>
      </c>
      <c r="I64" s="33" t="n">
        <f aca="false">'2. The tape'!$C$18*(1-'3. Assumptions'!$B$13)*(1+MIN(MAX('3. Assumptions'!$B$12,'3. Assumptions'!$B$11),'3. Assumptions'!$B$10))^INT((H64-1)/4)/4</f>
        <v>841644.493050545</v>
      </c>
      <c r="J64" s="33" t="n">
        <f aca="false">-'2. The tape'!$C$17*(1+MIN(MAX('3. Assumptions'!$B$12,'3. Assumptions'!$B$11),'3. Assumptions'!$B$10))^INT((H64-1)/4)/4</f>
        <v>-4106976.26980383</v>
      </c>
      <c r="K64" s="33" t="n">
        <f aca="false">-'2. The tape'!$C$16*(1+MIN(MAX('3. Assumptions'!$B$12,'3. Assumptions'!$B$11),'3. Assumptions'!$B$10))^INT((H64-1)/4)/4</f>
        <v>-3256830.31722752</v>
      </c>
      <c r="L64" s="33" t="n">
        <f aca="false">-'2. The tape'!$C$18*(1+MIN(MAX('3. Assumptions'!$B$12,'3. Assumptions'!$B$11),'3. Assumptions'!$B$10))^INT((H64-1)/4)/4</f>
        <v>-850145.952576308</v>
      </c>
    </row>
    <row r="65" customFormat="false" ht="15" hidden="false" customHeight="false" outlineLevel="0" collapsed="false">
      <c r="H65" s="20" t="n">
        <v>59</v>
      </c>
      <c r="I65" s="33" t="n">
        <f aca="false">'2. The tape'!$C$18*(1-'3. Assumptions'!$B$13)*(1+MIN(MAX('3. Assumptions'!$B$12,'3. Assumptions'!$B$11),'3. Assumptions'!$B$10))^INT((H65-1)/4)/4</f>
        <v>841644.493050545</v>
      </c>
      <c r="J65" s="33" t="n">
        <f aca="false">-'2. The tape'!$C$17*(1+MIN(MAX('3. Assumptions'!$B$12,'3. Assumptions'!$B$11),'3. Assumptions'!$B$10))^INT((H65-1)/4)/4</f>
        <v>-4106976.26980383</v>
      </c>
      <c r="K65" s="33" t="n">
        <f aca="false">-'2. The tape'!$C$16*(1+MIN(MAX('3. Assumptions'!$B$12,'3. Assumptions'!$B$11),'3. Assumptions'!$B$10))^INT((H65-1)/4)/4</f>
        <v>-3256830.31722752</v>
      </c>
      <c r="L65" s="33" t="n">
        <f aca="false">-'2. The tape'!$C$18*(1+MIN(MAX('3. Assumptions'!$B$12,'3. Assumptions'!$B$11),'3. Assumptions'!$B$10))^INT((H65-1)/4)/4</f>
        <v>-850145.952576308</v>
      </c>
    </row>
    <row r="66" customFormat="false" ht="15" hidden="false" customHeight="false" outlineLevel="0" collapsed="false">
      <c r="H66" s="20" t="n">
        <v>60</v>
      </c>
      <c r="I66" s="33" t="n">
        <f aca="false">'2. The tape'!$C$18*(1-'3. Assumptions'!$B$13)*(1+MIN(MAX('3. Assumptions'!$B$12,'3. Assumptions'!$B$11),'3. Assumptions'!$B$10))^INT((H66-1)/4)/4</f>
        <v>841644.493050545</v>
      </c>
      <c r="J66" s="33" t="n">
        <f aca="false">-'2. The tape'!$C$17*(1+MIN(MAX('3. Assumptions'!$B$12,'3. Assumptions'!$B$11),'3. Assumptions'!$B$10))^INT((H66-1)/4)/4</f>
        <v>-4106976.26980383</v>
      </c>
      <c r="K66" s="33" t="n">
        <f aca="false">-'2. The tape'!$C$16*(1+MIN(MAX('3. Assumptions'!$B$12,'3. Assumptions'!$B$11),'3. Assumptions'!$B$10))^INT((H66-1)/4)/4</f>
        <v>-3256830.31722752</v>
      </c>
      <c r="L66" s="33" t="n">
        <f aca="false">-'2. The tape'!$C$18*(1+MIN(MAX('3. Assumptions'!$B$12,'3. Assumptions'!$B$11),'3. Assumptions'!$B$10))^INT((H66-1)/4)/4</f>
        <v>-850145.952576308</v>
      </c>
    </row>
    <row r="67" customFormat="false" ht="15" hidden="false" customHeight="false" outlineLevel="0" collapsed="false">
      <c r="H67" s="20" t="n">
        <v>61</v>
      </c>
      <c r="I67" s="33" t="n">
        <f aca="false">'2. The tape'!$C$18*(1-'3. Assumptions'!$B$13)*(1+MIN(MAX('3. Assumptions'!$B$12,'3. Assumptions'!$B$11),'3. Assumptions'!$B$10))^INT((H67-1)/4)/4</f>
        <v>860160.671897657</v>
      </c>
      <c r="J67" s="33" t="n">
        <f aca="false">-'2. The tape'!$C$17*(1+MIN(MAX('3. Assumptions'!$B$12,'3. Assumptions'!$B$11),'3. Assumptions'!$B$10))^INT((H67-1)/4)/4</f>
        <v>-4197329.74773952</v>
      </c>
      <c r="K67" s="33" t="n">
        <f aca="false">-'2. The tape'!$C$16*(1+MIN(MAX('3. Assumptions'!$B$12,'3. Assumptions'!$B$11),'3. Assumptions'!$B$10))^INT((H67-1)/4)/4</f>
        <v>-3328480.58420653</v>
      </c>
      <c r="L67" s="33" t="n">
        <f aca="false">-'2. The tape'!$C$18*(1+MIN(MAX('3. Assumptions'!$B$12,'3. Assumptions'!$B$11),'3. Assumptions'!$B$10))^INT((H67-1)/4)/4</f>
        <v>-868849.163532987</v>
      </c>
    </row>
    <row r="68" customFormat="false" ht="15" hidden="false" customHeight="false" outlineLevel="0" collapsed="false">
      <c r="H68" s="20" t="n">
        <v>62</v>
      </c>
      <c r="I68" s="33" t="n">
        <f aca="false">'2. The tape'!$C$18*(1-'3. Assumptions'!$B$13)*(1+MIN(MAX('3. Assumptions'!$B$12,'3. Assumptions'!$B$11),'3. Assumptions'!$B$10))^INT((H68-1)/4)/4</f>
        <v>860160.671897657</v>
      </c>
      <c r="J68" s="33" t="n">
        <f aca="false">-'2. The tape'!$C$17*(1+MIN(MAX('3. Assumptions'!$B$12,'3. Assumptions'!$B$11),'3. Assumptions'!$B$10))^INT((H68-1)/4)/4</f>
        <v>-4197329.74773952</v>
      </c>
      <c r="K68" s="33" t="n">
        <f aca="false">-'2. The tape'!$C$16*(1+MIN(MAX('3. Assumptions'!$B$12,'3. Assumptions'!$B$11),'3. Assumptions'!$B$10))^INT((H68-1)/4)/4</f>
        <v>-3328480.58420653</v>
      </c>
      <c r="L68" s="33" t="n">
        <f aca="false">-'2. The tape'!$C$18*(1+MIN(MAX('3. Assumptions'!$B$12,'3. Assumptions'!$B$11),'3. Assumptions'!$B$10))^INT((H68-1)/4)/4</f>
        <v>-868849.163532987</v>
      </c>
    </row>
    <row r="69" customFormat="false" ht="15" hidden="false" customHeight="false" outlineLevel="0" collapsed="false">
      <c r="H69" s="20" t="n">
        <v>63</v>
      </c>
      <c r="I69" s="33" t="n">
        <f aca="false">'2. The tape'!$C$18*(1-'3. Assumptions'!$B$13)*(1+MIN(MAX('3. Assumptions'!$B$12,'3. Assumptions'!$B$11),'3. Assumptions'!$B$10))^INT((H69-1)/4)/4</f>
        <v>860160.671897657</v>
      </c>
      <c r="J69" s="33" t="n">
        <f aca="false">-'2. The tape'!$C$17*(1+MIN(MAX('3. Assumptions'!$B$12,'3. Assumptions'!$B$11),'3. Assumptions'!$B$10))^INT((H69-1)/4)/4</f>
        <v>-4197329.74773952</v>
      </c>
      <c r="K69" s="33" t="n">
        <f aca="false">-'2. The tape'!$C$16*(1+MIN(MAX('3. Assumptions'!$B$12,'3. Assumptions'!$B$11),'3. Assumptions'!$B$10))^INT((H69-1)/4)/4</f>
        <v>-3328480.58420653</v>
      </c>
      <c r="L69" s="33" t="n">
        <f aca="false">-'2. The tape'!$C$18*(1+MIN(MAX('3. Assumptions'!$B$12,'3. Assumptions'!$B$11),'3. Assumptions'!$B$10))^INT((H69-1)/4)/4</f>
        <v>-868849.163532987</v>
      </c>
    </row>
    <row r="70" customFormat="false" ht="15" hidden="false" customHeight="false" outlineLevel="0" collapsed="false">
      <c r="H70" s="20" t="n">
        <v>64</v>
      </c>
      <c r="I70" s="33" t="n">
        <f aca="false">'2. The tape'!$C$18*(1-'3. Assumptions'!$B$13)*(1+MIN(MAX('3. Assumptions'!$B$12,'3. Assumptions'!$B$11),'3. Assumptions'!$B$10))^INT((H70-1)/4)/4</f>
        <v>860160.671897657</v>
      </c>
      <c r="J70" s="33" t="n">
        <f aca="false">-'2. The tape'!$C$17*(1+MIN(MAX('3. Assumptions'!$B$12,'3. Assumptions'!$B$11),'3. Assumptions'!$B$10))^INT((H70-1)/4)/4</f>
        <v>-4197329.74773952</v>
      </c>
      <c r="K70" s="33" t="n">
        <f aca="false">-'2. The tape'!$C$16*(1+MIN(MAX('3. Assumptions'!$B$12,'3. Assumptions'!$B$11),'3. Assumptions'!$B$10))^INT((H70-1)/4)/4</f>
        <v>-3328480.58420653</v>
      </c>
      <c r="L70" s="33" t="n">
        <f aca="false">-'2. The tape'!$C$18*(1+MIN(MAX('3. Assumptions'!$B$12,'3. Assumptions'!$B$11),'3. Assumptions'!$B$10))^INT((H70-1)/4)/4</f>
        <v>-868849.163532987</v>
      </c>
    </row>
    <row r="71" customFormat="false" ht="15" hidden="false" customHeight="false" outlineLevel="0" collapsed="false">
      <c r="H71" s="20" t="n">
        <v>65</v>
      </c>
      <c r="I71" s="33" t="n">
        <f aca="false">'2. The tape'!$C$18*(1-'3. Assumptions'!$B$13)*(1+MIN(MAX('3. Assumptions'!$B$12,'3. Assumptions'!$B$11),'3. Assumptions'!$B$10))^INT((H71-1)/4)/4</f>
        <v>879084.206679406</v>
      </c>
      <c r="J71" s="33" t="n">
        <f aca="false">-'2. The tape'!$C$17*(1+MIN(MAX('3. Assumptions'!$B$12,'3. Assumptions'!$B$11),'3. Assumptions'!$B$10))^INT((H71-1)/4)/4</f>
        <v>-4289671.00218979</v>
      </c>
      <c r="K71" s="33" t="n">
        <f aca="false">-'2. The tape'!$C$16*(1+MIN(MAX('3. Assumptions'!$B$12,'3. Assumptions'!$B$11),'3. Assumptions'!$B$10))^INT((H71-1)/4)/4</f>
        <v>-3401707.15705907</v>
      </c>
      <c r="L71" s="33" t="n">
        <f aca="false">-'2. The tape'!$C$18*(1+MIN(MAX('3. Assumptions'!$B$12,'3. Assumptions'!$B$11),'3. Assumptions'!$B$10))^INT((H71-1)/4)/4</f>
        <v>-887963.845130713</v>
      </c>
    </row>
    <row r="72" customFormat="false" ht="15" hidden="false" customHeight="false" outlineLevel="0" collapsed="false">
      <c r="H72" s="20" t="n">
        <v>66</v>
      </c>
      <c r="I72" s="33" t="n">
        <f aca="false">'2. The tape'!$C$18*(1-'3. Assumptions'!$B$13)*(1+MIN(MAX('3. Assumptions'!$B$12,'3. Assumptions'!$B$11),'3. Assumptions'!$B$10))^INT((H72-1)/4)/4</f>
        <v>879084.206679406</v>
      </c>
      <c r="J72" s="33" t="n">
        <f aca="false">-'2. The tape'!$C$17*(1+MIN(MAX('3. Assumptions'!$B$12,'3. Assumptions'!$B$11),'3. Assumptions'!$B$10))^INT((H72-1)/4)/4</f>
        <v>-4289671.00218979</v>
      </c>
      <c r="K72" s="33" t="n">
        <f aca="false">-'2. The tape'!$C$16*(1+MIN(MAX('3. Assumptions'!$B$12,'3. Assumptions'!$B$11),'3. Assumptions'!$B$10))^INT((H72-1)/4)/4</f>
        <v>-3401707.15705907</v>
      </c>
      <c r="L72" s="33" t="n">
        <f aca="false">-'2. The tape'!$C$18*(1+MIN(MAX('3. Assumptions'!$B$12,'3. Assumptions'!$B$11),'3. Assumptions'!$B$10))^INT((H72-1)/4)/4</f>
        <v>-887963.845130713</v>
      </c>
    </row>
    <row r="73" customFormat="false" ht="15" hidden="false" customHeight="false" outlineLevel="0" collapsed="false">
      <c r="H73" s="20" t="n">
        <v>67</v>
      </c>
      <c r="I73" s="33" t="n">
        <f aca="false">'2. The tape'!$C$18*(1-'3. Assumptions'!$B$13)*(1+MIN(MAX('3. Assumptions'!$B$12,'3. Assumptions'!$B$11),'3. Assumptions'!$B$10))^INT((H73-1)/4)/4</f>
        <v>879084.206679406</v>
      </c>
      <c r="J73" s="33" t="n">
        <f aca="false">-'2. The tape'!$C$17*(1+MIN(MAX('3. Assumptions'!$B$12,'3. Assumptions'!$B$11),'3. Assumptions'!$B$10))^INT((H73-1)/4)/4</f>
        <v>-4289671.00218979</v>
      </c>
      <c r="K73" s="33" t="n">
        <f aca="false">-'2. The tape'!$C$16*(1+MIN(MAX('3. Assumptions'!$B$12,'3. Assumptions'!$B$11),'3. Assumptions'!$B$10))^INT((H73-1)/4)/4</f>
        <v>-3401707.15705907</v>
      </c>
      <c r="L73" s="33" t="n">
        <f aca="false">-'2. The tape'!$C$18*(1+MIN(MAX('3. Assumptions'!$B$12,'3. Assumptions'!$B$11),'3. Assumptions'!$B$10))^INT((H73-1)/4)/4</f>
        <v>-887963.845130713</v>
      </c>
    </row>
    <row r="74" customFormat="false" ht="15" hidden="false" customHeight="false" outlineLevel="0" collapsed="false">
      <c r="H74" s="20" t="n">
        <v>68</v>
      </c>
      <c r="I74" s="33" t="n">
        <f aca="false">'2. The tape'!$C$18*(1-'3. Assumptions'!$B$13)*(1+MIN(MAX('3. Assumptions'!$B$12,'3. Assumptions'!$B$11),'3. Assumptions'!$B$10))^INT((H74-1)/4)/4</f>
        <v>879084.206679406</v>
      </c>
      <c r="J74" s="33" t="n">
        <f aca="false">-'2. The tape'!$C$17*(1+MIN(MAX('3. Assumptions'!$B$12,'3. Assumptions'!$B$11),'3. Assumptions'!$B$10))^INT((H74-1)/4)/4</f>
        <v>-4289671.00218979</v>
      </c>
      <c r="K74" s="33" t="n">
        <f aca="false">-'2. The tape'!$C$16*(1+MIN(MAX('3. Assumptions'!$B$12,'3. Assumptions'!$B$11),'3. Assumptions'!$B$10))^INT((H74-1)/4)/4</f>
        <v>-3401707.15705907</v>
      </c>
      <c r="L74" s="33" t="n">
        <f aca="false">-'2. The tape'!$C$18*(1+MIN(MAX('3. Assumptions'!$B$12,'3. Assumptions'!$B$11),'3. Assumptions'!$B$10))^INT((H74-1)/4)/4</f>
        <v>-887963.845130713</v>
      </c>
    </row>
    <row r="75" customFormat="false" ht="15" hidden="false" customHeight="false" outlineLevel="0" collapsed="false">
      <c r="H75" s="20" t="n">
        <v>69</v>
      </c>
      <c r="I75" s="33" t="n">
        <f aca="false">'2. The tape'!$C$18*(1-'3. Assumptions'!$B$13)*(1+MIN(MAX('3. Assumptions'!$B$12,'3. Assumptions'!$B$11),'3. Assumptions'!$B$10))^INT((H75-1)/4)/4</f>
        <v>898424.059226353</v>
      </c>
      <c r="J75" s="33" t="n">
        <f aca="false">-'2. The tape'!$C$17*(1+MIN(MAX('3. Assumptions'!$B$12,'3. Assumptions'!$B$11),'3. Assumptions'!$B$10))^INT((H75-1)/4)/4</f>
        <v>-4384043.76423796</v>
      </c>
      <c r="K75" s="33" t="n">
        <f aca="false">-'2. The tape'!$C$16*(1+MIN(MAX('3. Assumptions'!$B$12,'3. Assumptions'!$B$11),'3. Assumptions'!$B$10))^INT((H75-1)/4)/4</f>
        <v>-3476544.71451437</v>
      </c>
      <c r="L75" s="33" t="n">
        <f aca="false">-'2. The tape'!$C$18*(1+MIN(MAX('3. Assumptions'!$B$12,'3. Assumptions'!$B$11),'3. Assumptions'!$B$10))^INT((H75-1)/4)/4</f>
        <v>-907499.049723589</v>
      </c>
    </row>
    <row r="76" customFormat="false" ht="15" hidden="false" customHeight="false" outlineLevel="0" collapsed="false">
      <c r="H76" s="20" t="n">
        <v>70</v>
      </c>
      <c r="I76" s="33" t="n">
        <f aca="false">'2. The tape'!$C$18*(1-'3. Assumptions'!$B$13)*(1+MIN(MAX('3. Assumptions'!$B$12,'3. Assumptions'!$B$11),'3. Assumptions'!$B$10))^INT((H76-1)/4)/4</f>
        <v>898424.059226353</v>
      </c>
      <c r="J76" s="33" t="n">
        <f aca="false">-'2. The tape'!$C$17*(1+MIN(MAX('3. Assumptions'!$B$12,'3. Assumptions'!$B$11),'3. Assumptions'!$B$10))^INT((H76-1)/4)/4</f>
        <v>-4384043.76423796</v>
      </c>
      <c r="K76" s="33" t="n">
        <f aca="false">-'2. The tape'!$C$16*(1+MIN(MAX('3. Assumptions'!$B$12,'3. Assumptions'!$B$11),'3. Assumptions'!$B$10))^INT((H76-1)/4)/4</f>
        <v>-3476544.71451437</v>
      </c>
      <c r="L76" s="33" t="n">
        <f aca="false">-'2. The tape'!$C$18*(1+MIN(MAX('3. Assumptions'!$B$12,'3. Assumptions'!$B$11),'3. Assumptions'!$B$10))^INT((H76-1)/4)/4</f>
        <v>-907499.049723589</v>
      </c>
    </row>
    <row r="77" customFormat="false" ht="15" hidden="false" customHeight="false" outlineLevel="0" collapsed="false">
      <c r="H77" s="20" t="n">
        <v>71</v>
      </c>
      <c r="I77" s="33" t="n">
        <f aca="false">'2. The tape'!$C$18*(1-'3. Assumptions'!$B$13)*(1+MIN(MAX('3. Assumptions'!$B$12,'3. Assumptions'!$B$11),'3. Assumptions'!$B$10))^INT((H77-1)/4)/4</f>
        <v>898424.059226353</v>
      </c>
      <c r="J77" s="33" t="n">
        <f aca="false">-'2. The tape'!$C$17*(1+MIN(MAX('3. Assumptions'!$B$12,'3. Assumptions'!$B$11),'3. Assumptions'!$B$10))^INT((H77-1)/4)/4</f>
        <v>-4384043.76423796</v>
      </c>
      <c r="K77" s="33" t="n">
        <f aca="false">-'2. The tape'!$C$16*(1+MIN(MAX('3. Assumptions'!$B$12,'3. Assumptions'!$B$11),'3. Assumptions'!$B$10))^INT((H77-1)/4)/4</f>
        <v>-3476544.71451437</v>
      </c>
      <c r="L77" s="33" t="n">
        <f aca="false">-'2. The tape'!$C$18*(1+MIN(MAX('3. Assumptions'!$B$12,'3. Assumptions'!$B$11),'3. Assumptions'!$B$10))^INT((H77-1)/4)/4</f>
        <v>-907499.049723589</v>
      </c>
    </row>
    <row r="78" customFormat="false" ht="15" hidden="false" customHeight="false" outlineLevel="0" collapsed="false">
      <c r="H78" s="20" t="n">
        <v>72</v>
      </c>
      <c r="I78" s="33" t="n">
        <f aca="false">'2. The tape'!$C$18*(1-'3. Assumptions'!$B$13)*(1+MIN(MAX('3. Assumptions'!$B$12,'3. Assumptions'!$B$11),'3. Assumptions'!$B$10))^INT((H78-1)/4)/4</f>
        <v>898424.059226353</v>
      </c>
      <c r="J78" s="33" t="n">
        <f aca="false">-'2. The tape'!$C$17*(1+MIN(MAX('3. Assumptions'!$B$12,'3. Assumptions'!$B$11),'3. Assumptions'!$B$10))^INT((H78-1)/4)/4</f>
        <v>-4384043.76423796</v>
      </c>
      <c r="K78" s="33" t="n">
        <f aca="false">-'2. The tape'!$C$16*(1+MIN(MAX('3. Assumptions'!$B$12,'3. Assumptions'!$B$11),'3. Assumptions'!$B$10))^INT((H78-1)/4)/4</f>
        <v>-3476544.71451437</v>
      </c>
      <c r="L78" s="33" t="n">
        <f aca="false">-'2. The tape'!$C$18*(1+MIN(MAX('3. Assumptions'!$B$12,'3. Assumptions'!$B$11),'3. Assumptions'!$B$10))^INT((H78-1)/4)/4</f>
        <v>-907499.049723589</v>
      </c>
    </row>
    <row r="79" customFormat="false" ht="15" hidden="false" customHeight="false" outlineLevel="0" collapsed="false">
      <c r="H79" s="20" t="n">
        <v>73</v>
      </c>
      <c r="I79" s="33" t="n">
        <f aca="false">'2. The tape'!$C$18*(1-'3. Assumptions'!$B$13)*(1+MIN(MAX('3. Assumptions'!$B$12,'3. Assumptions'!$B$11),'3. Assumptions'!$B$10))^INT((H79-1)/4)/4</f>
        <v>918189.388529332</v>
      </c>
      <c r="J79" s="33" t="n">
        <f aca="false">-'2. The tape'!$C$17*(1+MIN(MAX('3. Assumptions'!$B$12,'3. Assumptions'!$B$11),'3. Assumptions'!$B$10))^INT((H79-1)/4)/4</f>
        <v>-4480492.7270512</v>
      </c>
      <c r="K79" s="33" t="n">
        <f aca="false">-'2. The tape'!$C$16*(1+MIN(MAX('3. Assumptions'!$B$12,'3. Assumptions'!$B$11),'3. Assumptions'!$B$10))^INT((H79-1)/4)/4</f>
        <v>-3553028.69823369</v>
      </c>
      <c r="L79" s="33" t="n">
        <f aca="false">-'2. The tape'!$C$18*(1+MIN(MAX('3. Assumptions'!$B$12,'3. Assumptions'!$B$11),'3. Assumptions'!$B$10))^INT((H79-1)/4)/4</f>
        <v>-927464.028817507</v>
      </c>
    </row>
    <row r="80" customFormat="false" ht="15" hidden="false" customHeight="false" outlineLevel="0" collapsed="false">
      <c r="H80" s="20" t="n">
        <v>74</v>
      </c>
      <c r="I80" s="33" t="n">
        <f aca="false">'2. The tape'!$C$18*(1-'3. Assumptions'!$B$13)*(1+MIN(MAX('3. Assumptions'!$B$12,'3. Assumptions'!$B$11),'3. Assumptions'!$B$10))^INT((H80-1)/4)/4</f>
        <v>918189.388529332</v>
      </c>
      <c r="J80" s="33" t="n">
        <f aca="false">-'2. The tape'!$C$17*(1+MIN(MAX('3. Assumptions'!$B$12,'3. Assumptions'!$B$11),'3. Assumptions'!$B$10))^INT((H80-1)/4)/4</f>
        <v>-4480492.7270512</v>
      </c>
      <c r="K80" s="33" t="n">
        <f aca="false">-'2. The tape'!$C$16*(1+MIN(MAX('3. Assumptions'!$B$12,'3. Assumptions'!$B$11),'3. Assumptions'!$B$10))^INT((H80-1)/4)/4</f>
        <v>-3553028.69823369</v>
      </c>
      <c r="L80" s="33" t="n">
        <f aca="false">-'2. The tape'!$C$18*(1+MIN(MAX('3. Assumptions'!$B$12,'3. Assumptions'!$B$11),'3. Assumptions'!$B$10))^INT((H80-1)/4)/4</f>
        <v>-927464.028817507</v>
      </c>
    </row>
    <row r="81" customFormat="false" ht="15" hidden="false" customHeight="false" outlineLevel="0" collapsed="false">
      <c r="H81" s="20" t="n">
        <v>75</v>
      </c>
      <c r="I81" s="33" t="n">
        <f aca="false">'2. The tape'!$C$18*(1-'3. Assumptions'!$B$13)*(1+MIN(MAX('3. Assumptions'!$B$12,'3. Assumptions'!$B$11),'3. Assumptions'!$B$10))^INT((H81-1)/4)/4</f>
        <v>918189.388529332</v>
      </c>
      <c r="J81" s="33" t="n">
        <f aca="false">-'2. The tape'!$C$17*(1+MIN(MAX('3. Assumptions'!$B$12,'3. Assumptions'!$B$11),'3. Assumptions'!$B$10))^INT((H81-1)/4)/4</f>
        <v>-4480492.7270512</v>
      </c>
      <c r="K81" s="33" t="n">
        <f aca="false">-'2. The tape'!$C$16*(1+MIN(MAX('3. Assumptions'!$B$12,'3. Assumptions'!$B$11),'3. Assumptions'!$B$10))^INT((H81-1)/4)/4</f>
        <v>-3553028.69823369</v>
      </c>
      <c r="L81" s="33" t="n">
        <f aca="false">-'2. The tape'!$C$18*(1+MIN(MAX('3. Assumptions'!$B$12,'3. Assumptions'!$B$11),'3. Assumptions'!$B$10))^INT((H81-1)/4)/4</f>
        <v>-927464.028817507</v>
      </c>
    </row>
    <row r="82" customFormat="false" ht="15" hidden="false" customHeight="false" outlineLevel="0" collapsed="false">
      <c r="H82" s="20" t="n">
        <v>76</v>
      </c>
      <c r="I82" s="33" t="n">
        <f aca="false">'2. The tape'!$C$18*(1-'3. Assumptions'!$B$13)*(1+MIN(MAX('3. Assumptions'!$B$12,'3. Assumptions'!$B$11),'3. Assumptions'!$B$10))^INT((H82-1)/4)/4</f>
        <v>918189.388529332</v>
      </c>
      <c r="J82" s="33" t="n">
        <f aca="false">-'2. The tape'!$C$17*(1+MIN(MAX('3. Assumptions'!$B$12,'3. Assumptions'!$B$11),'3. Assumptions'!$B$10))^INT((H82-1)/4)/4</f>
        <v>-4480492.7270512</v>
      </c>
      <c r="K82" s="33" t="n">
        <f aca="false">-'2. The tape'!$C$16*(1+MIN(MAX('3. Assumptions'!$B$12,'3. Assumptions'!$B$11),'3. Assumptions'!$B$10))^INT((H82-1)/4)/4</f>
        <v>-3553028.69823369</v>
      </c>
      <c r="L82" s="33" t="n">
        <f aca="false">-'2. The tape'!$C$18*(1+MIN(MAX('3. Assumptions'!$B$12,'3. Assumptions'!$B$11),'3. Assumptions'!$B$10))^INT((H82-1)/4)/4</f>
        <v>-927464.028817507</v>
      </c>
    </row>
    <row r="83" customFormat="false" ht="15" hidden="false" customHeight="false" outlineLevel="0" collapsed="false">
      <c r="H83" s="20" t="n">
        <v>77</v>
      </c>
      <c r="I83" s="33" t="n">
        <f aca="false">'2. The tape'!$C$18*(1-'3. Assumptions'!$B$13)*(1+MIN(MAX('3. Assumptions'!$B$12,'3. Assumptions'!$B$11),'3. Assumptions'!$B$10))^INT((H83-1)/4)/4</f>
        <v>938389.555076978</v>
      </c>
      <c r="J83" s="33" t="n">
        <f aca="false">-'2. The tape'!$C$17*(1+MIN(MAX('3. Assumptions'!$B$12,'3. Assumptions'!$B$11),'3. Assumptions'!$B$10))^INT((H83-1)/4)/4</f>
        <v>-4579063.56704632</v>
      </c>
      <c r="K83" s="33" t="n">
        <f aca="false">-'2. The tape'!$C$16*(1+MIN(MAX('3. Assumptions'!$B$12,'3. Assumptions'!$B$11),'3. Assumptions'!$B$10))^INT((H83-1)/4)/4</f>
        <v>-3631195.32959483</v>
      </c>
      <c r="L83" s="33" t="n">
        <f aca="false">-'2. The tape'!$C$18*(1+MIN(MAX('3. Assumptions'!$B$12,'3. Assumptions'!$B$11),'3. Assumptions'!$B$10))^INT((H83-1)/4)/4</f>
        <v>-947868.237451493</v>
      </c>
    </row>
    <row r="84" customFormat="false" ht="15" hidden="false" customHeight="false" outlineLevel="0" collapsed="false">
      <c r="H84" s="20" t="n">
        <v>78</v>
      </c>
      <c r="I84" s="33" t="n">
        <f aca="false">'2. The tape'!$C$18*(1-'3. Assumptions'!$B$13)*(1+MIN(MAX('3. Assumptions'!$B$12,'3. Assumptions'!$B$11),'3. Assumptions'!$B$10))^INT((H84-1)/4)/4</f>
        <v>938389.555076978</v>
      </c>
      <c r="J84" s="33" t="n">
        <f aca="false">-'2. The tape'!$C$17*(1+MIN(MAX('3. Assumptions'!$B$12,'3. Assumptions'!$B$11),'3. Assumptions'!$B$10))^INT((H84-1)/4)/4</f>
        <v>-4579063.56704632</v>
      </c>
      <c r="K84" s="33" t="n">
        <f aca="false">-'2. The tape'!$C$16*(1+MIN(MAX('3. Assumptions'!$B$12,'3. Assumptions'!$B$11),'3. Assumptions'!$B$10))^INT((H84-1)/4)/4</f>
        <v>-3631195.32959483</v>
      </c>
      <c r="L84" s="33" t="n">
        <f aca="false">-'2. The tape'!$C$18*(1+MIN(MAX('3. Assumptions'!$B$12,'3. Assumptions'!$B$11),'3. Assumptions'!$B$10))^INT((H84-1)/4)/4</f>
        <v>-947868.237451493</v>
      </c>
    </row>
    <row r="85" customFormat="false" ht="15" hidden="false" customHeight="false" outlineLevel="0" collapsed="false">
      <c r="H85" s="20" t="n">
        <v>79</v>
      </c>
      <c r="I85" s="33" t="n">
        <f aca="false">'2. The tape'!$C$18*(1-'3. Assumptions'!$B$13)*(1+MIN(MAX('3. Assumptions'!$B$12,'3. Assumptions'!$B$11),'3. Assumptions'!$B$10))^INT((H85-1)/4)/4</f>
        <v>938389.555076978</v>
      </c>
      <c r="J85" s="33" t="n">
        <f aca="false">-'2. The tape'!$C$17*(1+MIN(MAX('3. Assumptions'!$B$12,'3. Assumptions'!$B$11),'3. Assumptions'!$B$10))^INT((H85-1)/4)/4</f>
        <v>-4579063.56704632</v>
      </c>
      <c r="K85" s="33" t="n">
        <f aca="false">-'2. The tape'!$C$16*(1+MIN(MAX('3. Assumptions'!$B$12,'3. Assumptions'!$B$11),'3. Assumptions'!$B$10))^INT((H85-1)/4)/4</f>
        <v>-3631195.32959483</v>
      </c>
      <c r="L85" s="33" t="n">
        <f aca="false">-'2. The tape'!$C$18*(1+MIN(MAX('3. Assumptions'!$B$12,'3. Assumptions'!$B$11),'3. Assumptions'!$B$10))^INT((H85-1)/4)/4</f>
        <v>-947868.237451493</v>
      </c>
    </row>
    <row r="86" customFormat="false" ht="15" hidden="false" customHeight="false" outlineLevel="0" collapsed="false">
      <c r="H86" s="20" t="n">
        <v>80</v>
      </c>
      <c r="I86" s="33" t="n">
        <f aca="false">'2. The tape'!$C$18*(1-'3. Assumptions'!$B$13)*(1+MIN(MAX('3. Assumptions'!$B$12,'3. Assumptions'!$B$11),'3. Assumptions'!$B$10))^INT((H86-1)/4)/4</f>
        <v>938389.555076978</v>
      </c>
      <c r="J86" s="33" t="n">
        <f aca="false">-'2. The tape'!$C$17*(1+MIN(MAX('3. Assumptions'!$B$12,'3. Assumptions'!$B$11),'3. Assumptions'!$B$10))^INT((H86-1)/4)/4-$C$30</f>
        <v>-79678264.859073</v>
      </c>
      <c r="K86" s="33" t="n">
        <f aca="false">-'2. The tape'!$C$16*(1+MIN(MAX('3. Assumptions'!$B$12,'3. Assumptions'!$B$11),'3. Assumptions'!$B$10))^INT((H86-1)/4)/4-$C$30</f>
        <v>-78730396.6216216</v>
      </c>
      <c r="L86" s="33" t="n">
        <f aca="false">-'2. The tape'!$C$18*(1+MIN(MAX('3. Assumptions'!$B$12,'3. Assumptions'!$B$11),'3. Assumptions'!$B$10))^INT((H86-1)/4)/4</f>
        <v>-947868.237451493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A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5" topLeftCell="B16" activePane="bottomRight" state="frozen"/>
      <selection pane="topLeft" activeCell="A1" activeCellId="0" sqref="A1"/>
      <selection pane="topRight" activeCell="B1" activeCellId="0" sqref="B1"/>
      <selection pane="bottomLeft" activeCell="A16" activeCellId="0" sqref="A16"/>
      <selection pane="bottomRigh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53" min="2" style="0" width="14"/>
  </cols>
  <sheetData>
    <row r="1" customFormat="false" ht="16.15" hidden="false" customHeight="false" outlineLevel="0" collapsed="false">
      <c r="A1" s="38" t="s">
        <v>360</v>
      </c>
    </row>
    <row r="2" customFormat="false" ht="15" hidden="false" customHeight="false" outlineLevel="0" collapsed="false">
      <c r="A2" s="22" t="s">
        <v>361</v>
      </c>
    </row>
    <row r="3" customFormat="false" ht="15" hidden="false" customHeight="false" outlineLevel="0" collapsed="false">
      <c r="B3" s="30" t="s">
        <v>362</v>
      </c>
      <c r="D3" s="30" t="s">
        <v>363</v>
      </c>
      <c r="F3" s="30" t="s">
        <v>364</v>
      </c>
      <c r="H3" s="30" t="s">
        <v>365</v>
      </c>
      <c r="J3" s="30" t="s">
        <v>366</v>
      </c>
      <c r="L3" s="30" t="s">
        <v>367</v>
      </c>
      <c r="N3" s="30" t="s">
        <v>368</v>
      </c>
      <c r="P3" s="30" t="s">
        <v>369</v>
      </c>
      <c r="R3" s="30" t="s">
        <v>370</v>
      </c>
      <c r="T3" s="30" t="s">
        <v>371</v>
      </c>
      <c r="V3" s="30" t="s">
        <v>372</v>
      </c>
      <c r="X3" s="30" t="s">
        <v>373</v>
      </c>
      <c r="Z3" s="30" t="s">
        <v>374</v>
      </c>
      <c r="AB3" s="30" t="s">
        <v>375</v>
      </c>
      <c r="AD3" s="30" t="s">
        <v>376</v>
      </c>
      <c r="AF3" s="30" t="s">
        <v>377</v>
      </c>
      <c r="AH3" s="30" t="s">
        <v>378</v>
      </c>
      <c r="AJ3" s="30" t="s">
        <v>379</v>
      </c>
      <c r="AL3" s="30" t="s">
        <v>380</v>
      </c>
      <c r="AN3" s="30" t="s">
        <v>381</v>
      </c>
      <c r="AP3" s="30" t="s">
        <v>382</v>
      </c>
      <c r="AR3" s="30" t="s">
        <v>383</v>
      </c>
      <c r="AT3" s="30" t="s">
        <v>384</v>
      </c>
      <c r="AV3" s="30" t="s">
        <v>385</v>
      </c>
      <c r="AX3" s="30" t="s">
        <v>386</v>
      </c>
      <c r="AZ3" s="30" t="s">
        <v>387</v>
      </c>
    </row>
    <row r="4" customFormat="false" ht="15" hidden="false" customHeight="false" outlineLevel="0" collapsed="false">
      <c r="A4" s="20" t="s">
        <v>188</v>
      </c>
      <c r="B4" s="35" t="n">
        <f aca="false">('3. Assumptions'!$B$21/(1-'3. Assumptions'!$B$22))</f>
        <v>0.0641666666666667</v>
      </c>
      <c r="D4" s="35" t="n">
        <f aca="false">('3. Assumptions'!$B$21/(1-'3. Assumptions'!$B$22))</f>
        <v>0.0641666666666667</v>
      </c>
      <c r="F4" s="35" t="n">
        <f aca="false">('3. Assumptions'!$B$21/(1-'3. Assumptions'!$B$22))</f>
        <v>0.0641666666666667</v>
      </c>
      <c r="H4" s="35" t="n">
        <f aca="false">('3. Assumptions'!$B$21/(1-'3. Assumptions'!$B$22))</f>
        <v>0.0641666666666667</v>
      </c>
      <c r="J4" s="35" t="n">
        <f aca="false">('3. Assumptions'!$B$21/(1-'3. Assumptions'!$B$22))</f>
        <v>0.0641666666666667</v>
      </c>
      <c r="L4" s="35" t="n">
        <f aca="false">('3. Assumptions'!$B$21/(1-'3. Assumptions'!$B$22))</f>
        <v>0.0641666666666667</v>
      </c>
      <c r="N4" s="35" t="n">
        <f aca="false">('3. Assumptions'!$B$21/(1-'3. Assumptions'!$B$22))</f>
        <v>0.0641666666666667</v>
      </c>
      <c r="P4" s="35" t="n">
        <f aca="false">('3. Assumptions'!$B$21/(1-'3. Assumptions'!$B$22))</f>
        <v>0.0641666666666667</v>
      </c>
      <c r="R4" s="35" t="n">
        <f aca="false">('3. Assumptions'!$B$21/(1-'3. Assumptions'!$B$22))</f>
        <v>0.0641666666666667</v>
      </c>
      <c r="T4" s="35" t="n">
        <f aca="false">('3. Assumptions'!$B$21/(1-'3. Assumptions'!$B$22))</f>
        <v>0.0641666666666667</v>
      </c>
      <c r="V4" s="35" t="n">
        <f aca="false">('3. Assumptions'!$B$21/(1-'3. Assumptions'!$B$22))</f>
        <v>0.0641666666666667</v>
      </c>
      <c r="X4" s="35" t="n">
        <f aca="false">('3. Assumptions'!$B$21/(1-'3. Assumptions'!$B$22))</f>
        <v>0.0641666666666667</v>
      </c>
      <c r="Z4" s="35" t="n">
        <f aca="false">('3. Assumptions'!$B$21/(1-'3. Assumptions'!$B$22))</f>
        <v>0.0641666666666667</v>
      </c>
      <c r="AB4" s="35" t="n">
        <f aca="false">('3. Assumptions'!$B$21/(1-'3. Assumptions'!$B$22))</f>
        <v>0.0641666666666667</v>
      </c>
      <c r="AD4" s="35" t="n">
        <f aca="false">('3. Assumptions'!$B$21/(1-'3. Assumptions'!$B$22))</f>
        <v>0.0641666666666667</v>
      </c>
      <c r="AF4" s="35" t="n">
        <f aca="false">('3. Assumptions'!$B$21/(1-'3. Assumptions'!$B$22))</f>
        <v>0.0641666666666667</v>
      </c>
      <c r="AH4" s="35" t="n">
        <f aca="false">('3. Assumptions'!$B$21/(1-'3. Assumptions'!$B$22))</f>
        <v>0.0641666666666667</v>
      </c>
      <c r="AJ4" s="35" t="n">
        <f aca="false">('3. Assumptions'!$B$21/(1-'3. Assumptions'!$B$22))</f>
        <v>0.0641666666666667</v>
      </c>
      <c r="AL4" s="35" t="n">
        <f aca="false">('3. Assumptions'!$B$21/(1-'3. Assumptions'!$B$22))</f>
        <v>0.0641666666666667</v>
      </c>
      <c r="AN4" s="35" t="n">
        <f aca="false">('3. Assumptions'!$B$21/(1-'3. Assumptions'!$B$22))</f>
        <v>0.0641666666666667</v>
      </c>
      <c r="AP4" s="35" t="n">
        <f aca="false">('3. Assumptions'!$B$21/(1-'3. Assumptions'!$B$22))</f>
        <v>0.0641666666666667</v>
      </c>
      <c r="AR4" s="35" t="n">
        <f aca="false">('3. Assumptions'!$B$21/(1-'3. Assumptions'!$B$22))</f>
        <v>0.0641666666666667</v>
      </c>
      <c r="AT4" s="35" t="n">
        <f aca="false">('3. Assumptions'!$B$21/(1-'3. Assumptions'!$B$22))</f>
        <v>0.0641666666666667</v>
      </c>
      <c r="AV4" s="35" t="n">
        <f aca="false">('3. Assumptions'!$B$21/(1-'3. Assumptions'!$B$22))</f>
        <v>0.0641666666666667</v>
      </c>
      <c r="AX4" s="35" t="n">
        <f aca="false">('3. Assumptions'!$B$21/(1-'3. Assumptions'!$B$22))</f>
        <v>0.0641666666666667</v>
      </c>
      <c r="AZ4" s="35" t="n">
        <f aca="false">('3. Assumptions'!$B$21/(1-'3. Assumptions'!$B$22))</f>
        <v>0.0641666666666667</v>
      </c>
    </row>
    <row r="5" customFormat="false" ht="15" hidden="false" customHeight="false" outlineLevel="0" collapsed="false">
      <c r="A5" s="20" t="s">
        <v>73</v>
      </c>
      <c r="B5" s="35" t="n">
        <f aca="false">'3. Assumptions'!$B$12</f>
        <v>0.022</v>
      </c>
      <c r="D5" s="35" t="n">
        <f aca="false">'10. Sensitivities'!$B$6</f>
        <v>0.035</v>
      </c>
      <c r="F5" s="35" t="n">
        <f aca="false">'10. Sensitivities'!$B$7</f>
        <v>0.01</v>
      </c>
      <c r="H5" s="35" t="n">
        <f aca="false">'10. Sensitivities'!$B$6</f>
        <v>0.035</v>
      </c>
      <c r="J5" s="35" t="n">
        <f aca="false">'3. Assumptions'!$B$12</f>
        <v>0.022</v>
      </c>
      <c r="L5" s="35" t="n">
        <f aca="false">'11. Inversions'!$B$12</f>
        <v>0.3</v>
      </c>
      <c r="N5" s="35" t="n">
        <f aca="false">'11. Inversions'!$B$9</f>
        <v>-0.03</v>
      </c>
      <c r="P5" s="35" t="n">
        <f aca="false">'11. Inversions'!$B$10</f>
        <v>-0.02</v>
      </c>
      <c r="R5" s="35" t="n">
        <f aca="false">IF(ABS(P$12-N$12)&lt;0.000001,P$5,P$5-P$12*(P$5-N$5)/(P$12-N$12))</f>
        <v>-0.0260535048985096</v>
      </c>
      <c r="T5" s="35" t="n">
        <f aca="false">IF(ABS(R$12-P$12)&lt;0.000001,R$5,R$5-R$12*(R$5-P$5)/(R$12-P$12))</f>
        <v>-0.0262177001204947</v>
      </c>
      <c r="V5" s="35" t="n">
        <f aca="false">IF(ABS(T$12-R$12)&lt;0.000001,T$5,T$5-T$12*(T$5-R$5)/(T$12-R$12))</f>
        <v>-0.0262111029142155</v>
      </c>
      <c r="X5" s="35" t="n">
        <f aca="false">IF(ABS(V$12-T$12)&lt;0.000001,V$5,V$5-V$12*(V$5-T$5)/(V$12-T$12))</f>
        <v>-0.0262111098515882</v>
      </c>
      <c r="Z5" s="35" t="n">
        <f aca="false">IF(ABS(X$12-V$12)&lt;0.000001,X$5,X$5-X$12*(X$5-V$5)/(X$12-V$12))</f>
        <v>-0.0262111098518936</v>
      </c>
      <c r="AB5" s="35" t="n">
        <f aca="false">IF(ABS(Z$12-X$12)&lt;0.000001,Z$5,Z$5-Z$12*(Z$5-X$5)/(Z$12-X$12))</f>
        <v>-0.0262111098518936</v>
      </c>
      <c r="AD5" s="35" t="n">
        <f aca="false">IF(ABS(AB$12-Z$12)&lt;0.000001,AB$5,AB$5-AB$12*(AB$5-Z$5)/(AB$12-Z$12))</f>
        <v>-0.0262111098518936</v>
      </c>
      <c r="AF5" s="35" t="n">
        <f aca="false">IF(ABS(AD$12-AB$12)&lt;0.000001,AD$5,AD$5-AD$12*(AD$5-AB$5)/(AD$12-AB$12))</f>
        <v>-0.0262111098518936</v>
      </c>
      <c r="AH5" s="35" t="n">
        <f aca="false">'3. Assumptions'!$B$12</f>
        <v>0.022</v>
      </c>
      <c r="AJ5" s="35" t="n">
        <f aca="false">'3. Assumptions'!$B$12</f>
        <v>0.022</v>
      </c>
      <c r="AL5" s="35" t="n">
        <f aca="false">'3. Assumptions'!$B$12</f>
        <v>0.022</v>
      </c>
      <c r="AN5" s="35" t="n">
        <f aca="false">'3. Assumptions'!$B$12</f>
        <v>0.022</v>
      </c>
      <c r="AP5" s="35" t="n">
        <f aca="false">'3. Assumptions'!$B$12</f>
        <v>0.022</v>
      </c>
      <c r="AR5" s="35" t="n">
        <f aca="false">'3. Assumptions'!$B$12</f>
        <v>0.022</v>
      </c>
      <c r="AT5" s="35" t="n">
        <f aca="false">'3. Assumptions'!$B$12</f>
        <v>0.022</v>
      </c>
      <c r="AV5" s="35" t="n">
        <f aca="false">'3. Assumptions'!$B$12</f>
        <v>0.022</v>
      </c>
      <c r="AX5" s="35" t="n">
        <f aca="false">'3. Assumptions'!$B$12</f>
        <v>0.022</v>
      </c>
      <c r="AZ5" s="35" t="n">
        <f aca="false">'3. Assumptions'!$B$12</f>
        <v>0.022</v>
      </c>
    </row>
    <row r="6" customFormat="false" ht="15" hidden="false" customHeight="false" outlineLevel="0" collapsed="false">
      <c r="A6" s="20" t="s">
        <v>60</v>
      </c>
      <c r="B6" s="35" t="n">
        <f aca="false">'3. Assumptions'!$B$5</f>
        <v>0.085</v>
      </c>
      <c r="D6" s="35" t="n">
        <f aca="false">'3. Assumptions'!$B$5</f>
        <v>0.085</v>
      </c>
      <c r="F6" s="35" t="n">
        <f aca="false">'3. Assumptions'!$B$5</f>
        <v>0.085</v>
      </c>
      <c r="H6" s="35" t="n">
        <f aca="false">'3. Assumptions'!$B$5</f>
        <v>0.085</v>
      </c>
      <c r="J6" s="35" t="n">
        <f aca="false">'10. Sensitivities'!$B$8</f>
        <v>0.0975</v>
      </c>
      <c r="L6" s="35" t="n">
        <f aca="false">'3. Assumptions'!$B$5</f>
        <v>0.085</v>
      </c>
      <c r="N6" s="35" t="n">
        <f aca="false">'3. Assumptions'!$B$5</f>
        <v>0.085</v>
      </c>
      <c r="P6" s="35" t="n">
        <f aca="false">'3. Assumptions'!$B$5</f>
        <v>0.085</v>
      </c>
      <c r="R6" s="35" t="n">
        <f aca="false">'3. Assumptions'!$B$5</f>
        <v>0.085</v>
      </c>
      <c r="T6" s="35" t="n">
        <f aca="false">'3. Assumptions'!$B$5</f>
        <v>0.085</v>
      </c>
      <c r="V6" s="35" t="n">
        <f aca="false">'3. Assumptions'!$B$5</f>
        <v>0.085</v>
      </c>
      <c r="X6" s="35" t="n">
        <f aca="false">'3. Assumptions'!$B$5</f>
        <v>0.085</v>
      </c>
      <c r="Z6" s="35" t="n">
        <f aca="false">'3. Assumptions'!$B$5</f>
        <v>0.085</v>
      </c>
      <c r="AB6" s="35" t="n">
        <f aca="false">'3. Assumptions'!$B$5</f>
        <v>0.085</v>
      </c>
      <c r="AD6" s="35" t="n">
        <f aca="false">'3. Assumptions'!$B$5</f>
        <v>0.085</v>
      </c>
      <c r="AF6" s="35" t="n">
        <f aca="false">'3. Assumptions'!$B$5</f>
        <v>0.085</v>
      </c>
      <c r="AH6" s="35" t="n">
        <f aca="false">'11. Inversions'!$B$16</f>
        <v>0.05</v>
      </c>
      <c r="AJ6" s="35" t="n">
        <f aca="false">'11. Inversions'!$B$17</f>
        <v>0.065</v>
      </c>
      <c r="AL6" s="35" t="n">
        <f aca="false">IF(ABS(AJ$12-AH$12)&lt;0.000001,AJ$6,AJ$6-AJ$12*(AJ$6-AH$6)/(AJ$12-AH$12))</f>
        <v>0.0582253086281618</v>
      </c>
      <c r="AN6" s="35" t="n">
        <f aca="false">IF(ABS(AL$12-AJ$12)&lt;0.000001,AL$6,AL$6-AL$12*(AL$6-AJ$6)/(AL$12-AJ$12))</f>
        <v>0.0571108300802836</v>
      </c>
      <c r="AP6" s="35" t="n">
        <f aca="false">IF(ABS(AN$12-AL$12)&lt;0.000001,AN$6,AN$6-AN$12*(AN$6-AL$6)/(AN$12-AL$12))</f>
        <v>0.0572460963977619</v>
      </c>
      <c r="AR6" s="35" t="n">
        <f aca="false">IF(ABS(AP$12-AN$12)&lt;0.000001,AP$6,AP$6-AP$12*(AP$6-AN$6)/(AP$12-AN$12))</f>
        <v>0.0572438215376442</v>
      </c>
      <c r="AT6" s="35" t="n">
        <f aca="false">IF(ABS(AR$12-AP$12)&lt;0.000001,AR$6,AR$6-AR$12*(AR$6-AP$6)/(AR$12-AP$12))</f>
        <v>0.0572438162402784</v>
      </c>
      <c r="AV6" s="35" t="n">
        <f aca="false">IF(ABS(AT$12-AR$12)&lt;0.000001,AT$6,AT$6-AT$12*(AT$6-AR$6)/(AT$12-AR$12))</f>
        <v>0.0572438162404894</v>
      </c>
      <c r="AX6" s="35" t="n">
        <f aca="false">IF(ABS(AV$12-AT$12)&lt;0.000001,AV$6,AV$6-AV$12*(AV$6-AT$6)/(AV$12-AT$12))</f>
        <v>0.0572438162404894</v>
      </c>
      <c r="AZ6" s="35" t="n">
        <f aca="false">IF(ABS(AX$12-AV$12)&lt;0.000001,AX$6,AX$6-AX$12*(AX$6-AV$6)/(AX$12-AV$12))</f>
        <v>0.0572438162404894</v>
      </c>
    </row>
    <row r="7" customFormat="false" ht="15" hidden="false" customHeight="false" outlineLevel="0" collapsed="false">
      <c r="A7" s="20" t="s">
        <v>80</v>
      </c>
      <c r="B7" s="13" t="n">
        <f aca="false">'3. Assumptions'!$B$17</f>
        <v>0.55</v>
      </c>
      <c r="D7" s="13" t="n">
        <f aca="false">'3. Assumptions'!$B$17</f>
        <v>0.55</v>
      </c>
      <c r="F7" s="13" t="n">
        <f aca="false">'3. Assumptions'!$B$17</f>
        <v>0.55</v>
      </c>
      <c r="H7" s="13" t="n">
        <f aca="false">'3. Assumptions'!$B$17</f>
        <v>0.55</v>
      </c>
      <c r="J7" s="13" t="n">
        <f aca="false">'3. Assumptions'!$B$17</f>
        <v>0.55</v>
      </c>
      <c r="L7" s="13" t="n">
        <f aca="false">'3. Assumptions'!$B$17</f>
        <v>0.55</v>
      </c>
      <c r="N7" s="13" t="n">
        <f aca="false">'3. Assumptions'!$B$17</f>
        <v>0.55</v>
      </c>
      <c r="P7" s="13" t="n">
        <f aca="false">'3. Assumptions'!$B$17</f>
        <v>0.55</v>
      </c>
      <c r="R7" s="13" t="n">
        <f aca="false">'3. Assumptions'!$B$17</f>
        <v>0.55</v>
      </c>
      <c r="T7" s="13" t="n">
        <f aca="false">'3. Assumptions'!$B$17</f>
        <v>0.55</v>
      </c>
      <c r="V7" s="13" t="n">
        <f aca="false">'3. Assumptions'!$B$17</f>
        <v>0.55</v>
      </c>
      <c r="X7" s="13" t="n">
        <f aca="false">'3. Assumptions'!$B$17</f>
        <v>0.55</v>
      </c>
      <c r="Z7" s="13" t="n">
        <f aca="false">'3. Assumptions'!$B$17</f>
        <v>0.55</v>
      </c>
      <c r="AB7" s="13" t="n">
        <f aca="false">'3. Assumptions'!$B$17</f>
        <v>0.55</v>
      </c>
      <c r="AD7" s="13" t="n">
        <f aca="false">'3. Assumptions'!$B$17</f>
        <v>0.55</v>
      </c>
      <c r="AF7" s="13" t="n">
        <f aca="false">'3. Assumptions'!$B$17</f>
        <v>0.55</v>
      </c>
      <c r="AH7" s="13" t="n">
        <f aca="false">'3. Assumptions'!$B$17</f>
        <v>0.55</v>
      </c>
      <c r="AJ7" s="13" t="n">
        <f aca="false">'3. Assumptions'!$B$17</f>
        <v>0.55</v>
      </c>
      <c r="AL7" s="13" t="n">
        <f aca="false">'3. Assumptions'!$B$17</f>
        <v>0.55</v>
      </c>
      <c r="AN7" s="13" t="n">
        <f aca="false">'3. Assumptions'!$B$17</f>
        <v>0.55</v>
      </c>
      <c r="AP7" s="13" t="n">
        <f aca="false">'3. Assumptions'!$B$17</f>
        <v>0.55</v>
      </c>
      <c r="AR7" s="13" t="n">
        <f aca="false">'3. Assumptions'!$B$17</f>
        <v>0.55</v>
      </c>
      <c r="AT7" s="13" t="n">
        <f aca="false">'3. Assumptions'!$B$17</f>
        <v>0.55</v>
      </c>
      <c r="AV7" s="13" t="n">
        <f aca="false">'3. Assumptions'!$B$17</f>
        <v>0.55</v>
      </c>
      <c r="AX7" s="13" t="n">
        <f aca="false">'3. Assumptions'!$B$17</f>
        <v>0.55</v>
      </c>
      <c r="AZ7" s="13" t="n">
        <f aca="false">'3. Assumptions'!$B$17</f>
        <v>0.55</v>
      </c>
    </row>
    <row r="8" customFormat="false" ht="15" hidden="false" customHeight="false" outlineLevel="0" collapsed="false">
      <c r="A8" s="20" t="s">
        <v>168</v>
      </c>
      <c r="B8" s="35" t="n">
        <f aca="false">'3. Assumptions'!$B$28</f>
        <v>0.0385</v>
      </c>
      <c r="D8" s="35" t="n">
        <f aca="false">'3. Assumptions'!$B$28+('10. Sensitivities'!$B$6)-'3. Assumptions'!$B$12</f>
        <v>0.0515</v>
      </c>
      <c r="F8" s="35" t="n">
        <f aca="false">'3. Assumptions'!$B$28+('10. Sensitivities'!$B$7)-'3. Assumptions'!$B$12</f>
        <v>0.0265</v>
      </c>
      <c r="H8" s="35" t="n">
        <f aca="false">'3. Assumptions'!$B$28</f>
        <v>0.0385</v>
      </c>
      <c r="J8" s="35" t="n">
        <f aca="false">'3. Assumptions'!$B$28</f>
        <v>0.0385</v>
      </c>
      <c r="L8" s="35" t="n">
        <f aca="false">'3. Assumptions'!$B$28+('11. Inversions'!$B$12)-'3. Assumptions'!$B$12</f>
        <v>0.3165</v>
      </c>
      <c r="N8" s="35" t="n">
        <f aca="false">'3. Assumptions'!$B$28+($N$5)-'3. Assumptions'!$B$12</f>
        <v>-0.0135</v>
      </c>
      <c r="P8" s="35" t="n">
        <f aca="false">'3. Assumptions'!$B$28+($P$5)-'3. Assumptions'!$B$12</f>
        <v>-0.0035</v>
      </c>
      <c r="R8" s="35" t="n">
        <f aca="false">'3. Assumptions'!$B$28+($R$5)-'3. Assumptions'!$B$12</f>
        <v>-0.00955350489850956</v>
      </c>
      <c r="T8" s="35" t="n">
        <f aca="false">'3. Assumptions'!$B$28+($T$5)-'3. Assumptions'!$B$12</f>
        <v>-0.00971770012049467</v>
      </c>
      <c r="V8" s="35" t="n">
        <f aca="false">'3. Assumptions'!$B$28+($V$5)-'3. Assumptions'!$B$12</f>
        <v>-0.00971110291421547</v>
      </c>
      <c r="X8" s="35" t="n">
        <f aca="false">'3. Assumptions'!$B$28+($X$5)-'3. Assumptions'!$B$12</f>
        <v>-0.0097111098515882</v>
      </c>
      <c r="Z8" s="35" t="n">
        <f aca="false">'3. Assumptions'!$B$28+($Z$5)-'3. Assumptions'!$B$12</f>
        <v>-0.00971110985189359</v>
      </c>
      <c r="AB8" s="35" t="n">
        <f aca="false">'3. Assumptions'!$B$28+($AB$5)-'3. Assumptions'!$B$12</f>
        <v>-0.00971110985189359</v>
      </c>
      <c r="AD8" s="35" t="n">
        <f aca="false">'3. Assumptions'!$B$28+($AD$5)-'3. Assumptions'!$B$12</f>
        <v>-0.00971110985189359</v>
      </c>
      <c r="AF8" s="35" t="n">
        <f aca="false">'3. Assumptions'!$B$28+($AF$5)-'3. Assumptions'!$B$12</f>
        <v>-0.00971110985189359</v>
      </c>
      <c r="AH8" s="35" t="n">
        <f aca="false">'3. Assumptions'!$B$28</f>
        <v>0.0385</v>
      </c>
      <c r="AJ8" s="35" t="n">
        <f aca="false">'3. Assumptions'!$B$28</f>
        <v>0.0385</v>
      </c>
      <c r="AL8" s="35" t="n">
        <f aca="false">'3. Assumptions'!$B$28</f>
        <v>0.0385</v>
      </c>
      <c r="AN8" s="35" t="n">
        <f aca="false">'3. Assumptions'!$B$28</f>
        <v>0.0385</v>
      </c>
      <c r="AP8" s="35" t="n">
        <f aca="false">'3. Assumptions'!$B$28</f>
        <v>0.0385</v>
      </c>
      <c r="AR8" s="35" t="n">
        <f aca="false">'3. Assumptions'!$B$28</f>
        <v>0.0385</v>
      </c>
      <c r="AT8" s="35" t="n">
        <f aca="false">'3. Assumptions'!$B$28</f>
        <v>0.0385</v>
      </c>
      <c r="AV8" s="35" t="n">
        <f aca="false">'3. Assumptions'!$B$28</f>
        <v>0.0385</v>
      </c>
      <c r="AX8" s="35" t="n">
        <f aca="false">'3. Assumptions'!$B$28</f>
        <v>0.0385</v>
      </c>
      <c r="AZ8" s="35" t="n">
        <f aca="false">'3. Assumptions'!$B$28</f>
        <v>0.0385</v>
      </c>
    </row>
    <row r="9" customFormat="false" ht="15" hidden="false" customHeight="false" outlineLevel="0" collapsed="false">
      <c r="A9" s="20" t="s">
        <v>169</v>
      </c>
      <c r="B9" s="35" t="n">
        <f aca="false">'3. Assumptions'!$B$29</f>
        <v>0.075</v>
      </c>
      <c r="D9" s="35" t="n">
        <f aca="false">'3. Assumptions'!$B$29+('10. Sensitivities'!$B$6)-'3. Assumptions'!$B$12</f>
        <v>0.088</v>
      </c>
      <c r="F9" s="35" t="n">
        <f aca="false">'3. Assumptions'!$B$29+('10. Sensitivities'!$B$7)-'3. Assumptions'!$B$12</f>
        <v>0.063</v>
      </c>
      <c r="H9" s="35" t="n">
        <f aca="false">'3. Assumptions'!$B$29</f>
        <v>0.075</v>
      </c>
      <c r="J9" s="35" t="n">
        <f aca="false">'3. Assumptions'!$B$29</f>
        <v>0.075</v>
      </c>
      <c r="L9" s="35" t="n">
        <f aca="false">'3. Assumptions'!$B$29+('11. Inversions'!$B$12)-'3. Assumptions'!$B$12</f>
        <v>0.353</v>
      </c>
      <c r="N9" s="35" t="n">
        <f aca="false">'3. Assumptions'!$B$29+($N$5)-'3. Assumptions'!$B$12</f>
        <v>0.023</v>
      </c>
      <c r="P9" s="35" t="n">
        <f aca="false">'3. Assumptions'!$B$29+($P$5)-'3. Assumptions'!$B$12</f>
        <v>0.033</v>
      </c>
      <c r="R9" s="35" t="n">
        <f aca="false">'3. Assumptions'!$B$29+($R$5)-'3. Assumptions'!$B$12</f>
        <v>0.0269464951014904</v>
      </c>
      <c r="T9" s="35" t="n">
        <f aca="false">'3. Assumptions'!$B$29+($T$5)-'3. Assumptions'!$B$12</f>
        <v>0.0267822998795053</v>
      </c>
      <c r="V9" s="35" t="n">
        <f aca="false">'3. Assumptions'!$B$29+($V$5)-'3. Assumptions'!$B$12</f>
        <v>0.0267888970857845</v>
      </c>
      <c r="X9" s="35" t="n">
        <f aca="false">'3. Assumptions'!$B$29+($X$5)-'3. Assumptions'!$B$12</f>
        <v>0.0267888901484118</v>
      </c>
      <c r="Z9" s="35" t="n">
        <f aca="false">'3. Assumptions'!$B$29+($Z$5)-'3. Assumptions'!$B$12</f>
        <v>0.0267888901481064</v>
      </c>
      <c r="AB9" s="35" t="n">
        <f aca="false">'3. Assumptions'!$B$29+($AB$5)-'3. Assumptions'!$B$12</f>
        <v>0.0267888901481064</v>
      </c>
      <c r="AD9" s="35" t="n">
        <f aca="false">'3. Assumptions'!$B$29+($AD$5)-'3. Assumptions'!$B$12</f>
        <v>0.0267888901481064</v>
      </c>
      <c r="AF9" s="35" t="n">
        <f aca="false">'3. Assumptions'!$B$29+($AF$5)-'3. Assumptions'!$B$12</f>
        <v>0.0267888901481064</v>
      </c>
      <c r="AH9" s="35" t="n">
        <f aca="false">'3. Assumptions'!$B$29</f>
        <v>0.075</v>
      </c>
      <c r="AJ9" s="35" t="n">
        <f aca="false">'3. Assumptions'!$B$29</f>
        <v>0.075</v>
      </c>
      <c r="AL9" s="35" t="n">
        <f aca="false">'3. Assumptions'!$B$29</f>
        <v>0.075</v>
      </c>
      <c r="AN9" s="35" t="n">
        <f aca="false">'3. Assumptions'!$B$29</f>
        <v>0.075</v>
      </c>
      <c r="AP9" s="35" t="n">
        <f aca="false">'3. Assumptions'!$B$29</f>
        <v>0.075</v>
      </c>
      <c r="AR9" s="35" t="n">
        <f aca="false">'3. Assumptions'!$B$29</f>
        <v>0.075</v>
      </c>
      <c r="AT9" s="35" t="n">
        <f aca="false">'3. Assumptions'!$B$29</f>
        <v>0.075</v>
      </c>
      <c r="AV9" s="35" t="n">
        <f aca="false">'3. Assumptions'!$B$29</f>
        <v>0.075</v>
      </c>
      <c r="AX9" s="35" t="n">
        <f aca="false">'3. Assumptions'!$B$29</f>
        <v>0.075</v>
      </c>
      <c r="AZ9" s="35" t="n">
        <f aca="false">'3. Assumptions'!$B$29</f>
        <v>0.075</v>
      </c>
    </row>
    <row r="10" customFormat="false" ht="15" hidden="false" customHeight="false" outlineLevel="0" collapsed="false">
      <c r="A10" s="20" t="s">
        <v>199</v>
      </c>
      <c r="B10" s="33" t="n">
        <f aca="false">(1-'3. Assumptions'!$B$15)*(($B$7)*SUMPRODUCT('2. The tape'!$C$5:$C$13*'2. The tape'!$D$5:$D$13*(1-'2. The tape'!$J$5:$J$13)^('3. Assumptions'!$B$9)*(1+$B$5)^('3. Assumptions'!$B$9)*((1-'3. Assumptions'!$B$13)/($B$6)-0.5*'3. Assumptions'!$B$16))+(1-($B$7))*SUMPRODUCT((('2. The tape'!$C$5:$C$13*'2. The tape'!$D$5:$D$13*(1-'2. The tape'!$J$5:$J$13)^('3. Assumptions'!$B$9)*(1+$B$5)^('3. Assumptions'!$B$9)*((1-'3. Assumptions'!$B$13)/($B$6)-'2. The tape'!$H$5:$H$13/12-'3. Assumptions'!$B$16)-'2. The tape'!$C$5:$C$13*'2. The tape'!$I$5:$I$13*(1+$B$5)^('3. Assumptions'!$B$9))&gt;0)*('2. The tape'!$C$5:$C$13*'2. The tape'!$D$5:$D$13*(1-'2. The tape'!$J$5:$J$13)^('3. Assumptions'!$B$9)*(1+$B$5)^('3. Assumptions'!$B$9)*((1-'3. Assumptions'!$B$13)/($B$6)-'2. The tape'!$H$5:$H$13/12-'3. Assumptions'!$B$16)-'2. The tape'!$C$5:$C$13*'2. The tape'!$I$5:$I$13*(1+$B$5)^('3. Assumptions'!$B$9))))</f>
        <v>93190959.6467624</v>
      </c>
      <c r="D10" s="33" t="n">
        <f aca="false">(1-'3. Assumptions'!$B$15)*(($D$7)*SUMPRODUCT('2. The tape'!$C$5:$C$13*'2. The tape'!$D$5:$D$13*(1-'2. The tape'!$J$5:$J$13)^('3. Assumptions'!$B$9)*(1+$D$5)^('3. Assumptions'!$B$9)*((1-'3. Assumptions'!$B$13)/($D$6)-0.5*'3. Assumptions'!$B$16))+(1-($D$7))*SUMPRODUCT((('2. The tape'!$C$5:$C$13*'2. The tape'!$D$5:$D$13*(1-'2. The tape'!$J$5:$J$13)^('3. Assumptions'!$B$9)*(1+$D$5)^('3. Assumptions'!$B$9)*((1-'3. Assumptions'!$B$13)/($D$6)-'2. The tape'!$H$5:$H$13/12-'3. Assumptions'!$B$16)-'2. The tape'!$C$5:$C$13*'2. The tape'!$I$5:$I$13*(1+$D$5)^('3. Assumptions'!$B$9))&gt;0)*('2. The tape'!$C$5:$C$13*'2. The tape'!$D$5:$D$13*(1-'2. The tape'!$J$5:$J$13)^('3. Assumptions'!$B$9)*(1+$D$5)^('3. Assumptions'!$B$9)*((1-'3. Assumptions'!$B$13)/($D$6)-'2. The tape'!$H$5:$H$13/12-'3. Assumptions'!$B$16)-'2. The tape'!$C$5:$C$13*'2. The tape'!$I$5:$I$13*(1+$D$5)^('3. Assumptions'!$B$9))))</f>
        <v>119994920.918236</v>
      </c>
      <c r="F10" s="33" t="n">
        <f aca="false">(1-'3. Assumptions'!$B$15)*(($F$7)*SUMPRODUCT('2. The tape'!$C$5:$C$13*'2. The tape'!$D$5:$D$13*(1-'2. The tape'!$J$5:$J$13)^('3. Assumptions'!$B$9)*(1+$F$5)^('3. Assumptions'!$B$9)*((1-'3. Assumptions'!$B$13)/($F$6)-0.5*'3. Assumptions'!$B$16))+(1-($F$7))*SUMPRODUCT((('2. The tape'!$C$5:$C$13*'2. The tape'!$D$5:$D$13*(1-'2. The tape'!$J$5:$J$13)^('3. Assumptions'!$B$9)*(1+$F$5)^('3. Assumptions'!$B$9)*((1-'3. Assumptions'!$B$13)/($F$6)-'2. The tape'!$H$5:$H$13/12-'3. Assumptions'!$B$16)-'2. The tape'!$C$5:$C$13*'2. The tape'!$I$5:$I$13*(1+$F$5)^('3. Assumptions'!$B$9))&gt;0)*('2. The tape'!$C$5:$C$13*'2. The tape'!$D$5:$D$13*(1-'2. The tape'!$J$5:$J$13)^('3. Assumptions'!$B$9)*(1+$F$5)^('3. Assumptions'!$B$9)*((1-'3. Assumptions'!$B$13)/($F$6)-'2. The tape'!$H$5:$H$13/12-'3. Assumptions'!$B$16)-'2. The tape'!$C$5:$C$13*'2. The tape'!$I$5:$I$13*(1+$F$5)^('3. Assumptions'!$B$9))))</f>
        <v>73583991.7677221</v>
      </c>
      <c r="H10" s="33" t="n">
        <f aca="false">(1-'3. Assumptions'!$B$15)*(($H$7)*SUMPRODUCT('2. The tape'!$C$5:$C$13*'2. The tape'!$D$5:$D$13*(1-'2. The tape'!$J$5:$J$13)^('3. Assumptions'!$B$9)*(1+$H$5)^('3. Assumptions'!$B$9)*((1-'3. Assumptions'!$B$13)/($H$6)-0.5*'3. Assumptions'!$B$16))+(1-($H$7))*SUMPRODUCT((('2. The tape'!$C$5:$C$13*'2. The tape'!$D$5:$D$13*(1-'2. The tape'!$J$5:$J$13)^('3. Assumptions'!$B$9)*(1+$H$5)^('3. Assumptions'!$B$9)*((1-'3. Assumptions'!$B$13)/($H$6)-'2. The tape'!$H$5:$H$13/12-'3. Assumptions'!$B$16)-'2. The tape'!$C$5:$C$13*'2. The tape'!$I$5:$I$13*(1+$H$5)^('3. Assumptions'!$B$9))&gt;0)*('2. The tape'!$C$5:$C$13*'2. The tape'!$D$5:$D$13*(1-'2. The tape'!$J$5:$J$13)^('3. Assumptions'!$B$9)*(1+$H$5)^('3. Assumptions'!$B$9)*((1-'3. Assumptions'!$B$13)/($H$6)-'2. The tape'!$H$5:$H$13/12-'3. Assumptions'!$B$16)-'2. The tape'!$C$5:$C$13*'2. The tape'!$I$5:$I$13*(1+$H$5)^('3. Assumptions'!$B$9))))</f>
        <v>119994920.918236</v>
      </c>
      <c r="J10" s="33" t="n">
        <f aca="false">(1-'3. Assumptions'!$B$15)*(($J$7)*SUMPRODUCT('2. The tape'!$C$5:$C$13*'2. The tape'!$D$5:$D$13*(1-'2. The tape'!$J$5:$J$13)^('3. Assumptions'!$B$9)*(1+$J$5)^('3. Assumptions'!$B$9)*((1-'3. Assumptions'!$B$13)/($J$6)-0.5*'3. Assumptions'!$B$16))+(1-($J$7))*SUMPRODUCT((('2. The tape'!$C$5:$C$13*'2. The tape'!$D$5:$D$13*(1-'2. The tape'!$J$5:$J$13)^('3. Assumptions'!$B$9)*(1+$J$5)^('3. Assumptions'!$B$9)*((1-'3. Assumptions'!$B$13)/($J$6)-'2. The tape'!$H$5:$H$13/12-'3. Assumptions'!$B$16)-'2. The tape'!$C$5:$C$13*'2. The tape'!$I$5:$I$13*(1+$J$5)^('3. Assumptions'!$B$9))&gt;0)*('2. The tape'!$C$5:$C$13*'2. The tape'!$D$5:$D$13*(1-'2. The tape'!$J$5:$J$13)^('3. Assumptions'!$B$9)*(1+$J$5)^('3. Assumptions'!$B$9)*((1-'3. Assumptions'!$B$13)/($J$6)-'2. The tape'!$H$5:$H$13/12-'3. Assumptions'!$B$16)-'2. The tape'!$C$5:$C$13*'2. The tape'!$I$5:$I$13*(1+$J$5)^('3. Assumptions'!$B$9))))</f>
        <v>79137001.7772479</v>
      </c>
      <c r="L10" s="33" t="n">
        <f aca="false">(1-'3. Assumptions'!$B$15)*(($L$7)*SUMPRODUCT('2. The tape'!$C$5:$C$13*'2. The tape'!$D$5:$D$13*(1-'2. The tape'!$J$5:$J$13)^('3. Assumptions'!$B$9)*(1+$L$5)^('3. Assumptions'!$B$9)*((1-'3. Assumptions'!$B$13)/($L$6)-0.5*'3. Assumptions'!$B$16))+(1-($L$7))*SUMPRODUCT((('2. The tape'!$C$5:$C$13*'2. The tape'!$D$5:$D$13*(1-'2. The tape'!$J$5:$J$13)^('3. Assumptions'!$B$9)*(1+$L$5)^('3. Assumptions'!$B$9)*((1-'3. Assumptions'!$B$13)/($L$6)-'2. The tape'!$H$5:$H$13/12-'3. Assumptions'!$B$16)-'2. The tape'!$C$5:$C$13*'2. The tape'!$I$5:$I$13*(1+$L$5)^('3. Assumptions'!$B$9))&gt;0)*('2. The tape'!$C$5:$C$13*'2. The tape'!$D$5:$D$13*(1-'2. The tape'!$J$5:$J$13)^('3. Assumptions'!$B$9)*(1+$L$5)^('3. Assumptions'!$B$9)*((1-'3. Assumptions'!$B$13)/($L$6)-'2. The tape'!$H$5:$H$13/12-'3. Assumptions'!$B$16)-'2. The tape'!$C$5:$C$13*'2. The tape'!$I$5:$I$13*(1+$L$5)^('3. Assumptions'!$B$9))))</f>
        <v>11461010598.1223</v>
      </c>
      <c r="N10" s="33" t="n">
        <f aca="false">(1-'3. Assumptions'!$B$15)*(($N$7)*SUMPRODUCT('2. The tape'!$C$5:$C$13*'2. The tape'!$D$5:$D$13*(1-'2. The tape'!$J$5:$J$13)^('3. Assumptions'!$B$9)*(1+$N$5)^('3. Assumptions'!$B$9)*((1-'3. Assumptions'!$B$13)/($N$6)-0.5*'3. Assumptions'!$B$16))+(1-($N$7))*SUMPRODUCT((('2. The tape'!$C$5:$C$13*'2. The tape'!$D$5:$D$13*(1-'2. The tape'!$J$5:$J$13)^('3. Assumptions'!$B$9)*(1+$N$5)^('3. Assumptions'!$B$9)*((1-'3. Assumptions'!$B$13)/($N$6)-'2. The tape'!$H$5:$H$13/12-'3. Assumptions'!$B$16)-'2. The tape'!$C$5:$C$13*'2. The tape'!$I$5:$I$13*(1+$N$5)^('3. Assumptions'!$B$9))&gt;0)*('2. The tape'!$C$5:$C$13*'2. The tape'!$D$5:$D$13*(1-'2. The tape'!$J$5:$J$13)^('3. Assumptions'!$B$9)*(1+$N$5)^('3. Assumptions'!$B$9)*((1-'3. Assumptions'!$B$13)/($N$6)-'2. The tape'!$H$5:$H$13/12-'3. Assumptions'!$B$16)-'2. The tape'!$C$5:$C$13*'2. The tape'!$I$5:$I$13*(1+$N$5)^('3. Assumptions'!$B$9))))</f>
        <v>32793710.1133541</v>
      </c>
      <c r="P10" s="33" t="n">
        <f aca="false">(1-'3. Assumptions'!$B$15)*(($P$7)*SUMPRODUCT('2. The tape'!$C$5:$C$13*'2. The tape'!$D$5:$D$13*(1-'2. The tape'!$J$5:$J$13)^('3. Assumptions'!$B$9)*(1+$P$5)^('3. Assumptions'!$B$9)*((1-'3. Assumptions'!$B$13)/($P$6)-0.5*'3. Assumptions'!$B$16))+(1-($P$7))*SUMPRODUCT((('2. The tape'!$C$5:$C$13*'2. The tape'!$D$5:$D$13*(1-'2. The tape'!$J$5:$J$13)^('3. Assumptions'!$B$9)*(1+$P$5)^('3. Assumptions'!$B$9)*((1-'3. Assumptions'!$B$13)/($P$6)-'2. The tape'!$H$5:$H$13/12-'3. Assumptions'!$B$16)-'2. The tape'!$C$5:$C$13*'2. The tape'!$I$5:$I$13*(1+$P$5)^('3. Assumptions'!$B$9))&gt;0)*('2. The tape'!$C$5:$C$13*'2. The tape'!$D$5:$D$13*(1-'2. The tape'!$J$5:$J$13)^('3. Assumptions'!$B$9)*(1+$P$5)^('3. Assumptions'!$B$9)*((1-'3. Assumptions'!$B$13)/($P$6)-'2. The tape'!$H$5:$H$13/12-'3. Assumptions'!$B$16)-'2. The tape'!$C$5:$C$13*'2. The tape'!$I$5:$I$13*(1+$P$5)^('3. Assumptions'!$B$9))))</f>
        <v>40260334.7752186</v>
      </c>
      <c r="R10" s="33" t="n">
        <f aca="false">(1-'3. Assumptions'!$B$15)*(($R$7)*SUMPRODUCT('2. The tape'!$C$5:$C$13*'2. The tape'!$D$5:$D$13*(1-'2. The tape'!$J$5:$J$13)^('3. Assumptions'!$B$9)*(1+$R$5)^('3. Assumptions'!$B$9)*((1-'3. Assumptions'!$B$13)/($R$6)-0.5*'3. Assumptions'!$B$16))+(1-($R$7))*SUMPRODUCT((('2. The tape'!$C$5:$C$13*'2. The tape'!$D$5:$D$13*(1-'2. The tape'!$J$5:$J$13)^('3. Assumptions'!$B$9)*(1+$R$5)^('3. Assumptions'!$B$9)*((1-'3. Assumptions'!$B$13)/($R$6)-'2. The tape'!$H$5:$H$13/12-'3. Assumptions'!$B$16)-'2. The tape'!$C$5:$C$13*'2. The tape'!$I$5:$I$13*(1+$R$5)^('3. Assumptions'!$B$9))&gt;0)*('2. The tape'!$C$5:$C$13*'2. The tape'!$D$5:$D$13*(1-'2. The tape'!$J$5:$J$13)^('3. Assumptions'!$B$9)*(1+$R$5)^('3. Assumptions'!$B$9)*((1-'3. Assumptions'!$B$13)/($R$6)-'2. The tape'!$H$5:$H$13/12-'3. Assumptions'!$B$16)-'2. The tape'!$C$5:$C$13*'2. The tape'!$I$5:$I$13*(1+$R$5)^('3. Assumptions'!$B$9))))</f>
        <v>35567869.2683854</v>
      </c>
      <c r="T10" s="33" t="n">
        <f aca="false">(1-'3. Assumptions'!$B$15)*(($T$7)*SUMPRODUCT('2. The tape'!$C$5:$C$13*'2. The tape'!$D$5:$D$13*(1-'2. The tape'!$J$5:$J$13)^('3. Assumptions'!$B$9)*(1+$T$5)^('3. Assumptions'!$B$9)*((1-'3. Assumptions'!$B$13)/($T$6)-0.5*'3. Assumptions'!$B$16))+(1-($T$7))*SUMPRODUCT((('2. The tape'!$C$5:$C$13*'2. The tape'!$D$5:$D$13*(1-'2. The tape'!$J$5:$J$13)^('3. Assumptions'!$B$9)*(1+$T$5)^('3. Assumptions'!$B$9)*((1-'3. Assumptions'!$B$13)/($T$6)-'2. The tape'!$H$5:$H$13/12-'3. Assumptions'!$B$16)-'2. The tape'!$C$5:$C$13*'2. The tape'!$I$5:$I$13*(1+$T$5)^('3. Assumptions'!$B$9))&gt;0)*('2. The tape'!$C$5:$C$13*'2. The tape'!$D$5:$D$13*(1-'2. The tape'!$J$5:$J$13)^('3. Assumptions'!$B$9)*(1+$T$5)^('3. Assumptions'!$B$9)*((1-'3. Assumptions'!$B$13)/($T$6)-'2. The tape'!$H$5:$H$13/12-'3. Assumptions'!$B$16)-'2. The tape'!$C$5:$C$13*'2. The tape'!$I$5:$I$13*(1+$T$5)^('3. Assumptions'!$B$9))))</f>
        <v>35448135.1696549</v>
      </c>
      <c r="V10" s="33" t="n">
        <f aca="false">(1-'3. Assumptions'!$B$15)*(($V$7)*SUMPRODUCT('2. The tape'!$C$5:$C$13*'2. The tape'!$D$5:$D$13*(1-'2. The tape'!$J$5:$J$13)^('3. Assumptions'!$B$9)*(1+$V$5)^('3. Assumptions'!$B$9)*((1-'3. Assumptions'!$B$13)/($V$6)-0.5*'3. Assumptions'!$B$16))+(1-($V$7))*SUMPRODUCT((('2. The tape'!$C$5:$C$13*'2. The tape'!$D$5:$D$13*(1-'2. The tape'!$J$5:$J$13)^('3. Assumptions'!$B$9)*(1+$V$5)^('3. Assumptions'!$B$9)*((1-'3. Assumptions'!$B$13)/($V$6)-'2. The tape'!$H$5:$H$13/12-'3. Assumptions'!$B$16)-'2. The tape'!$C$5:$C$13*'2. The tape'!$I$5:$I$13*(1+$V$5)^('3. Assumptions'!$B$9))&gt;0)*('2. The tape'!$C$5:$C$13*'2. The tape'!$D$5:$D$13*(1-'2. The tape'!$J$5:$J$13)^('3. Assumptions'!$B$9)*(1+$V$5)^('3. Assumptions'!$B$9)*((1-'3. Assumptions'!$B$13)/($V$6)-'2. The tape'!$H$5:$H$13/12-'3. Assumptions'!$B$16)-'2. The tape'!$C$5:$C$13*'2. The tape'!$I$5:$I$13*(1+$V$5)^('3. Assumptions'!$B$9))))</f>
        <v>35452938.5782178</v>
      </c>
      <c r="X10" s="33" t="n">
        <f aca="false">(1-'3. Assumptions'!$B$15)*(($X$7)*SUMPRODUCT('2. The tape'!$C$5:$C$13*'2. The tape'!$D$5:$D$13*(1-'2. The tape'!$J$5:$J$13)^('3. Assumptions'!$B$9)*(1+$X$5)^('3. Assumptions'!$B$9)*((1-'3. Assumptions'!$B$13)/($X$6)-0.5*'3. Assumptions'!$B$16))+(1-($X$7))*SUMPRODUCT((('2. The tape'!$C$5:$C$13*'2. The tape'!$D$5:$D$13*(1-'2. The tape'!$J$5:$J$13)^('3. Assumptions'!$B$9)*(1+$X$5)^('3. Assumptions'!$B$9)*((1-'3. Assumptions'!$B$13)/($X$6)-'2. The tape'!$H$5:$H$13/12-'3. Assumptions'!$B$16)-'2. The tape'!$C$5:$C$13*'2. The tape'!$I$5:$I$13*(1+$X$5)^('3. Assumptions'!$B$9))&gt;0)*('2. The tape'!$C$5:$C$13*'2. The tape'!$D$5:$D$13*(1-'2. The tape'!$J$5:$J$13)^('3. Assumptions'!$B$9)*(1+$X$5)^('3. Assumptions'!$B$9)*((1-'3. Assumptions'!$B$13)/($X$6)-'2. The tape'!$H$5:$H$13/12-'3. Assumptions'!$B$16)-'2. The tape'!$C$5:$C$13*'2. The tape'!$I$5:$I$13*(1+$X$5)^('3. Assumptions'!$B$9))))</f>
        <v>35452933.5268101</v>
      </c>
      <c r="Z10" s="33" t="n">
        <f aca="false">(1-'3. Assumptions'!$B$15)*(($Z$7)*SUMPRODUCT('2. The tape'!$C$5:$C$13*'2. The tape'!$D$5:$D$13*(1-'2. The tape'!$J$5:$J$13)^('3. Assumptions'!$B$9)*(1+$Z$5)^('3. Assumptions'!$B$9)*((1-'3. Assumptions'!$B$13)/($Z$6)-0.5*'3. Assumptions'!$B$16))+(1-($Z$7))*SUMPRODUCT((('2. The tape'!$C$5:$C$13*'2. The tape'!$D$5:$D$13*(1-'2. The tape'!$J$5:$J$13)^('3. Assumptions'!$B$9)*(1+$Z$5)^('3. Assumptions'!$B$9)*((1-'3. Assumptions'!$B$13)/($Z$6)-'2. The tape'!$H$5:$H$13/12-'3. Assumptions'!$B$16)-'2. The tape'!$C$5:$C$13*'2. The tape'!$I$5:$I$13*(1+$Z$5)^('3. Assumptions'!$B$9))&gt;0)*('2. The tape'!$C$5:$C$13*'2. The tape'!$D$5:$D$13*(1-'2. The tape'!$J$5:$J$13)^('3. Assumptions'!$B$9)*(1+$Z$5)^('3. Assumptions'!$B$9)*((1-'3. Assumptions'!$B$13)/($Z$6)-'2. The tape'!$H$5:$H$13/12-'3. Assumptions'!$B$16)-'2. The tape'!$C$5:$C$13*'2. The tape'!$I$5:$I$13*(1+$Z$5)^('3. Assumptions'!$B$9))))</f>
        <v>35452933.5265878</v>
      </c>
      <c r="AB10" s="33" t="n">
        <f aca="false">(1-'3. Assumptions'!$B$15)*(($AB$7)*SUMPRODUCT('2. The tape'!$C$5:$C$13*'2. The tape'!$D$5:$D$13*(1-'2. The tape'!$J$5:$J$13)^('3. Assumptions'!$B$9)*(1+$AB$5)^('3. Assumptions'!$B$9)*((1-'3. Assumptions'!$B$13)/($AB$6)-0.5*'3. Assumptions'!$B$16))+(1-($AB$7))*SUMPRODUCT((('2. The tape'!$C$5:$C$13*'2. The tape'!$D$5:$D$13*(1-'2. The tape'!$J$5:$J$13)^('3. Assumptions'!$B$9)*(1+$AB$5)^('3. Assumptions'!$B$9)*((1-'3. Assumptions'!$B$13)/($AB$6)-'2. The tape'!$H$5:$H$13/12-'3. Assumptions'!$B$16)-'2. The tape'!$C$5:$C$13*'2. The tape'!$I$5:$I$13*(1+$AB$5)^('3. Assumptions'!$B$9))&gt;0)*('2. The tape'!$C$5:$C$13*'2. The tape'!$D$5:$D$13*(1-'2. The tape'!$J$5:$J$13)^('3. Assumptions'!$B$9)*(1+$AB$5)^('3. Assumptions'!$B$9)*((1-'3. Assumptions'!$B$13)/($AB$6)-'2. The tape'!$H$5:$H$13/12-'3. Assumptions'!$B$16)-'2. The tape'!$C$5:$C$13*'2. The tape'!$I$5:$I$13*(1+$AB$5)^('3. Assumptions'!$B$9))))</f>
        <v>35452933.5265878</v>
      </c>
      <c r="AD10" s="33" t="n">
        <f aca="false">(1-'3. Assumptions'!$B$15)*(($AD$7)*SUMPRODUCT('2. The tape'!$C$5:$C$13*'2. The tape'!$D$5:$D$13*(1-'2. The tape'!$J$5:$J$13)^('3. Assumptions'!$B$9)*(1+$AD$5)^('3. Assumptions'!$B$9)*((1-'3. Assumptions'!$B$13)/($AD$6)-0.5*'3. Assumptions'!$B$16))+(1-($AD$7))*SUMPRODUCT((('2. The tape'!$C$5:$C$13*'2. The tape'!$D$5:$D$13*(1-'2. The tape'!$J$5:$J$13)^('3. Assumptions'!$B$9)*(1+$AD$5)^('3. Assumptions'!$B$9)*((1-'3. Assumptions'!$B$13)/($AD$6)-'2. The tape'!$H$5:$H$13/12-'3. Assumptions'!$B$16)-'2. The tape'!$C$5:$C$13*'2. The tape'!$I$5:$I$13*(1+$AD$5)^('3. Assumptions'!$B$9))&gt;0)*('2. The tape'!$C$5:$C$13*'2. The tape'!$D$5:$D$13*(1-'2. The tape'!$J$5:$J$13)^('3. Assumptions'!$B$9)*(1+$AD$5)^('3. Assumptions'!$B$9)*((1-'3. Assumptions'!$B$13)/($AD$6)-'2. The tape'!$H$5:$H$13/12-'3. Assumptions'!$B$16)-'2. The tape'!$C$5:$C$13*'2. The tape'!$I$5:$I$13*(1+$AD$5)^('3. Assumptions'!$B$9))))</f>
        <v>35452933.5265878</v>
      </c>
      <c r="AF10" s="33" t="n">
        <f aca="false">(1-'3. Assumptions'!$B$15)*(($AF$7)*SUMPRODUCT('2. The tape'!$C$5:$C$13*'2. The tape'!$D$5:$D$13*(1-'2. The tape'!$J$5:$J$13)^('3. Assumptions'!$B$9)*(1+$AF$5)^('3. Assumptions'!$B$9)*((1-'3. Assumptions'!$B$13)/($AF$6)-0.5*'3. Assumptions'!$B$16))+(1-($AF$7))*SUMPRODUCT((('2. The tape'!$C$5:$C$13*'2. The tape'!$D$5:$D$13*(1-'2. The tape'!$J$5:$J$13)^('3. Assumptions'!$B$9)*(1+$AF$5)^('3. Assumptions'!$B$9)*((1-'3. Assumptions'!$B$13)/($AF$6)-'2. The tape'!$H$5:$H$13/12-'3. Assumptions'!$B$16)-'2. The tape'!$C$5:$C$13*'2. The tape'!$I$5:$I$13*(1+$AF$5)^('3. Assumptions'!$B$9))&gt;0)*('2. The tape'!$C$5:$C$13*'2. The tape'!$D$5:$D$13*(1-'2. The tape'!$J$5:$J$13)^('3. Assumptions'!$B$9)*(1+$AF$5)^('3. Assumptions'!$B$9)*((1-'3. Assumptions'!$B$13)/($AF$6)-'2. The tape'!$H$5:$H$13/12-'3. Assumptions'!$B$16)-'2. The tape'!$C$5:$C$13*'2. The tape'!$I$5:$I$13*(1+$AF$5)^('3. Assumptions'!$B$9))))</f>
        <v>35452933.5265878</v>
      </c>
      <c r="AH10" s="33" t="n">
        <f aca="false">(1-'3. Assumptions'!$B$15)*(($AH$7)*SUMPRODUCT('2. The tape'!$C$5:$C$13*'2. The tape'!$D$5:$D$13*(1-'2. The tape'!$J$5:$J$13)^('3. Assumptions'!$B$9)*(1+$AH$5)^('3. Assumptions'!$B$9)*((1-'3. Assumptions'!$B$13)/($AH$6)-0.5*'3. Assumptions'!$B$16))+(1-($AH$7))*SUMPRODUCT((('2. The tape'!$C$5:$C$13*'2. The tape'!$D$5:$D$13*(1-'2. The tape'!$J$5:$J$13)^('3. Assumptions'!$B$9)*(1+$AH$5)^('3. Assumptions'!$B$9)*((1-'3. Assumptions'!$B$13)/($AH$6)-'2. The tape'!$H$5:$H$13/12-'3. Assumptions'!$B$16)-'2. The tape'!$C$5:$C$13*'2. The tape'!$I$5:$I$13*(1+$AH$5)^('3. Assumptions'!$B$9))&gt;0)*('2. The tape'!$C$5:$C$13*'2. The tape'!$D$5:$D$13*(1-'2. The tape'!$J$5:$J$13)^('3. Assumptions'!$B$9)*(1+$AH$5)^('3. Assumptions'!$B$9)*((1-'3. Assumptions'!$B$13)/($AH$6)-'2. The tape'!$H$5:$H$13/12-'3. Assumptions'!$B$16)-'2. The tape'!$C$5:$C$13*'2. The tape'!$I$5:$I$13*(1+$AH$5)^('3. Assumptions'!$B$9))))</f>
        <v>169925569.614311</v>
      </c>
      <c r="AJ10" s="33" t="n">
        <f aca="false">(1-'3. Assumptions'!$B$15)*(($AJ$7)*SUMPRODUCT('2. The tape'!$C$5:$C$13*'2. The tape'!$D$5:$D$13*(1-'2. The tape'!$J$5:$J$13)^('3. Assumptions'!$B$9)*(1+$AJ$5)^('3. Assumptions'!$B$9)*((1-'3. Assumptions'!$B$13)/($AJ$6)-0.5*'3. Assumptions'!$B$16))+(1-($AJ$7))*SUMPRODUCT((('2. The tape'!$C$5:$C$13*'2. The tape'!$D$5:$D$13*(1-'2. The tape'!$J$5:$J$13)^('3. Assumptions'!$B$9)*(1+$AJ$5)^('3. Assumptions'!$B$9)*((1-'3. Assumptions'!$B$13)/($AJ$6)-'2. The tape'!$H$5:$H$13/12-'3. Assumptions'!$B$16)-'2. The tape'!$C$5:$C$13*'2. The tape'!$I$5:$I$13*(1+$AJ$5)^('3. Assumptions'!$B$9))&gt;0)*('2. The tape'!$C$5:$C$13*'2. The tape'!$D$5:$D$13*(1-'2. The tape'!$J$5:$J$13)^('3. Assumptions'!$B$9)*(1+$AJ$5)^('3. Assumptions'!$B$9)*((1-'3. Assumptions'!$B$13)/($AJ$6)-'2. The tape'!$H$5:$H$13/12-'3. Assumptions'!$B$16)-'2. The tape'!$C$5:$C$13*'2. The tape'!$I$5:$I$13*(1+$AJ$5)^('3. Assumptions'!$B$9))))</f>
        <v>126920458.533597</v>
      </c>
      <c r="AL10" s="33" t="n">
        <f aca="false">(1-'3. Assumptions'!$B$15)*(($AL$7)*SUMPRODUCT('2. The tape'!$C$5:$C$13*'2. The tape'!$D$5:$D$13*(1-'2. The tape'!$J$5:$J$13)^('3. Assumptions'!$B$9)*(1+$AL$5)^('3. Assumptions'!$B$9)*((1-'3. Assumptions'!$B$13)/($AL$6)-0.5*'3. Assumptions'!$B$16))+(1-($AL$7))*SUMPRODUCT((('2. The tape'!$C$5:$C$13*'2. The tape'!$D$5:$D$13*(1-'2. The tape'!$J$5:$J$13)^('3. Assumptions'!$B$9)*(1+$AL$5)^('3. Assumptions'!$B$9)*((1-'3. Assumptions'!$B$13)/($AL$6)-'2. The tape'!$H$5:$H$13/12-'3. Assumptions'!$B$16)-'2. The tape'!$C$5:$C$13*'2. The tape'!$I$5:$I$13*(1+$AL$5)^('3. Assumptions'!$B$9))&gt;0)*('2. The tape'!$C$5:$C$13*'2. The tape'!$D$5:$D$13*(1-'2. The tape'!$J$5:$J$13)^('3. Assumptions'!$B$9)*(1+$AL$5)^('3. Assumptions'!$B$9)*((1-'3. Assumptions'!$B$13)/($AL$6)-'2. The tape'!$H$5:$H$13/12-'3. Assumptions'!$B$16)-'2. The tape'!$C$5:$C$13*'2. The tape'!$I$5:$I$13*(1+$AL$5)^('3. Assumptions'!$B$9))))</f>
        <v>143599709.180657</v>
      </c>
      <c r="AN10" s="33" t="n">
        <f aca="false">(1-'3. Assumptions'!$B$15)*(($AN$7)*SUMPRODUCT('2. The tape'!$C$5:$C$13*'2. The tape'!$D$5:$D$13*(1-'2. The tape'!$J$5:$J$13)^('3. Assumptions'!$B$9)*(1+$AN$5)^('3. Assumptions'!$B$9)*((1-'3. Assumptions'!$B$13)/($AN$6)-0.5*'3. Assumptions'!$B$16))+(1-($AN$7))*SUMPRODUCT((('2. The tape'!$C$5:$C$13*'2. The tape'!$D$5:$D$13*(1-'2. The tape'!$J$5:$J$13)^('3. Assumptions'!$B$9)*(1+$AN$5)^('3. Assumptions'!$B$9)*((1-'3. Assumptions'!$B$13)/($AN$6)-'2. The tape'!$H$5:$H$13/12-'3. Assumptions'!$B$16)-'2. The tape'!$C$5:$C$13*'2. The tape'!$I$5:$I$13*(1+$AN$5)^('3. Assumptions'!$B$9))&gt;0)*('2. The tape'!$C$5:$C$13*'2. The tape'!$D$5:$D$13*(1-'2. The tape'!$J$5:$J$13)^('3. Assumptions'!$B$9)*(1+$AN$5)^('3. Assumptions'!$B$9)*((1-'3. Assumptions'!$B$13)/($AN$6)-'2. The tape'!$H$5:$H$13/12-'3. Assumptions'!$B$16)-'2. The tape'!$C$5:$C$13*'2. The tape'!$I$5:$I$13*(1+$AN$5)^('3. Assumptions'!$B$9))))</f>
        <v>146722577.107552</v>
      </c>
      <c r="AP10" s="33" t="n">
        <f aca="false">(1-'3. Assumptions'!$B$15)*(($AP$7)*SUMPRODUCT('2. The tape'!$C$5:$C$13*'2. The tape'!$D$5:$D$13*(1-'2. The tape'!$J$5:$J$13)^('3. Assumptions'!$B$9)*(1+$AP$5)^('3. Assumptions'!$B$9)*((1-'3. Assumptions'!$B$13)/($AP$6)-0.5*'3. Assumptions'!$B$16))+(1-($AP$7))*SUMPRODUCT((('2. The tape'!$C$5:$C$13*'2. The tape'!$D$5:$D$13*(1-'2. The tape'!$J$5:$J$13)^('3. Assumptions'!$B$9)*(1+$AP$5)^('3. Assumptions'!$B$9)*((1-'3. Assumptions'!$B$13)/($AP$6)-'2. The tape'!$H$5:$H$13/12-'3. Assumptions'!$B$16)-'2. The tape'!$C$5:$C$13*'2. The tape'!$I$5:$I$13*(1+$AP$5)^('3. Assumptions'!$B$9))&gt;0)*('2. The tape'!$C$5:$C$13*'2. The tape'!$D$5:$D$13*(1-'2. The tape'!$J$5:$J$13)^('3. Assumptions'!$B$9)*(1+$AP$5)^('3. Assumptions'!$B$9)*((1-'3. Assumptions'!$B$13)/($AP$6)-'2. The tape'!$H$5:$H$13/12-'3. Assumptions'!$B$16)-'2. The tape'!$C$5:$C$13*'2. The tape'!$I$5:$I$13*(1+$AP$5)^('3. Assumptions'!$B$9))))</f>
        <v>146337065.470219</v>
      </c>
      <c r="AR10" s="33" t="n">
        <f aca="false">(1-'3. Assumptions'!$B$15)*(($AR$7)*SUMPRODUCT('2. The tape'!$C$5:$C$13*'2. The tape'!$D$5:$D$13*(1-'2. The tape'!$J$5:$J$13)^('3. Assumptions'!$B$9)*(1+$AR$5)^('3. Assumptions'!$B$9)*((1-'3. Assumptions'!$B$13)/($AR$6)-0.5*'3. Assumptions'!$B$16))+(1-($AR$7))*SUMPRODUCT((('2. The tape'!$C$5:$C$13*'2. The tape'!$D$5:$D$13*(1-'2. The tape'!$J$5:$J$13)^('3. Assumptions'!$B$9)*(1+$AR$5)^('3. Assumptions'!$B$9)*((1-'3. Assumptions'!$B$13)/($AR$6)-'2. The tape'!$H$5:$H$13/12-'3. Assumptions'!$B$16)-'2. The tape'!$C$5:$C$13*'2. The tape'!$I$5:$I$13*(1+$AR$5)^('3. Assumptions'!$B$9))&gt;0)*('2. The tape'!$C$5:$C$13*'2. The tape'!$D$5:$D$13*(1-'2. The tape'!$J$5:$J$13)^('3. Assumptions'!$B$9)*(1+$AR$5)^('3. Assumptions'!$B$9)*((1-'3. Assumptions'!$B$13)/($AR$6)-'2. The tape'!$H$5:$H$13/12-'3. Assumptions'!$B$16)-'2. The tape'!$C$5:$C$13*'2. The tape'!$I$5:$I$13*(1+$AR$5)^('3. Assumptions'!$B$9))))</f>
        <v>146343533.803307</v>
      </c>
      <c r="AT10" s="33" t="n">
        <f aca="false">(1-'3. Assumptions'!$B$15)*(($AT$7)*SUMPRODUCT('2. The tape'!$C$5:$C$13*'2. The tape'!$D$5:$D$13*(1-'2. The tape'!$J$5:$J$13)^('3. Assumptions'!$B$9)*(1+$AT$5)^('3. Assumptions'!$B$9)*((1-'3. Assumptions'!$B$13)/($AT$6)-0.5*'3. Assumptions'!$B$16))+(1-($AT$7))*SUMPRODUCT((('2. The tape'!$C$5:$C$13*'2. The tape'!$D$5:$D$13*(1-'2. The tape'!$J$5:$J$13)^('3. Assumptions'!$B$9)*(1+$AT$5)^('3. Assumptions'!$B$9)*((1-'3. Assumptions'!$B$13)/($AT$6)-'2. The tape'!$H$5:$H$13/12-'3. Assumptions'!$B$16)-'2. The tape'!$C$5:$C$13*'2. The tape'!$I$5:$I$13*(1+$AT$5)^('3. Assumptions'!$B$9))&gt;0)*('2. The tape'!$C$5:$C$13*'2. The tape'!$D$5:$D$13*(1-'2. The tape'!$J$5:$J$13)^('3. Assumptions'!$B$9)*(1+$AT$5)^('3. Assumptions'!$B$9)*((1-'3. Assumptions'!$B$13)/($AT$6)-'2. The tape'!$H$5:$H$13/12-'3. Assumptions'!$B$16)-'2. The tape'!$C$5:$C$13*'2. The tape'!$I$5:$I$13*(1+$AT$5)^('3. Assumptions'!$B$9))))</f>
        <v>146343548.866427</v>
      </c>
      <c r="AV10" s="33" t="n">
        <f aca="false">(1-'3. Assumptions'!$B$15)*(($AV$7)*SUMPRODUCT('2. The tape'!$C$5:$C$13*'2. The tape'!$D$5:$D$13*(1-'2. The tape'!$J$5:$J$13)^('3. Assumptions'!$B$9)*(1+$AV$5)^('3. Assumptions'!$B$9)*((1-'3. Assumptions'!$B$13)/($AV$6)-0.5*'3. Assumptions'!$B$16))+(1-($AV$7))*SUMPRODUCT((('2. The tape'!$C$5:$C$13*'2. The tape'!$D$5:$D$13*(1-'2. The tape'!$J$5:$J$13)^('3. Assumptions'!$B$9)*(1+$AV$5)^('3. Assumptions'!$B$9)*((1-'3. Assumptions'!$B$13)/($AV$6)-'2. The tape'!$H$5:$H$13/12-'3. Assumptions'!$B$16)-'2. The tape'!$C$5:$C$13*'2. The tape'!$I$5:$I$13*(1+$AV$5)^('3. Assumptions'!$B$9))&gt;0)*('2. The tape'!$C$5:$C$13*'2. The tape'!$D$5:$D$13*(1-'2. The tape'!$J$5:$J$13)^('3. Assumptions'!$B$9)*(1+$AV$5)^('3. Assumptions'!$B$9)*((1-'3. Assumptions'!$B$13)/($AV$6)-'2. The tape'!$H$5:$H$13/12-'3. Assumptions'!$B$16)-'2. The tape'!$C$5:$C$13*'2. The tape'!$I$5:$I$13*(1+$AV$5)^('3. Assumptions'!$B$9))))</f>
        <v>146343548.865827</v>
      </c>
      <c r="AX10" s="33" t="n">
        <f aca="false">(1-'3. Assumptions'!$B$15)*(($AX$7)*SUMPRODUCT('2. The tape'!$C$5:$C$13*'2. The tape'!$D$5:$D$13*(1-'2. The tape'!$J$5:$J$13)^('3. Assumptions'!$B$9)*(1+$AX$5)^('3. Assumptions'!$B$9)*((1-'3. Assumptions'!$B$13)/($AX$6)-0.5*'3. Assumptions'!$B$16))+(1-($AX$7))*SUMPRODUCT((('2. The tape'!$C$5:$C$13*'2. The tape'!$D$5:$D$13*(1-'2. The tape'!$J$5:$J$13)^('3. Assumptions'!$B$9)*(1+$AX$5)^('3. Assumptions'!$B$9)*((1-'3. Assumptions'!$B$13)/($AX$6)-'2. The tape'!$H$5:$H$13/12-'3. Assumptions'!$B$16)-'2. The tape'!$C$5:$C$13*'2. The tape'!$I$5:$I$13*(1+$AX$5)^('3. Assumptions'!$B$9))&gt;0)*('2. The tape'!$C$5:$C$13*'2. The tape'!$D$5:$D$13*(1-'2. The tape'!$J$5:$J$13)^('3. Assumptions'!$B$9)*(1+$AX$5)^('3. Assumptions'!$B$9)*((1-'3. Assumptions'!$B$13)/($AX$6)-'2. The tape'!$H$5:$H$13/12-'3. Assumptions'!$B$16)-'2. The tape'!$C$5:$C$13*'2. The tape'!$I$5:$I$13*(1+$AX$5)^('3. Assumptions'!$B$9))))</f>
        <v>146343548.865827</v>
      </c>
      <c r="AZ10" s="33" t="n">
        <f aca="false">(1-'3. Assumptions'!$B$15)*(($AZ$7)*SUMPRODUCT('2. The tape'!$C$5:$C$13*'2. The tape'!$D$5:$D$13*(1-'2. The tape'!$J$5:$J$13)^('3. Assumptions'!$B$9)*(1+$AZ$5)^('3. Assumptions'!$B$9)*((1-'3. Assumptions'!$B$13)/($AZ$6)-0.5*'3. Assumptions'!$B$16))+(1-($AZ$7))*SUMPRODUCT((('2. The tape'!$C$5:$C$13*'2. The tape'!$D$5:$D$13*(1-'2. The tape'!$J$5:$J$13)^('3. Assumptions'!$B$9)*(1+$AZ$5)^('3. Assumptions'!$B$9)*((1-'3. Assumptions'!$B$13)/($AZ$6)-'2. The tape'!$H$5:$H$13/12-'3. Assumptions'!$B$16)-'2. The tape'!$C$5:$C$13*'2. The tape'!$I$5:$I$13*(1+$AZ$5)^('3. Assumptions'!$B$9))&gt;0)*('2. The tape'!$C$5:$C$13*'2. The tape'!$D$5:$D$13*(1-'2. The tape'!$J$5:$J$13)^('3. Assumptions'!$B$9)*(1+$AZ$5)^('3. Assumptions'!$B$9)*((1-'3. Assumptions'!$B$13)/($AZ$6)-'2. The tape'!$H$5:$H$13/12-'3. Assumptions'!$B$16)-'2. The tape'!$C$5:$C$13*'2. The tape'!$I$5:$I$13*(1+$AZ$5)^('3. Assumptions'!$B$9))))</f>
        <v>146343548.865827</v>
      </c>
    </row>
    <row r="11" customFormat="false" ht="15" hidden="false" customHeight="false" outlineLevel="0" collapsed="false">
      <c r="A11" s="20" t="s">
        <v>56</v>
      </c>
      <c r="B11" s="33" t="n">
        <f aca="false">(SUMPRODUCT((1-($B$4))^('14. Scenario engine'!$A$16:$A$95/4)*'14. Scenario engine'!$B$16:$B$95/(1+($B$8))^('14. Scenario engine'!$A$16:$A$95/4))+SUMPRODUCT((1-($B$4))^(('14. Scenario engine'!$A$16:$A$95-1)/4)*(1-(1-($B$4))^0.25)*'14. Scenario engine'!$C$16:$C$95/(1+($B$9))^('14. Scenario engine'!$A$16:$A$95/4))+(1-($B$4))^'3. Assumptions'!$B$9*'14. Scenario engine'!$B$10/(1+($B$9))^'3. Assumptions'!$B$9)/(1+'3. Assumptions'!$B$14)</f>
        <v>152990676.905815</v>
      </c>
      <c r="D11" s="33" t="n">
        <f aca="false">(SUMPRODUCT((1-($D$4))^('14. Scenario engine'!$A$16:$A$95/4)*'14. Scenario engine'!$D$16:$D$95/(1+($D$8))^('14. Scenario engine'!$A$16:$A$95/4))+SUMPRODUCT((1-($D$4))^(('14. Scenario engine'!$A$16:$A$95-1)/4)*(1-(1-($D$4))^0.25)*'14. Scenario engine'!$E$16:$E$95/(1+($D$9))^('14. Scenario engine'!$A$16:$A$95/4))+(1-($D$4))^'3. Assumptions'!$B$9*'14. Scenario engine'!$D$10/(1+($D$9))^'3. Assumptions'!$B$9)/(1+'3. Assumptions'!$B$14)</f>
        <v>148851006.001461</v>
      </c>
      <c r="F11" s="33" t="n">
        <f aca="false">(SUMPRODUCT((1-($F$4))^('14. Scenario engine'!$A$16:$A$95/4)*'14. Scenario engine'!$F$16:$F$95/(1+($F$8))^('14. Scenario engine'!$A$16:$A$95/4))+SUMPRODUCT((1-($F$4))^(('14. Scenario engine'!$A$16:$A$95-1)/4)*(1-(1-($F$4))^0.25)*'14. Scenario engine'!$G$16:$G$95/(1+($F$9))^('14. Scenario engine'!$A$16:$A$95/4))+(1-($F$4))^'3. Assumptions'!$B$9*'14. Scenario engine'!$F$10/(1+($F$9))^'3. Assumptions'!$B$9)/(1+'3. Assumptions'!$B$14)</f>
        <v>153468378.506958</v>
      </c>
      <c r="H11" s="33" t="n">
        <f aca="false">(SUMPRODUCT((1-($H$4))^('14. Scenario engine'!$A$16:$A$95/4)*'14. Scenario engine'!$H$16:$H$95/(1+($H$8))^('14. Scenario engine'!$A$16:$A$95/4))+SUMPRODUCT((1-($H$4))^(('14. Scenario engine'!$A$16:$A$95-1)/4)*(1-(1-($H$4))^0.25)*'14. Scenario engine'!$I$16:$I$95/(1+($H$9))^('14. Scenario engine'!$A$16:$A$95/4))+(1-($H$4))^'3. Assumptions'!$B$9*'14. Scenario engine'!$H$10/(1+($H$9))^'3. Assumptions'!$B$9)/(1+'3. Assumptions'!$B$14)</f>
        <v>163695102.539738</v>
      </c>
      <c r="J11" s="33" t="n">
        <f aca="false">(SUMPRODUCT((1-($J$4))^('14. Scenario engine'!$A$16:$A$95/4)*'14. Scenario engine'!$J$16:$J$95/(1+($J$8))^('14. Scenario engine'!$A$16:$A$95/4))+SUMPRODUCT((1-($J$4))^(('14. Scenario engine'!$A$16:$A$95-1)/4)*(1-(1-($J$4))^0.25)*'14. Scenario engine'!$K$16:$K$95/(1+($J$9))^('14. Scenario engine'!$A$16:$A$95/4))+(1-($J$4))^'3. Assumptions'!$B$9*'14. Scenario engine'!$J$10/(1+($J$9))^'3. Assumptions'!$B$9)/(1+'3. Assumptions'!$B$14)</f>
        <v>145992177.929068</v>
      </c>
      <c r="L11" s="33" t="n">
        <f aca="false">(SUMPRODUCT((1-($L$4))^('14. Scenario engine'!$A$16:$A$95/4)*'14. Scenario engine'!$L$16:$L$95/(1+($L$8))^('14. Scenario engine'!$A$16:$A$95/4))+SUMPRODUCT((1-($L$4))^(('14. Scenario engine'!$A$16:$A$95-1)/4)*(1-(1-($L$4))^0.25)*'14. Scenario engine'!$M$16:$M$95/(1+($L$9))^('14. Scenario engine'!$A$16:$A$95/4))+(1-($L$4))^'3. Assumptions'!$B$9*'14. Scenario engine'!$L$10/(1+($L$9))^'3. Assumptions'!$B$9)/(1+'3. Assumptions'!$B$14)</f>
        <v>79603588.1481901</v>
      </c>
      <c r="N11" s="33" t="n">
        <f aca="false">(SUMPRODUCT((1-($N$4))^('14. Scenario engine'!$A$16:$A$95/4)*'14. Scenario engine'!$N$16:$N$95/(1+($N$8))^('14. Scenario engine'!$A$16:$A$95/4))+SUMPRODUCT((1-($N$4))^(('14. Scenario engine'!$A$16:$A$95-1)/4)*(1-(1-($N$4))^0.25)*'14. Scenario engine'!$O$16:$O$95/(1+($N$9))^('14. Scenario engine'!$A$16:$A$95/4))+(1-($N$4))^'3. Assumptions'!$B$9*'14. Scenario engine'!$N$10/(1+($N$9))^'3. Assumptions'!$B$9)/(1+'3. Assumptions'!$B$14)</f>
        <v>183938724.416831</v>
      </c>
      <c r="P11" s="33" t="n">
        <f aca="false">(SUMPRODUCT((1-($P$4))^('14. Scenario engine'!$A$16:$A$95/4)*'14. Scenario engine'!$P$16:$P$95/(1+($P$8))^('14. Scenario engine'!$A$16:$A$95/4))+SUMPRODUCT((1-($P$4))^(('14. Scenario engine'!$A$16:$A$95-1)/4)*(1-(1-($P$4))^0.25)*'14. Scenario engine'!$Q$16:$Q$95/(1+($P$9))^('14. Scenario engine'!$A$16:$A$95/4))+(1-($P$4))^'3. Assumptions'!$B$9*'14. Scenario engine'!$P$10/(1+($P$9))^'3. Assumptions'!$B$9)/(1+'3. Assumptions'!$B$14)</f>
        <v>172588234.824483</v>
      </c>
      <c r="R11" s="33" t="n">
        <f aca="false">(SUMPRODUCT((1-($R$4))^('14. Scenario engine'!$A$16:$A$95/4)*'14. Scenario engine'!$R$16:$R$95/(1+($R$8))^('14. Scenario engine'!$A$16:$A$95/4))+SUMPRODUCT((1-($R$4))^(('14. Scenario engine'!$A$16:$A$95-1)/4)*(1-(1-($R$4))^0.25)*'14. Scenario engine'!$S$16:$S$95/(1+($R$9))^('14. Scenario engine'!$A$16:$A$95/4))+(1-($R$4))^'3. Assumptions'!$B$9*'14. Scenario engine'!$R$10/(1+($R$9))^'3. Assumptions'!$B$9)/(1+'3. Assumptions'!$B$14)</f>
        <v>179277811.238211</v>
      </c>
      <c r="T11" s="33" t="n">
        <f aca="false">(SUMPRODUCT((1-($T$4))^('14. Scenario engine'!$A$16:$A$95/4)*'14. Scenario engine'!$T$16:$T$95/(1+($T$8))^('14. Scenario engine'!$A$16:$A$95/4))+SUMPRODUCT((1-($T$4))^(('14. Scenario engine'!$A$16:$A$95-1)/4)*(1-(1-($T$4))^0.25)*'14. Scenario engine'!$U$16:$U$95/(1+($T$9))^('14. Scenario engine'!$A$16:$A$95/4))+(1-($T$4))^'3. Assumptions'!$B$9*'14. Scenario engine'!$T$10/(1+($T$9))^'3. Assumptions'!$B$9)/(1+'3. Assumptions'!$B$14)</f>
        <v>179466854.849968</v>
      </c>
      <c r="V11" s="33" t="n">
        <f aca="false">(SUMPRODUCT((1-($V$4))^('14. Scenario engine'!$A$16:$A$95/4)*'14. Scenario engine'!$V$16:$V$95/(1+($V$8))^('14. Scenario engine'!$A$16:$A$95/4))+SUMPRODUCT((1-($V$4))^(('14. Scenario engine'!$A$16:$A$95-1)/4)*(1-(1-($V$4))^0.25)*'14. Scenario engine'!$W$16:$W$95/(1+($V$9))^('14. Scenario engine'!$A$16:$A$95/4))+(1-($V$4))^'3. Assumptions'!$B$9*'14. Scenario engine'!$V$10/(1+($V$9))^'3. Assumptions'!$B$9)/(1+'3. Assumptions'!$B$14)</f>
        <v>179459251.263615</v>
      </c>
      <c r="X11" s="33" t="n">
        <f aca="false">(SUMPRODUCT((1-($X$4))^('14. Scenario engine'!$A$16:$A$95/4)*'14. Scenario engine'!$X$16:$X$95/(1+($X$8))^('14. Scenario engine'!$A$16:$A$95/4))+SUMPRODUCT((1-($X$4))^(('14. Scenario engine'!$A$16:$A$95-1)/4)*(1-(1-($X$4))^0.25)*'14. Scenario engine'!$Y$16:$Y$95/(1+($X$9))^('14. Scenario engine'!$A$16:$A$95/4))+(1-($X$4))^'3. Assumptions'!$B$9*'14. Scenario engine'!$X$10/(1+($X$9))^'3. Assumptions'!$B$9)/(1+'3. Assumptions'!$B$14)</f>
        <v>179459259.258907</v>
      </c>
      <c r="Z11" s="33" t="n">
        <f aca="false">(SUMPRODUCT((1-($Z$4))^('14. Scenario engine'!$A$16:$A$95/4)*'14. Scenario engine'!$Z$16:$Z$95/(1+($Z$8))^('14. Scenario engine'!$A$16:$A$95/4))+SUMPRODUCT((1-($Z$4))^(('14. Scenario engine'!$A$16:$A$95-1)/4)*(1-(1-($Z$4))^0.25)*'14. Scenario engine'!$AA$16:$AA$95/(1+($Z$9))^('14. Scenario engine'!$A$16:$A$95/4))+(1-($Z$4))^'3. Assumptions'!$B$9*'14. Scenario engine'!$Z$10/(1+($Z$9))^'3. Assumptions'!$B$9)/(1+'3. Assumptions'!$B$14)</f>
        <v>179459259.259259</v>
      </c>
      <c r="AB11" s="33" t="n">
        <f aca="false">(SUMPRODUCT((1-($AB$4))^('14. Scenario engine'!$A$16:$A$95/4)*'14. Scenario engine'!$AB$16:$AB$95/(1+($AB$8))^('14. Scenario engine'!$A$16:$A$95/4))+SUMPRODUCT((1-($AB$4))^(('14. Scenario engine'!$A$16:$A$95-1)/4)*(1-(1-($AB$4))^0.25)*'14. Scenario engine'!$AC$16:$AC$95/(1+($AB$9))^('14. Scenario engine'!$A$16:$A$95/4))+(1-($AB$4))^'3. Assumptions'!$B$9*'14. Scenario engine'!$AB$10/(1+($AB$9))^'3. Assumptions'!$B$9)/(1+'3. Assumptions'!$B$14)</f>
        <v>179459259.259259</v>
      </c>
      <c r="AD11" s="33" t="n">
        <f aca="false">(SUMPRODUCT((1-($AD$4))^('14. Scenario engine'!$A$16:$A$95/4)*'14. Scenario engine'!$AD$16:$AD$95/(1+($AD$8))^('14. Scenario engine'!$A$16:$A$95/4))+SUMPRODUCT((1-($AD$4))^(('14. Scenario engine'!$A$16:$A$95-1)/4)*(1-(1-($AD$4))^0.25)*'14. Scenario engine'!$AE$16:$AE$95/(1+($AD$9))^('14. Scenario engine'!$A$16:$A$95/4))+(1-($AD$4))^'3. Assumptions'!$B$9*'14. Scenario engine'!$AD$10/(1+($AD$9))^'3. Assumptions'!$B$9)/(1+'3. Assumptions'!$B$14)</f>
        <v>179459259.259259</v>
      </c>
      <c r="AF11" s="33" t="n">
        <f aca="false">(SUMPRODUCT((1-($AF$4))^('14. Scenario engine'!$A$16:$A$95/4)*'14. Scenario engine'!$AF$16:$AF$95/(1+($AF$8))^('14. Scenario engine'!$A$16:$A$95/4))+SUMPRODUCT((1-($AF$4))^(('14. Scenario engine'!$A$16:$A$95-1)/4)*(1-(1-($AF$4))^0.25)*'14. Scenario engine'!$AG$16:$AG$95/(1+($AF$9))^('14. Scenario engine'!$A$16:$A$95/4))+(1-($AF$4))^'3. Assumptions'!$B$9*'14. Scenario engine'!$AF$10/(1+($AF$9))^'3. Assumptions'!$B$9)/(1+'3. Assumptions'!$B$14)</f>
        <v>179459259.259259</v>
      </c>
      <c r="AH11" s="33" t="n">
        <f aca="false">(SUMPRODUCT((1-($AH$4))^('14. Scenario engine'!$A$16:$A$95/4)*'14. Scenario engine'!$AH$16:$AH$95/(1+($AH$8))^('14. Scenario engine'!$A$16:$A$95/4))+SUMPRODUCT((1-($AH$4))^(('14. Scenario engine'!$A$16:$A$95-1)/4)*(1-(1-($AH$4))^0.25)*'14. Scenario engine'!$AI$16:$AI$95/(1+($AH$9))^('14. Scenario engine'!$A$16:$A$95/4))+(1-($AH$4))^'3. Assumptions'!$B$9*'14. Scenario engine'!$AH$10/(1+($AH$9))^'3. Assumptions'!$B$9)/(1+'3. Assumptions'!$B$14)</f>
        <v>191202481.318853</v>
      </c>
      <c r="AJ11" s="33" t="n">
        <f aca="false">(SUMPRODUCT((1-($AJ$4))^('14. Scenario engine'!$A$16:$A$95/4)*'14. Scenario engine'!$AJ$16:$AJ$95/(1+($AJ$8))^('14. Scenario engine'!$A$16:$A$95/4))+SUMPRODUCT((1-($AJ$4))^(('14. Scenario engine'!$A$16:$A$95-1)/4)*(1-(1-($AJ$4))^0.25)*'14. Scenario engine'!$AK$16:$AK$95/(1+($AJ$9))^('14. Scenario engine'!$A$16:$A$95/4))+(1-($AJ$4))^'3. Assumptions'!$B$9*'14. Scenario engine'!$AJ$10/(1+($AJ$9))^'3. Assumptions'!$B$9)/(1+'3. Assumptions'!$B$14)</f>
        <v>169787074.450008</v>
      </c>
      <c r="AL11" s="33" t="n">
        <f aca="false">(SUMPRODUCT((1-($AL$4))^('14. Scenario engine'!$A$16:$A$95/4)*'14. Scenario engine'!$AL$16:$AL$95/(1+($AL$8))^('14. Scenario engine'!$A$16:$A$95/4))+SUMPRODUCT((1-($AL$4))^(('14. Scenario engine'!$A$16:$A$95-1)/4)*(1-(1-($AL$4))^0.25)*'14. Scenario engine'!$AM$16:$AM$95/(1+($AL$9))^('14. Scenario engine'!$A$16:$A$95/4))+(1-($AL$4))^'3. Assumptions'!$B$9*'14. Scenario engine'!$AL$10/(1+($AL$9))^'3. Assumptions'!$B$9)/(1+'3. Assumptions'!$B$14)</f>
        <v>178092899.73212</v>
      </c>
      <c r="AN11" s="33" t="n">
        <f aca="false">(SUMPRODUCT((1-($AN$4))^('14. Scenario engine'!$A$16:$A$95/4)*'14. Scenario engine'!$AN$16:$AN$95/(1+($AN$8))^('14. Scenario engine'!$A$16:$A$95/4))+SUMPRODUCT((1-($AN$4))^(('14. Scenario engine'!$A$16:$A$95-1)/4)*(1-(1-($AN$4))^0.25)*'14. Scenario engine'!$AO$16:$AO$95/(1+($AN$9))^('14. Scenario engine'!$A$16:$A$95/4))+(1-($AN$4))^'3. Assumptions'!$B$9*'14. Scenario engine'!$AN$10/(1+($AN$9))^'3. Assumptions'!$B$9)/(1+'3. Assumptions'!$B$14)</f>
        <v>179648005.289844</v>
      </c>
      <c r="AP11" s="33" t="n">
        <f aca="false">(SUMPRODUCT((1-($AP$4))^('14. Scenario engine'!$A$16:$A$95/4)*'14. Scenario engine'!$AP$16:$AP$95/(1+($AP$8))^('14. Scenario engine'!$A$16:$A$95/4))+SUMPRODUCT((1-($AP$4))^(('14. Scenario engine'!$A$16:$A$95-1)/4)*(1-(1-($AP$4))^0.25)*'14. Scenario engine'!$AQ$16:$AQ$95/(1+($AP$9))^('14. Scenario engine'!$A$16:$A$95/4))+(1-($AP$4))^'3. Assumptions'!$B$9*'14. Scenario engine'!$AP$10/(1+($AP$9))^'3. Assumptions'!$B$9)/(1+'3. Assumptions'!$B$14)</f>
        <v>179456030.699878</v>
      </c>
      <c r="AR11" s="33" t="n">
        <f aca="false">(SUMPRODUCT((1-($AR$4))^('14. Scenario engine'!$A$16:$A$95/4)*'14. Scenario engine'!$AR$16:$AR$95/(1+($AR$8))^('14. Scenario engine'!$A$16:$A$95/4))+SUMPRODUCT((1-($AR$4))^(('14. Scenario engine'!$A$16:$A$95-1)/4)*(1-(1-($AR$4))^0.25)*'14. Scenario engine'!$AS$16:$AS$95/(1+($AR$9))^('14. Scenario engine'!$A$16:$A$95/4))+(1-($AR$4))^'3. Assumptions'!$B$9*'14. Scenario engine'!$AR$10/(1+($AR$9))^'3. Assumptions'!$B$9)/(1+'3. Assumptions'!$B$14)</f>
        <v>179459251.758523</v>
      </c>
      <c r="AT11" s="33" t="n">
        <f aca="false">(SUMPRODUCT((1-($AT$4))^('14. Scenario engine'!$A$16:$A$95/4)*'14. Scenario engine'!$AT$16:$AT$95/(1+($AT$8))^('14. Scenario engine'!$A$16:$A$95/4))+SUMPRODUCT((1-($AT$4))^(('14. Scenario engine'!$A$16:$A$95-1)/4)*(1-(1-($AT$4))^0.25)*'14. Scenario engine'!$AU$16:$AU$95/(1+($AT$9))^('14. Scenario engine'!$A$16:$A$95/4))+(1-($AT$4))^'3. Assumptions'!$B$9*'14. Scenario engine'!$AT$10/(1+($AT$9))^'3. Assumptions'!$B$9)/(1+'3. Assumptions'!$B$14)</f>
        <v>179459259.259558</v>
      </c>
      <c r="AV11" s="33" t="n">
        <f aca="false">(SUMPRODUCT((1-($AV$4))^('14. Scenario engine'!$A$16:$A$95/4)*'14. Scenario engine'!$AV$16:$AV$95/(1+($AV$8))^('14. Scenario engine'!$A$16:$A$95/4))+SUMPRODUCT((1-($AV$4))^(('14. Scenario engine'!$A$16:$A$95-1)/4)*(1-(1-($AV$4))^0.25)*'14. Scenario engine'!$AW$16:$AW$95/(1+($AV$9))^('14. Scenario engine'!$A$16:$A$95/4))+(1-($AV$4))^'3. Assumptions'!$B$9*'14. Scenario engine'!$AV$10/(1+($AV$9))^'3. Assumptions'!$B$9)/(1+'3. Assumptions'!$B$14)</f>
        <v>179459259.259259</v>
      </c>
      <c r="AX11" s="33" t="n">
        <f aca="false">(SUMPRODUCT((1-($AX$4))^('14. Scenario engine'!$A$16:$A$95/4)*'14. Scenario engine'!$AX$16:$AX$95/(1+($AX$8))^('14. Scenario engine'!$A$16:$A$95/4))+SUMPRODUCT((1-($AX$4))^(('14. Scenario engine'!$A$16:$A$95-1)/4)*(1-(1-($AX$4))^0.25)*'14. Scenario engine'!$AY$16:$AY$95/(1+($AX$9))^('14. Scenario engine'!$A$16:$A$95/4))+(1-($AX$4))^'3. Assumptions'!$B$9*'14. Scenario engine'!$AX$10/(1+($AX$9))^'3. Assumptions'!$B$9)/(1+'3. Assumptions'!$B$14)</f>
        <v>179459259.259259</v>
      </c>
      <c r="AZ11" s="33" t="n">
        <f aca="false">(SUMPRODUCT((1-($AZ$4))^('14. Scenario engine'!$A$16:$A$95/4)*'14. Scenario engine'!$AZ$16:$AZ$95/(1+($AZ$8))^('14. Scenario engine'!$A$16:$A$95/4))+SUMPRODUCT((1-($AZ$4))^(('14. Scenario engine'!$A$16:$A$95-1)/4)*(1-(1-($AZ$4))^0.25)*'14. Scenario engine'!$BA$16:$BA$95/(1+($AZ$9))^('14. Scenario engine'!$A$16:$A$95/4))+(1-($AZ$4))^'3. Assumptions'!$B$9*'14. Scenario engine'!$AZ$10/(1+($AZ$9))^'3. Assumptions'!$B$9)/(1+'3. Assumptions'!$B$14)</f>
        <v>179459259.259259</v>
      </c>
    </row>
    <row r="12" customFormat="false" ht="15" hidden="false" customHeight="false" outlineLevel="0" collapsed="false">
      <c r="A12" s="20" t="s">
        <v>388</v>
      </c>
      <c r="B12" s="33" t="n">
        <f aca="false">B11-('2. The tape'!$C$17/'3. Assumptions'!$B$4)</f>
        <v>-26468582.353444</v>
      </c>
      <c r="D12" s="33" t="n">
        <f aca="false">D11-('2. The tape'!$C$17/'3. Assumptions'!$B$4)</f>
        <v>-30608253.2577983</v>
      </c>
      <c r="F12" s="33" t="n">
        <f aca="false">F11-('2. The tape'!$C$17/'3. Assumptions'!$B$4)</f>
        <v>-25990880.7523011</v>
      </c>
      <c r="H12" s="33" t="n">
        <f aca="false">H11-('2. The tape'!$C$17/'3. Assumptions'!$B$4)</f>
        <v>-15764156.719521</v>
      </c>
      <c r="J12" s="33" t="n">
        <f aca="false">J11-('2. The tape'!$C$17/'3. Assumptions'!$B$4)</f>
        <v>-33467081.3301909</v>
      </c>
      <c r="L12" s="33" t="n">
        <f aca="false">L11-('2. The tape'!$C$17/'3. Assumptions'!$B$4)</f>
        <v>-99855671.1110692</v>
      </c>
      <c r="N12" s="33" t="n">
        <f aca="false">N11-('2. The tape'!$C$17/'3. Assumptions'!$B$4)</f>
        <v>4479465.157572</v>
      </c>
      <c r="P12" s="33" t="n">
        <f aca="false">P11-('2. The tape'!$C$17/'3. Assumptions'!$B$4)</f>
        <v>-6871024.4347761</v>
      </c>
      <c r="R12" s="33" t="n">
        <f aca="false">R11-('2. The tape'!$C$17/'3. Assumptions'!$B$4)</f>
        <v>-181448.02104792</v>
      </c>
      <c r="T12" s="33" t="n">
        <f aca="false">T11-('2. The tape'!$C$17/'3. Assumptions'!$B$4)</f>
        <v>7595.5907087028</v>
      </c>
      <c r="V12" s="33" t="n">
        <f aca="false">V11-('2. The tape'!$C$17/'3. Assumptions'!$B$4)</f>
        <v>-7.99564397335053</v>
      </c>
      <c r="X12" s="33" t="n">
        <f aca="false">X11-('2. The tape'!$C$17/'3. Assumptions'!$B$4)</f>
        <v>-0.000351965427398682</v>
      </c>
      <c r="Z12" s="33" t="n">
        <f aca="false">Z11-('2. The tape'!$C$17/'3. Assumptions'!$B$4)</f>
        <v>0</v>
      </c>
      <c r="AB12" s="33" t="n">
        <f aca="false">AB11-('2. The tape'!$C$17/'3. Assumptions'!$B$4)</f>
        <v>0</v>
      </c>
      <c r="AD12" s="33" t="n">
        <f aca="false">AD11-('2. The tape'!$C$17/'3. Assumptions'!$B$4)</f>
        <v>0</v>
      </c>
      <c r="AF12" s="33" t="n">
        <f aca="false">AF11-('2. The tape'!$C$17/'3. Assumptions'!$B$4)</f>
        <v>0</v>
      </c>
      <c r="AH12" s="33" t="n">
        <f aca="false">AH11-('2. The tape'!$C$17/'3. Assumptions'!$B$4)</f>
        <v>11743222.0595941</v>
      </c>
      <c r="AJ12" s="33" t="n">
        <f aca="false">AJ11-('2. The tape'!$C$17/'3. Assumptions'!$B$4)</f>
        <v>-9672184.80925143</v>
      </c>
      <c r="AL12" s="33" t="n">
        <f aca="false">AL11-('2. The tape'!$C$17/'3. Assumptions'!$B$4)</f>
        <v>-1366359.52713922</v>
      </c>
      <c r="AN12" s="33" t="n">
        <f aca="false">AN11-('2. The tape'!$C$17/'3. Assumptions'!$B$4)</f>
        <v>188746.030584246</v>
      </c>
      <c r="AP12" s="33" t="n">
        <f aca="false">AP11-('2. The tape'!$C$17/'3. Assumptions'!$B$4)</f>
        <v>-3228.5593816638</v>
      </c>
      <c r="AR12" s="33" t="n">
        <f aca="false">AR11-('2. The tape'!$C$17/'3. Assumptions'!$B$4)</f>
        <v>-7.5007364153862</v>
      </c>
      <c r="AT12" s="33" t="n">
        <f aca="false">AT11-('2. The tape'!$C$17/'3. Assumptions'!$B$4)</f>
        <v>0.000298768281936646</v>
      </c>
      <c r="AV12" s="33" t="n">
        <f aca="false">AV11-('2. The tape'!$C$17/'3. Assumptions'!$B$4)</f>
        <v>0</v>
      </c>
      <c r="AX12" s="33" t="n">
        <f aca="false">AX11-('2. The tape'!$C$17/'3. Assumptions'!$B$4)</f>
        <v>0</v>
      </c>
      <c r="AZ12" s="33" t="n">
        <f aca="false">AZ11-('2. The tape'!$C$17/'3. Assumptions'!$B$4)</f>
        <v>0</v>
      </c>
    </row>
    <row r="15" customFormat="false" ht="15" hidden="false" customHeight="false" outlineLevel="0" collapsed="false">
      <c r="A15" s="28" t="s">
        <v>192</v>
      </c>
      <c r="B15" s="28" t="s">
        <v>194</v>
      </c>
      <c r="C15" s="28" t="s">
        <v>133</v>
      </c>
      <c r="D15" s="28" t="s">
        <v>194</v>
      </c>
      <c r="E15" s="28" t="s">
        <v>133</v>
      </c>
      <c r="F15" s="28" t="s">
        <v>194</v>
      </c>
      <c r="G15" s="28" t="s">
        <v>133</v>
      </c>
      <c r="H15" s="28" t="s">
        <v>194</v>
      </c>
      <c r="I15" s="28" t="s">
        <v>133</v>
      </c>
      <c r="J15" s="28" t="s">
        <v>194</v>
      </c>
      <c r="K15" s="28" t="s">
        <v>133</v>
      </c>
      <c r="L15" s="28" t="s">
        <v>194</v>
      </c>
      <c r="M15" s="28" t="s">
        <v>133</v>
      </c>
      <c r="N15" s="28" t="s">
        <v>194</v>
      </c>
      <c r="O15" s="28" t="s">
        <v>133</v>
      </c>
      <c r="P15" s="28" t="s">
        <v>194</v>
      </c>
      <c r="Q15" s="28" t="s">
        <v>133</v>
      </c>
      <c r="R15" s="28" t="s">
        <v>194</v>
      </c>
      <c r="S15" s="28" t="s">
        <v>133</v>
      </c>
      <c r="T15" s="28" t="s">
        <v>194</v>
      </c>
      <c r="U15" s="28" t="s">
        <v>133</v>
      </c>
      <c r="V15" s="28" t="s">
        <v>194</v>
      </c>
      <c r="W15" s="28" t="s">
        <v>133</v>
      </c>
      <c r="X15" s="28" t="s">
        <v>194</v>
      </c>
      <c r="Y15" s="28" t="s">
        <v>133</v>
      </c>
      <c r="Z15" s="28" t="s">
        <v>194</v>
      </c>
      <c r="AA15" s="28" t="s">
        <v>133</v>
      </c>
      <c r="AB15" s="28" t="s">
        <v>194</v>
      </c>
      <c r="AC15" s="28" t="s">
        <v>133</v>
      </c>
      <c r="AD15" s="28" t="s">
        <v>194</v>
      </c>
      <c r="AE15" s="28" t="s">
        <v>133</v>
      </c>
      <c r="AF15" s="28" t="s">
        <v>194</v>
      </c>
      <c r="AG15" s="28" t="s">
        <v>133</v>
      </c>
      <c r="AH15" s="28" t="s">
        <v>194</v>
      </c>
      <c r="AI15" s="28" t="s">
        <v>133</v>
      </c>
      <c r="AJ15" s="28" t="s">
        <v>194</v>
      </c>
      <c r="AK15" s="28" t="s">
        <v>133</v>
      </c>
      <c r="AL15" s="28" t="s">
        <v>194</v>
      </c>
      <c r="AM15" s="28" t="s">
        <v>133</v>
      </c>
      <c r="AN15" s="28" t="s">
        <v>194</v>
      </c>
      <c r="AO15" s="28" t="s">
        <v>133</v>
      </c>
      <c r="AP15" s="28" t="s">
        <v>194</v>
      </c>
      <c r="AQ15" s="28" t="s">
        <v>133</v>
      </c>
      <c r="AR15" s="28" t="s">
        <v>194</v>
      </c>
      <c r="AS15" s="28" t="s">
        <v>133</v>
      </c>
      <c r="AT15" s="28" t="s">
        <v>194</v>
      </c>
      <c r="AU15" s="28" t="s">
        <v>133</v>
      </c>
      <c r="AV15" s="28" t="s">
        <v>194</v>
      </c>
      <c r="AW15" s="28" t="s">
        <v>133</v>
      </c>
      <c r="AX15" s="28" t="s">
        <v>194</v>
      </c>
      <c r="AY15" s="28" t="s">
        <v>133</v>
      </c>
      <c r="AZ15" s="28" t="s">
        <v>194</v>
      </c>
      <c r="BA15" s="28" t="s">
        <v>133</v>
      </c>
    </row>
    <row r="16" customFormat="false" ht="15" hidden="false" customHeight="false" outlineLevel="0" collapsed="false">
      <c r="A16" s="20" t="n">
        <v>1</v>
      </c>
      <c r="B16" s="33" t="n">
        <f aca="false">'2. The tape'!$C$17*(1+MIN(MAX($B$5,'3. Assumptions'!$B$11),'3. Assumptions'!$B$10))^INT(($A16-1)/4)/4*(1-'3. Assumptions'!$B$13)</f>
        <v>2998091.25</v>
      </c>
      <c r="C16" s="33" t="n">
        <f aca="false">(1-'3. Assumptions'!$B$15)*SUMPRODUCT((('2. The tape'!$C$5:$C$13*'2. The tape'!$D$5:$D$13*(1-'2. The tape'!$J$5:$J$13)^($A16/4)*(1+$B$5)^($A16/4)*((1-'3. Assumptions'!$B$13)/($B$6)-'2. The tape'!$H$5:$H$13/12-'3. Assumptions'!$B$16)-'2. The tape'!$C$5:$C$13*'2. The tape'!$I$5:$I$13*(1+$B$5)^($A16/4))&gt;0)*('2. The tape'!$C$5:$C$13*'2. The tape'!$D$5:$D$13*(1-'2. The tape'!$J$5:$J$13)^($A16/4)*(1+$B$5)^($A16/4)*((1-'3. Assumptions'!$B$13)/($B$6)-'2. The tape'!$H$5:$H$13/12-'3. Assumptions'!$B$16)-'2. The tape'!$C$5:$C$13*'2. The tape'!$I$5:$I$13*(1+$B$5)^($A16/4)))</f>
        <v>81814871.059345</v>
      </c>
      <c r="D16" s="33" t="n">
        <f aca="false">'2. The tape'!$C$17*(1+MIN(MAX($D$5,'3. Assumptions'!$B$11),'3. Assumptions'!$B$10))^INT(($A16-1)/4)/4*(1-'3. Assumptions'!$B$13)</f>
        <v>2998091.25</v>
      </c>
      <c r="E16" s="33" t="n">
        <f aca="false">(1-'3. Assumptions'!$B$15)*SUMPRODUCT((('2. The tape'!$C$5:$C$13*'2. The tape'!$D$5:$D$13*(1-'2. The tape'!$J$5:$J$13)^($A16/4)*(1+$D$5)^($A16/4)*((1-'3. Assumptions'!$B$13)/($D$6)-'2. The tape'!$H$5:$H$13/12-'3. Assumptions'!$B$16)-'2. The tape'!$C$5:$C$13*'2. The tape'!$I$5:$I$13*(1+$D$5)^($A16/4))&gt;0)*('2. The tape'!$C$5:$C$13*'2. The tape'!$D$5:$D$13*(1-'2. The tape'!$J$5:$J$13)^($A16/4)*(1+$D$5)^($A16/4)*((1-'3. Assumptions'!$B$13)/($D$6)-'2. The tape'!$H$5:$H$13/12-'3. Assumptions'!$B$16)-'2. The tape'!$C$5:$C$13*'2. The tape'!$I$5:$I$13*(1+$D$5)^($A16/4)))</f>
        <v>82073813.6327757</v>
      </c>
      <c r="F16" s="33" t="n">
        <f aca="false">'2. The tape'!$C$17*(1+MIN(MAX($F$5,'3. Assumptions'!$B$11),'3. Assumptions'!$B$10))^INT(($A16-1)/4)/4*(1-'3. Assumptions'!$B$13)</f>
        <v>2998091.25</v>
      </c>
      <c r="G16" s="33" t="n">
        <f aca="false">(1-'3. Assumptions'!$B$15)*SUMPRODUCT((('2. The tape'!$C$5:$C$13*'2. The tape'!$D$5:$D$13*(1-'2. The tape'!$J$5:$J$13)^($A16/4)*(1+$F$5)^($A16/4)*((1-'3. Assumptions'!$B$13)/($F$6)-'2. The tape'!$H$5:$H$13/12-'3. Assumptions'!$B$16)-'2. The tape'!$C$5:$C$13*'2. The tape'!$I$5:$I$13*(1+$F$5)^($A16/4))&gt;0)*('2. The tape'!$C$5:$C$13*'2. The tape'!$D$5:$D$13*(1-'2. The tape'!$J$5:$J$13)^($A16/4)*(1+$F$5)^($A16/4)*((1-'3. Assumptions'!$B$13)/($F$6)-'2. The tape'!$H$5:$H$13/12-'3. Assumptions'!$B$16)-'2. The tape'!$C$5:$C$13*'2. The tape'!$I$5:$I$13*(1+$F$5)^($A16/4)))</f>
        <v>81573645.2271522</v>
      </c>
      <c r="H16" s="33" t="n">
        <f aca="false">'2. The tape'!$C$17*(1+MIN(MAX($H$5,'3. Assumptions'!$B$11),'3. Assumptions'!$B$10))^INT(($A16-1)/4)/4*(1-'3. Assumptions'!$B$13)</f>
        <v>2998091.25</v>
      </c>
      <c r="I16" s="33" t="n">
        <f aca="false">(1-'3. Assumptions'!$B$15)*SUMPRODUCT((('2. The tape'!$C$5:$C$13*'2. The tape'!$D$5:$D$13*(1-'2. The tape'!$J$5:$J$13)^($A16/4)*(1+$H$5)^($A16/4)*((1-'3. Assumptions'!$B$13)/($H$6)-'2. The tape'!$H$5:$H$13/12-'3. Assumptions'!$B$16)-'2. The tape'!$C$5:$C$13*'2. The tape'!$I$5:$I$13*(1+$H$5)^($A16/4))&gt;0)*('2. The tape'!$C$5:$C$13*'2. The tape'!$D$5:$D$13*(1-'2. The tape'!$J$5:$J$13)^($A16/4)*(1+$H$5)^($A16/4)*((1-'3. Assumptions'!$B$13)/($H$6)-'2. The tape'!$H$5:$H$13/12-'3. Assumptions'!$B$16)-'2. The tape'!$C$5:$C$13*'2. The tape'!$I$5:$I$13*(1+$H$5)^($A16/4)))</f>
        <v>82073813.6327757</v>
      </c>
      <c r="J16" s="33" t="n">
        <f aca="false">'2. The tape'!$C$17*(1+MIN(MAX($J$5,'3. Assumptions'!$B$11),'3. Assumptions'!$B$10))^INT(($A16-1)/4)/4*(1-'3. Assumptions'!$B$13)</f>
        <v>2998091.25</v>
      </c>
      <c r="K16" s="33" t="n">
        <f aca="false">(1-'3. Assumptions'!$B$15)*SUMPRODUCT((('2. The tape'!$C$5:$C$13*'2. The tape'!$D$5:$D$13*(1-'2. The tape'!$J$5:$J$13)^($A16/4)*(1+$J$5)^($A16/4)*((1-'3. Assumptions'!$B$13)/($J$6)-'2. The tape'!$H$5:$H$13/12-'3. Assumptions'!$B$16)-'2. The tape'!$C$5:$C$13*'2. The tape'!$I$5:$I$13*(1+$J$5)^($A16/4))&gt;0)*('2. The tape'!$C$5:$C$13*'2. The tape'!$D$5:$D$13*(1-'2. The tape'!$J$5:$J$13)^($A16/4)*(1+$J$5)^($A16/4)*((1-'3. Assumptions'!$B$13)/($J$6)-'2. The tape'!$H$5:$H$13/12-'3. Assumptions'!$B$16)-'2. The tape'!$C$5:$C$13*'2. The tape'!$I$5:$I$13*(1+$J$5)^($A16/4)))</f>
        <v>67688755.9547246</v>
      </c>
      <c r="L16" s="33" t="n">
        <f aca="false">'2. The tape'!$C$17*(1+MIN(MAX($L$5,'3. Assumptions'!$B$11),'3. Assumptions'!$B$10))^INT(($A16-1)/4)/4*(1-'3. Assumptions'!$B$13)</f>
        <v>2998091.25</v>
      </c>
      <c r="M16" s="33" t="n">
        <f aca="false">(1-'3. Assumptions'!$B$15)*SUMPRODUCT((('2. The tape'!$C$5:$C$13*'2. The tape'!$D$5:$D$13*(1-'2. The tape'!$J$5:$J$13)^($A16/4)*(1+$L$5)^($A16/4)*((1-'3. Assumptions'!$B$13)/($L$6)-'2. The tape'!$H$5:$H$13/12-'3. Assumptions'!$B$16)-'2. The tape'!$C$5:$C$13*'2. The tape'!$I$5:$I$13*(1+$L$5)^($A16/4))&gt;0)*('2. The tape'!$C$5:$C$13*'2. The tape'!$D$5:$D$13*(1-'2. The tape'!$J$5:$J$13)^($A16/4)*(1+$L$5)^($A16/4)*((1-'3. Assumptions'!$B$13)/($L$6)-'2. The tape'!$H$5:$H$13/12-'3. Assumptions'!$B$16)-'2. The tape'!$C$5:$C$13*'2. The tape'!$I$5:$I$13*(1+$L$5)^($A16/4)))</f>
        <v>86887112.4497604</v>
      </c>
      <c r="N16" s="33" t="n">
        <f aca="false">'2. The tape'!$C$17*(1+MIN(MAX($N$5,'3. Assumptions'!$B$11),'3. Assumptions'!$B$10))^INT(($A16-1)/4)/4*(1-'3. Assumptions'!$B$13)</f>
        <v>2998091.25</v>
      </c>
      <c r="O16" s="33" t="n">
        <f aca="false">(1-'3. Assumptions'!$B$15)*SUMPRODUCT((('2. The tape'!$C$5:$C$13*'2. The tape'!$D$5:$D$13*(1-'2. The tape'!$J$5:$J$13)^($A16/4)*(1+$N$5)^($A16/4)*((1-'3. Assumptions'!$B$13)/($N$6)-'2. The tape'!$H$5:$H$13/12-'3. Assumptions'!$B$16)-'2. The tape'!$C$5:$C$13*'2. The tape'!$I$5:$I$13*(1+$N$5)^($A16/4))&gt;0)*('2. The tape'!$C$5:$C$13*'2. The tape'!$D$5:$D$13*(1-'2. The tape'!$J$5:$J$13)^($A16/4)*(1+$N$5)^($A16/4)*((1-'3. Assumptions'!$B$13)/($N$6)-'2. The tape'!$H$5:$H$13/12-'3. Assumptions'!$B$16)-'2. The tape'!$C$5:$C$13*'2. The tape'!$I$5:$I$13*(1+$N$5)^($A16/4)))</f>
        <v>80753705.5376008</v>
      </c>
      <c r="P16" s="33" t="n">
        <f aca="false">'2. The tape'!$C$17*(1+MIN(MAX($P$5,'3. Assumptions'!$B$11),'3. Assumptions'!$B$10))^INT(($A16-1)/4)/4*(1-'3. Assumptions'!$B$13)</f>
        <v>2998091.25</v>
      </c>
      <c r="Q16" s="33" t="n">
        <f aca="false">(1-'3. Assumptions'!$B$15)*SUMPRODUCT((('2. The tape'!$C$5:$C$13*'2. The tape'!$D$5:$D$13*(1-'2. The tape'!$J$5:$J$13)^($A16/4)*(1+$P$5)^($A16/4)*((1-'3. Assumptions'!$B$13)/($P$6)-'2. The tape'!$H$5:$H$13/12-'3. Assumptions'!$B$16)-'2. The tape'!$C$5:$C$13*'2. The tape'!$I$5:$I$13*(1+$P$5)^($A16/4))&gt;0)*('2. The tape'!$C$5:$C$13*'2. The tape'!$D$5:$D$13*(1-'2. The tape'!$J$5:$J$13)^($A16/4)*(1+$P$5)^($A16/4)*((1-'3. Assumptions'!$B$13)/($P$6)-'2. The tape'!$H$5:$H$13/12-'3. Assumptions'!$B$16)-'2. The tape'!$C$5:$C$13*'2. The tape'!$I$5:$I$13*(1+$P$5)^($A16/4)))</f>
        <v>80961033.8304274</v>
      </c>
      <c r="R16" s="33" t="n">
        <f aca="false">'2. The tape'!$C$17*(1+MIN(MAX($R$5,'3. Assumptions'!$B$11),'3. Assumptions'!$B$10))^INT(($A16-1)/4)/4*(1-'3. Assumptions'!$B$13)</f>
        <v>2998091.25</v>
      </c>
      <c r="S16" s="33" t="n">
        <f aca="false">(1-'3. Assumptions'!$B$15)*SUMPRODUCT((('2. The tape'!$C$5:$C$13*'2. The tape'!$D$5:$D$13*(1-'2. The tape'!$J$5:$J$13)^($A16/4)*(1+$R$5)^($A16/4)*((1-'3. Assumptions'!$B$13)/($R$6)-'2. The tape'!$H$5:$H$13/12-'3. Assumptions'!$B$16)-'2. The tape'!$C$5:$C$13*'2. The tape'!$I$5:$I$13*(1+$R$5)^($A16/4))&gt;0)*('2. The tape'!$C$5:$C$13*'2. The tape'!$D$5:$D$13*(1-'2. The tape'!$J$5:$J$13)^($A16/4)*(1+$R$5)^($A16/4)*((1-'3. Assumptions'!$B$13)/($R$6)-'2. The tape'!$H$5:$H$13/12-'3. Assumptions'!$B$16)-'2. The tape'!$C$5:$C$13*'2. The tape'!$I$5:$I$13*(1+$R$5)^($A16/4)))</f>
        <v>80835718.1717039</v>
      </c>
      <c r="T16" s="33" t="n">
        <f aca="false">'2. The tape'!$C$17*(1+MIN(MAX($T$5,'3. Assumptions'!$B$11),'3. Assumptions'!$B$10))^INT(($A16-1)/4)/4*(1-'3. Assumptions'!$B$13)</f>
        <v>2998091.25</v>
      </c>
      <c r="U16" s="33" t="n">
        <f aca="false">(1-'3. Assumptions'!$B$15)*SUMPRODUCT((('2. The tape'!$C$5:$C$13*'2. The tape'!$D$5:$D$13*(1-'2. The tape'!$J$5:$J$13)^($A16/4)*(1+$T$5)^($A16/4)*((1-'3. Assumptions'!$B$13)/($T$6)-'2. The tape'!$H$5:$H$13/12-'3. Assumptions'!$B$16)-'2. The tape'!$C$5:$C$13*'2. The tape'!$I$5:$I$13*(1+$T$5)^($A16/4))&gt;0)*('2. The tape'!$C$5:$C$13*'2. The tape'!$D$5:$D$13*(1-'2. The tape'!$J$5:$J$13)^($A16/4)*(1+$T$5)^($A16/4)*((1-'3. Assumptions'!$B$13)/($T$6)-'2. The tape'!$H$5:$H$13/12-'3. Assumptions'!$B$16)-'2. The tape'!$C$5:$C$13*'2. The tape'!$I$5:$I$13*(1+$T$5)^($A16/4)))</f>
        <v>80832310.9830257</v>
      </c>
      <c r="V16" s="33" t="n">
        <f aca="false">'2. The tape'!$C$17*(1+MIN(MAX($V$5,'3. Assumptions'!$B$11),'3. Assumptions'!$B$10))^INT(($A16-1)/4)/4*(1-'3. Assumptions'!$B$13)</f>
        <v>2998091.25</v>
      </c>
      <c r="W16" s="33" t="n">
        <f aca="false">(1-'3. Assumptions'!$B$15)*SUMPRODUCT((('2. The tape'!$C$5:$C$13*'2. The tape'!$D$5:$D$13*(1-'2. The tape'!$J$5:$J$13)^($A16/4)*(1+$V$5)^($A16/4)*((1-'3. Assumptions'!$B$13)/($V$6)-'2. The tape'!$H$5:$H$13/12-'3. Assumptions'!$B$16)-'2. The tape'!$C$5:$C$13*'2. The tape'!$I$5:$I$13*(1+$V$5)^($A16/4))&gt;0)*('2. The tape'!$C$5:$C$13*'2. The tape'!$D$5:$D$13*(1-'2. The tape'!$J$5:$J$13)^($A16/4)*(1+$V$5)^($A16/4)*((1-'3. Assumptions'!$B$13)/($V$6)-'2. The tape'!$H$5:$H$13/12-'3. Assumptions'!$B$16)-'2. The tape'!$C$5:$C$13*'2. The tape'!$I$5:$I$13*(1+$V$5)^($A16/4)))</f>
        <v>80832447.8889016</v>
      </c>
      <c r="X16" s="33" t="n">
        <f aca="false">'2. The tape'!$C$17*(1+MIN(MAX($X$5,'3. Assumptions'!$B$11),'3. Assumptions'!$B$10))^INT(($A16-1)/4)/4*(1-'3. Assumptions'!$B$13)</f>
        <v>2998091.25</v>
      </c>
      <c r="Y16" s="33" t="n">
        <f aca="false">(1-'3. Assumptions'!$B$15)*SUMPRODUCT((('2. The tape'!$C$5:$C$13*'2. The tape'!$D$5:$D$13*(1-'2. The tape'!$J$5:$J$13)^($A16/4)*(1+$X$5)^($A16/4)*((1-'3. Assumptions'!$B$13)/($X$6)-'2. The tape'!$H$5:$H$13/12-'3. Assumptions'!$B$16)-'2. The tape'!$C$5:$C$13*'2. The tape'!$I$5:$I$13*(1+$X$5)^($A16/4))&gt;0)*('2. The tape'!$C$5:$C$13*'2. The tape'!$D$5:$D$13*(1-'2. The tape'!$J$5:$J$13)^($A16/4)*(1+$X$5)^($A16/4)*((1-'3. Assumptions'!$B$13)/($X$6)-'2. The tape'!$H$5:$H$13/12-'3. Assumptions'!$B$16)-'2. The tape'!$C$5:$C$13*'2. The tape'!$I$5:$I$13*(1+$X$5)^($A16/4)))</f>
        <v>80832447.7449369</v>
      </c>
      <c r="Z16" s="33" t="n">
        <f aca="false">'2. The tape'!$C$17*(1+MIN(MAX($Z$5,'3. Assumptions'!$B$11),'3. Assumptions'!$B$10))^INT(($A16-1)/4)/4*(1-'3. Assumptions'!$B$13)</f>
        <v>2998091.25</v>
      </c>
      <c r="AA16" s="33" t="n">
        <f aca="false">(1-'3. Assumptions'!$B$15)*SUMPRODUCT((('2. The tape'!$C$5:$C$13*'2. The tape'!$D$5:$D$13*(1-'2. The tape'!$J$5:$J$13)^($A16/4)*(1+$Z$5)^($A16/4)*((1-'3. Assumptions'!$B$13)/($Z$6)-'2. The tape'!$H$5:$H$13/12-'3. Assumptions'!$B$16)-'2. The tape'!$C$5:$C$13*'2. The tape'!$I$5:$I$13*(1+$Z$5)^($A16/4))&gt;0)*('2. The tape'!$C$5:$C$13*'2. The tape'!$D$5:$D$13*(1-'2. The tape'!$J$5:$J$13)^($A16/4)*(1+$Z$5)^($A16/4)*((1-'3. Assumptions'!$B$13)/($Z$6)-'2. The tape'!$H$5:$H$13/12-'3. Assumptions'!$B$16)-'2. The tape'!$C$5:$C$13*'2. The tape'!$I$5:$I$13*(1+$Z$5)^($A16/4)))</f>
        <v>80832447.7449306</v>
      </c>
      <c r="AB16" s="33" t="n">
        <f aca="false">'2. The tape'!$C$17*(1+MIN(MAX($AB$5,'3. Assumptions'!$B$11),'3. Assumptions'!$B$10))^INT(($A16-1)/4)/4*(1-'3. Assumptions'!$B$13)</f>
        <v>2998091.25</v>
      </c>
      <c r="AC16" s="33" t="n">
        <f aca="false">(1-'3. Assumptions'!$B$15)*SUMPRODUCT((('2. The tape'!$C$5:$C$13*'2. The tape'!$D$5:$D$13*(1-'2. The tape'!$J$5:$J$13)^($A16/4)*(1+$AB$5)^($A16/4)*((1-'3. Assumptions'!$B$13)/($AB$6)-'2. The tape'!$H$5:$H$13/12-'3. Assumptions'!$B$16)-'2. The tape'!$C$5:$C$13*'2. The tape'!$I$5:$I$13*(1+$AB$5)^($A16/4))&gt;0)*('2. The tape'!$C$5:$C$13*'2. The tape'!$D$5:$D$13*(1-'2. The tape'!$J$5:$J$13)^($A16/4)*(1+$AB$5)^($A16/4)*((1-'3. Assumptions'!$B$13)/($AB$6)-'2. The tape'!$H$5:$H$13/12-'3. Assumptions'!$B$16)-'2. The tape'!$C$5:$C$13*'2. The tape'!$I$5:$I$13*(1+$AB$5)^($A16/4)))</f>
        <v>80832447.7449306</v>
      </c>
      <c r="AD16" s="33" t="n">
        <f aca="false">'2. The tape'!$C$17*(1+MIN(MAX($AD$5,'3. Assumptions'!$B$11),'3. Assumptions'!$B$10))^INT(($A16-1)/4)/4*(1-'3. Assumptions'!$B$13)</f>
        <v>2998091.25</v>
      </c>
      <c r="AE16" s="33" t="n">
        <f aca="false">(1-'3. Assumptions'!$B$15)*SUMPRODUCT((('2. The tape'!$C$5:$C$13*'2. The tape'!$D$5:$D$13*(1-'2. The tape'!$J$5:$J$13)^($A16/4)*(1+$AD$5)^($A16/4)*((1-'3. Assumptions'!$B$13)/($AD$6)-'2. The tape'!$H$5:$H$13/12-'3. Assumptions'!$B$16)-'2. The tape'!$C$5:$C$13*'2. The tape'!$I$5:$I$13*(1+$AD$5)^($A16/4))&gt;0)*('2. The tape'!$C$5:$C$13*'2. The tape'!$D$5:$D$13*(1-'2. The tape'!$J$5:$J$13)^($A16/4)*(1+$AD$5)^($A16/4)*((1-'3. Assumptions'!$B$13)/($AD$6)-'2. The tape'!$H$5:$H$13/12-'3. Assumptions'!$B$16)-'2. The tape'!$C$5:$C$13*'2. The tape'!$I$5:$I$13*(1+$AD$5)^($A16/4)))</f>
        <v>80832447.7449306</v>
      </c>
      <c r="AF16" s="33" t="n">
        <f aca="false">'2. The tape'!$C$17*(1+MIN(MAX($AF$5,'3. Assumptions'!$B$11),'3. Assumptions'!$B$10))^INT(($A16-1)/4)/4*(1-'3. Assumptions'!$B$13)</f>
        <v>2998091.25</v>
      </c>
      <c r="AG16" s="33" t="n">
        <f aca="false">(1-'3. Assumptions'!$B$15)*SUMPRODUCT((('2. The tape'!$C$5:$C$13*'2. The tape'!$D$5:$D$13*(1-'2. The tape'!$J$5:$J$13)^($A16/4)*(1+$AF$5)^($A16/4)*((1-'3. Assumptions'!$B$13)/($AF$6)-'2. The tape'!$H$5:$H$13/12-'3. Assumptions'!$B$16)-'2. The tape'!$C$5:$C$13*'2. The tape'!$I$5:$I$13*(1+$AF$5)^($A16/4))&gt;0)*('2. The tape'!$C$5:$C$13*'2. The tape'!$D$5:$D$13*(1-'2. The tape'!$J$5:$J$13)^($A16/4)*(1+$AF$5)^($A16/4)*((1-'3. Assumptions'!$B$13)/($AF$6)-'2. The tape'!$H$5:$H$13/12-'3. Assumptions'!$B$16)-'2. The tape'!$C$5:$C$13*'2. The tape'!$I$5:$I$13*(1+$AF$5)^($A16/4)))</f>
        <v>80832447.7449306</v>
      </c>
      <c r="AH16" s="33" t="n">
        <f aca="false">'2. The tape'!$C$17*(1+MIN(MAX($AH$5,'3. Assumptions'!$B$11),'3. Assumptions'!$B$10))^INT(($A16-1)/4)/4*(1-'3. Assumptions'!$B$13)</f>
        <v>2998091.25</v>
      </c>
      <c r="AI16" s="33" t="n">
        <f aca="false">(1-'3. Assumptions'!$B$15)*SUMPRODUCT((('2. The tape'!$C$5:$C$13*'2. The tape'!$D$5:$D$13*(1-'2. The tape'!$J$5:$J$13)^($A16/4)*(1+$AH$5)^($A16/4)*((1-'3. Assumptions'!$B$13)/($AH$6)-'2. The tape'!$H$5:$H$13/12-'3. Assumptions'!$B$16)-'2. The tape'!$C$5:$C$13*'2. The tape'!$I$5:$I$13*(1+$AH$5)^($A16/4))&gt;0)*('2. The tape'!$C$5:$C$13*'2. The tape'!$D$5:$D$13*(1-'2. The tape'!$J$5:$J$13)^($A16/4)*(1+$AH$5)^($A16/4)*((1-'3. Assumptions'!$B$13)/($AH$6)-'2. The tape'!$H$5:$H$13/12-'3. Assumptions'!$B$16)-'2. The tape'!$C$5:$C$13*'2. The tape'!$I$5:$I$13*(1+$AH$5)^($A16/4)))</f>
        <v>158943459.530572</v>
      </c>
      <c r="AJ16" s="33" t="n">
        <f aca="false">'2. The tape'!$C$17*(1+MIN(MAX($AJ$5,'3. Assumptions'!$B$11),'3. Assumptions'!$B$10))^INT(($A16-1)/4)/4*(1-'3. Assumptions'!$B$13)</f>
        <v>2998091.25</v>
      </c>
      <c r="AK16" s="33" t="n">
        <f aca="false">(1-'3. Assumptions'!$B$15)*SUMPRODUCT((('2. The tape'!$C$5:$C$13*'2. The tape'!$D$5:$D$13*(1-'2. The tape'!$J$5:$J$13)^($A16/4)*(1+$AJ$5)^($A16/4)*((1-'3. Assumptions'!$B$13)/($AJ$6)-'2. The tape'!$H$5:$H$13/12-'3. Assumptions'!$B$16)-'2. The tape'!$C$5:$C$13*'2. The tape'!$I$5:$I$13*(1+$AJ$5)^($A16/4))&gt;0)*('2. The tape'!$C$5:$C$13*'2. The tape'!$D$5:$D$13*(1-'2. The tape'!$J$5:$J$13)^($A16/4)*(1+$AJ$5)^($A16/4)*((1-'3. Assumptions'!$B$13)/($AJ$6)-'2. The tape'!$H$5:$H$13/12-'3. Assumptions'!$B$16)-'2. The tape'!$C$5:$C$13*'2. The tape'!$I$5:$I$13*(1+$AJ$5)^($A16/4)))</f>
        <v>115717547.310434</v>
      </c>
      <c r="AL16" s="33" t="n">
        <f aca="false">'2. The tape'!$C$17*(1+MIN(MAX($AL$5,'3. Assumptions'!$B$11),'3. Assumptions'!$B$10))^INT(($A16-1)/4)/4*(1-'3. Assumptions'!$B$13)</f>
        <v>2998091.25</v>
      </c>
      <c r="AM16" s="33" t="n">
        <f aca="false">(1-'3. Assumptions'!$B$15)*SUMPRODUCT((('2. The tape'!$C$5:$C$13*'2. The tape'!$D$5:$D$13*(1-'2. The tape'!$J$5:$J$13)^($A16/4)*(1+$AL$5)^($A16/4)*((1-'3. Assumptions'!$B$13)/($AL$6)-'2. The tape'!$H$5:$H$13/12-'3. Assumptions'!$B$16)-'2. The tape'!$C$5:$C$13*'2. The tape'!$I$5:$I$13*(1+$AL$5)^($A16/4))&gt;0)*('2. The tape'!$C$5:$C$13*'2. The tape'!$D$5:$D$13*(1-'2. The tape'!$J$5:$J$13)^($A16/4)*(1+$AL$5)^($A16/4)*((1-'3. Assumptions'!$B$13)/($AL$6)-'2. The tape'!$H$5:$H$13/12-'3. Assumptions'!$B$16)-'2. The tape'!$C$5:$C$13*'2. The tape'!$I$5:$I$13*(1+$AL$5)^($A16/4)))</f>
        <v>132482434.233161</v>
      </c>
      <c r="AN16" s="33" t="n">
        <f aca="false">'2. The tape'!$C$17*(1+MIN(MAX($AN$5,'3. Assumptions'!$B$11),'3. Assumptions'!$B$10))^INT(($A16-1)/4)/4*(1-'3. Assumptions'!$B$13)</f>
        <v>2998091.25</v>
      </c>
      <c r="AO16" s="33" t="n">
        <f aca="false">(1-'3. Assumptions'!$B$15)*SUMPRODUCT((('2. The tape'!$C$5:$C$13*'2. The tape'!$D$5:$D$13*(1-'2. The tape'!$J$5:$J$13)^($A16/4)*(1+$AN$5)^($A16/4)*((1-'3. Assumptions'!$B$13)/($AN$6)-'2. The tape'!$H$5:$H$13/12-'3. Assumptions'!$B$16)-'2. The tape'!$C$5:$C$13*'2. The tape'!$I$5:$I$13*(1+$AN$5)^($A16/4))&gt;0)*('2. The tape'!$C$5:$C$13*'2. The tape'!$D$5:$D$13*(1-'2. The tape'!$J$5:$J$13)^($A16/4)*(1+$AN$5)^($A16/4)*((1-'3. Assumptions'!$B$13)/($AN$6)-'2. The tape'!$H$5:$H$13/12-'3. Assumptions'!$B$16)-'2. The tape'!$C$5:$C$13*'2. The tape'!$I$5:$I$13*(1+$AN$5)^($A16/4)))</f>
        <v>135621335.900679</v>
      </c>
      <c r="AP16" s="33" t="n">
        <f aca="false">'2. The tape'!$C$17*(1+MIN(MAX($AP$5,'3. Assumptions'!$B$11),'3. Assumptions'!$B$10))^INT(($A16-1)/4)/4*(1-'3. Assumptions'!$B$13)</f>
        <v>2998091.25</v>
      </c>
      <c r="AQ16" s="33" t="n">
        <f aca="false">(1-'3. Assumptions'!$B$15)*SUMPRODUCT((('2. The tape'!$C$5:$C$13*'2. The tape'!$D$5:$D$13*(1-'2. The tape'!$J$5:$J$13)^($A16/4)*(1+$AP$5)^($A16/4)*((1-'3. Assumptions'!$B$13)/($AP$6)-'2. The tape'!$H$5:$H$13/12-'3. Assumptions'!$B$16)-'2. The tape'!$C$5:$C$13*'2. The tape'!$I$5:$I$13*(1+$AP$5)^($A16/4))&gt;0)*('2. The tape'!$C$5:$C$13*'2. The tape'!$D$5:$D$13*(1-'2. The tape'!$J$5:$J$13)^($A16/4)*(1+$AP$5)^($A16/4)*((1-'3. Assumptions'!$B$13)/($AP$6)-'2. The tape'!$H$5:$H$13/12-'3. Assumptions'!$B$16)-'2. The tape'!$C$5:$C$13*'2. The tape'!$I$5:$I$13*(1+$AP$5)^($A16/4)))</f>
        <v>135233844.930969</v>
      </c>
      <c r="AR16" s="33" t="n">
        <f aca="false">'2. The tape'!$C$17*(1+MIN(MAX($AR$5,'3. Assumptions'!$B$11),'3. Assumptions'!$B$10))^INT(($A16-1)/4)/4*(1-'3. Assumptions'!$B$13)</f>
        <v>2998091.25</v>
      </c>
      <c r="AS16" s="33" t="n">
        <f aca="false">(1-'3. Assumptions'!$B$15)*SUMPRODUCT((('2. The tape'!$C$5:$C$13*'2. The tape'!$D$5:$D$13*(1-'2. The tape'!$J$5:$J$13)^($A16/4)*(1+$AR$5)^($A16/4)*((1-'3. Assumptions'!$B$13)/($AR$6)-'2. The tape'!$H$5:$H$13/12-'3. Assumptions'!$B$16)-'2. The tape'!$C$5:$C$13*'2. The tape'!$I$5:$I$13*(1+$AR$5)^($A16/4))&gt;0)*('2. The tape'!$C$5:$C$13*'2. The tape'!$D$5:$D$13*(1-'2. The tape'!$J$5:$J$13)^($A16/4)*(1+$AR$5)^($A16/4)*((1-'3. Assumptions'!$B$13)/($AR$6)-'2. The tape'!$H$5:$H$13/12-'3. Assumptions'!$B$16)-'2. The tape'!$C$5:$C$13*'2. The tape'!$I$5:$I$13*(1+$AR$5)^($A16/4)))</f>
        <v>135240346.474418</v>
      </c>
      <c r="AT16" s="33" t="n">
        <f aca="false">'2. The tape'!$C$17*(1+MIN(MAX($AT$5,'3. Assumptions'!$B$11),'3. Assumptions'!$B$10))^INT(($A16-1)/4)/4*(1-'3. Assumptions'!$B$13)</f>
        <v>2998091.25</v>
      </c>
      <c r="AU16" s="33" t="n">
        <f aca="false">(1-'3. Assumptions'!$B$15)*SUMPRODUCT((('2. The tape'!$C$5:$C$13*'2. The tape'!$D$5:$D$13*(1-'2. The tape'!$J$5:$J$13)^($A16/4)*(1+$AT$5)^($A16/4)*((1-'3. Assumptions'!$B$13)/($AT$6)-'2. The tape'!$H$5:$H$13/12-'3. Assumptions'!$B$16)-'2. The tape'!$C$5:$C$13*'2. The tape'!$I$5:$I$13*(1+$AT$5)^($A16/4))&gt;0)*('2. The tape'!$C$5:$C$13*'2. The tape'!$D$5:$D$13*(1-'2. The tape'!$J$5:$J$13)^($A16/4)*(1+$AT$5)^($A16/4)*((1-'3. Assumptions'!$B$13)/($AT$6)-'2. The tape'!$H$5:$H$13/12-'3. Assumptions'!$B$16)-'2. The tape'!$C$5:$C$13*'2. The tape'!$I$5:$I$13*(1+$AT$5)^($A16/4)))</f>
        <v>135240361.614877</v>
      </c>
      <c r="AV16" s="33" t="n">
        <f aca="false">'2. The tape'!$C$17*(1+MIN(MAX($AV$5,'3. Assumptions'!$B$11),'3. Assumptions'!$B$10))^INT(($A16-1)/4)/4*(1-'3. Assumptions'!$B$13)</f>
        <v>2998091.25</v>
      </c>
      <c r="AW16" s="33" t="n">
        <f aca="false">(1-'3. Assumptions'!$B$15)*SUMPRODUCT((('2. The tape'!$C$5:$C$13*'2. The tape'!$D$5:$D$13*(1-'2. The tape'!$J$5:$J$13)^($A16/4)*(1+$AV$5)^($A16/4)*((1-'3. Assumptions'!$B$13)/($AV$6)-'2. The tape'!$H$5:$H$13/12-'3. Assumptions'!$B$16)-'2. The tape'!$C$5:$C$13*'2. The tape'!$I$5:$I$13*(1+$AV$5)^($A16/4))&gt;0)*('2. The tape'!$C$5:$C$13*'2. The tape'!$D$5:$D$13*(1-'2. The tape'!$J$5:$J$13)^($A16/4)*(1+$AV$5)^($A16/4)*((1-'3. Assumptions'!$B$13)/($AV$6)-'2. The tape'!$H$5:$H$13/12-'3. Assumptions'!$B$16)-'2. The tape'!$C$5:$C$13*'2. The tape'!$I$5:$I$13*(1+$AV$5)^($A16/4)))</f>
        <v>135240361.614274</v>
      </c>
      <c r="AX16" s="33" t="n">
        <f aca="false">'2. The tape'!$C$17*(1+MIN(MAX($AX$5,'3. Assumptions'!$B$11),'3. Assumptions'!$B$10))^INT(($A16-1)/4)/4*(1-'3. Assumptions'!$B$13)</f>
        <v>2998091.25</v>
      </c>
      <c r="AY16" s="33" t="n">
        <f aca="false">(1-'3. Assumptions'!$B$15)*SUMPRODUCT((('2. The tape'!$C$5:$C$13*'2. The tape'!$D$5:$D$13*(1-'2. The tape'!$J$5:$J$13)^($A16/4)*(1+$AX$5)^($A16/4)*((1-'3. Assumptions'!$B$13)/($AX$6)-'2. The tape'!$H$5:$H$13/12-'3. Assumptions'!$B$16)-'2. The tape'!$C$5:$C$13*'2. The tape'!$I$5:$I$13*(1+$AX$5)^($A16/4))&gt;0)*('2. The tape'!$C$5:$C$13*'2. The tape'!$D$5:$D$13*(1-'2. The tape'!$J$5:$J$13)^($A16/4)*(1+$AX$5)^($A16/4)*((1-'3. Assumptions'!$B$13)/($AX$6)-'2. The tape'!$H$5:$H$13/12-'3. Assumptions'!$B$16)-'2. The tape'!$C$5:$C$13*'2. The tape'!$I$5:$I$13*(1+$AX$5)^($A16/4)))</f>
        <v>135240361.614274</v>
      </c>
      <c r="AZ16" s="33" t="n">
        <f aca="false">'2. The tape'!$C$17*(1+MIN(MAX($AZ$5,'3. Assumptions'!$B$11),'3. Assumptions'!$B$10))^INT(($A16-1)/4)/4*(1-'3. Assumptions'!$B$13)</f>
        <v>2998091.25</v>
      </c>
      <c r="BA16" s="33" t="n">
        <f aca="false">(1-'3. Assumptions'!$B$15)*SUMPRODUCT((('2. The tape'!$C$5:$C$13*'2. The tape'!$D$5:$D$13*(1-'2. The tape'!$J$5:$J$13)^($A16/4)*(1+$AZ$5)^($A16/4)*((1-'3. Assumptions'!$B$13)/($AZ$6)-'2. The tape'!$H$5:$H$13/12-'3. Assumptions'!$B$16)-'2. The tape'!$C$5:$C$13*'2. The tape'!$I$5:$I$13*(1+$AZ$5)^($A16/4))&gt;0)*('2. The tape'!$C$5:$C$13*'2. The tape'!$D$5:$D$13*(1-'2. The tape'!$J$5:$J$13)^($A16/4)*(1+$AZ$5)^($A16/4)*((1-'3. Assumptions'!$B$13)/($AZ$6)-'2. The tape'!$H$5:$H$13/12-'3. Assumptions'!$B$16)-'2. The tape'!$C$5:$C$13*'2. The tape'!$I$5:$I$13*(1+$AZ$5)^($A16/4)))</f>
        <v>135240361.614274</v>
      </c>
    </row>
    <row r="17" customFormat="false" ht="15" hidden="false" customHeight="false" outlineLevel="0" collapsed="false">
      <c r="A17" s="20" t="n">
        <v>2</v>
      </c>
      <c r="B17" s="33" t="n">
        <f aca="false">'2. The tape'!$C$17*(1+MIN(MAX($B$5,'3. Assumptions'!$B$11),'3. Assumptions'!$B$10))^INT(($A17-1)/4)/4*(1-'3. Assumptions'!$B$13)</f>
        <v>2998091.25</v>
      </c>
      <c r="C17" s="33" t="n">
        <f aca="false">(1-'3. Assumptions'!$B$15)*SUMPRODUCT((('2. The tape'!$C$5:$C$13*'2. The tape'!$D$5:$D$13*(1-'2. The tape'!$J$5:$J$13)^($A17/4)*(1+$B$5)^($A17/4)*((1-'3. Assumptions'!$B$13)/($B$6)-'2. The tape'!$H$5:$H$13/12-'3. Assumptions'!$B$16)-'2. The tape'!$C$5:$C$13*'2. The tape'!$I$5:$I$13*(1+$B$5)^($A17/4))&gt;0)*('2. The tape'!$C$5:$C$13*'2. The tape'!$D$5:$D$13*(1-'2. The tape'!$J$5:$J$13)^($A17/4)*(1+$B$5)^($A17/4)*((1-'3. Assumptions'!$B$13)/($B$6)-'2. The tape'!$H$5:$H$13/12-'3. Assumptions'!$B$16)-'2. The tape'!$C$5:$C$13*'2. The tape'!$I$5:$I$13*(1+$B$5)^($A17/4)))</f>
        <v>81725022.672908</v>
      </c>
      <c r="D17" s="33" t="n">
        <f aca="false">'2. The tape'!$C$17*(1+MIN(MAX($D$5,'3. Assumptions'!$B$11),'3. Assumptions'!$B$10))^INT(($A17-1)/4)/4*(1-'3. Assumptions'!$B$13)</f>
        <v>2998091.25</v>
      </c>
      <c r="E17" s="33" t="n">
        <f aca="false">(1-'3. Assumptions'!$B$15)*SUMPRODUCT((('2. The tape'!$C$5:$C$13*'2. The tape'!$D$5:$D$13*(1-'2. The tape'!$J$5:$J$13)^($A17/4)*(1+$D$5)^($A17/4)*((1-'3. Assumptions'!$B$13)/($D$6)-'2. The tape'!$H$5:$H$13/12-'3. Assumptions'!$B$16)-'2. The tape'!$C$5:$C$13*'2. The tape'!$I$5:$I$13*(1+$D$5)^($A17/4))&gt;0)*('2. The tape'!$C$5:$C$13*'2. The tape'!$D$5:$D$13*(1-'2. The tape'!$J$5:$J$13)^($A17/4)*(1+$D$5)^($A17/4)*((1-'3. Assumptions'!$B$13)/($D$6)-'2. The tape'!$H$5:$H$13/12-'3. Assumptions'!$B$16)-'2. The tape'!$C$5:$C$13*'2. The tape'!$I$5:$I$13*(1+$D$5)^($A17/4)))</f>
        <v>82243157.7312604</v>
      </c>
      <c r="F17" s="33" t="n">
        <f aca="false">'2. The tape'!$C$17*(1+MIN(MAX($F$5,'3. Assumptions'!$B$11),'3. Assumptions'!$B$10))^INT(($A17-1)/4)/4*(1-'3. Assumptions'!$B$13)</f>
        <v>2998091.25</v>
      </c>
      <c r="G17" s="33" t="n">
        <f aca="false">(1-'3. Assumptions'!$B$15)*SUMPRODUCT((('2. The tape'!$C$5:$C$13*'2. The tape'!$D$5:$D$13*(1-'2. The tape'!$J$5:$J$13)^($A17/4)*(1+$F$5)^($A17/4)*((1-'3. Assumptions'!$B$13)/($F$6)-'2. The tape'!$H$5:$H$13/12-'3. Assumptions'!$B$16)-'2. The tape'!$C$5:$C$13*'2. The tape'!$I$5:$I$13*(1+$F$5)^($A17/4))&gt;0)*('2. The tape'!$C$5:$C$13*'2. The tape'!$D$5:$D$13*(1-'2. The tape'!$J$5:$J$13)^($A17/4)*(1+$F$5)^($A17/4)*((1-'3. Assumptions'!$B$13)/($F$6)-'2. The tape'!$H$5:$H$13/12-'3. Assumptions'!$B$16)-'2. The tape'!$C$5:$C$13*'2. The tape'!$I$5:$I$13*(1+$F$5)^($A17/4)))</f>
        <v>81243811.2904017</v>
      </c>
      <c r="H17" s="33" t="n">
        <f aca="false">'2. The tape'!$C$17*(1+MIN(MAX($H$5,'3. Assumptions'!$B$11),'3. Assumptions'!$B$10))^INT(($A17-1)/4)/4*(1-'3. Assumptions'!$B$13)</f>
        <v>2998091.25</v>
      </c>
      <c r="I17" s="33" t="n">
        <f aca="false">(1-'3. Assumptions'!$B$15)*SUMPRODUCT((('2. The tape'!$C$5:$C$13*'2. The tape'!$D$5:$D$13*(1-'2. The tape'!$J$5:$J$13)^($A17/4)*(1+$H$5)^($A17/4)*((1-'3. Assumptions'!$B$13)/($H$6)-'2. The tape'!$H$5:$H$13/12-'3. Assumptions'!$B$16)-'2. The tape'!$C$5:$C$13*'2. The tape'!$I$5:$I$13*(1+$H$5)^($A17/4))&gt;0)*('2. The tape'!$C$5:$C$13*'2. The tape'!$D$5:$D$13*(1-'2. The tape'!$J$5:$J$13)^($A17/4)*(1+$H$5)^($A17/4)*((1-'3. Assumptions'!$B$13)/($H$6)-'2. The tape'!$H$5:$H$13/12-'3. Assumptions'!$B$16)-'2. The tape'!$C$5:$C$13*'2. The tape'!$I$5:$I$13*(1+$H$5)^($A17/4)))</f>
        <v>82243157.7312604</v>
      </c>
      <c r="J17" s="33" t="n">
        <f aca="false">'2. The tape'!$C$17*(1+MIN(MAX($J$5,'3. Assumptions'!$B$11),'3. Assumptions'!$B$10))^INT(($A17-1)/4)/4*(1-'3. Assumptions'!$B$13)</f>
        <v>2998091.25</v>
      </c>
      <c r="K17" s="33" t="n">
        <f aca="false">(1-'3. Assumptions'!$B$15)*SUMPRODUCT((('2. The tape'!$C$5:$C$13*'2. The tape'!$D$5:$D$13*(1-'2. The tape'!$J$5:$J$13)^($A17/4)*(1+$J$5)^($A17/4)*((1-'3. Assumptions'!$B$13)/($J$6)-'2. The tape'!$H$5:$H$13/12-'3. Assumptions'!$B$16)-'2. The tape'!$C$5:$C$13*'2. The tape'!$I$5:$I$13*(1+$J$5)^($A17/4))&gt;0)*('2. The tape'!$C$5:$C$13*'2. The tape'!$D$5:$D$13*(1-'2. The tape'!$J$5:$J$13)^($A17/4)*(1+$J$5)^($A17/4)*((1-'3. Assumptions'!$B$13)/($J$6)-'2. The tape'!$H$5:$H$13/12-'3. Assumptions'!$B$16)-'2. The tape'!$C$5:$C$13*'2. The tape'!$I$5:$I$13*(1+$J$5)^($A17/4)))</f>
        <v>67601395.3820307</v>
      </c>
      <c r="L17" s="33" t="n">
        <f aca="false">'2. The tape'!$C$17*(1+MIN(MAX($L$5,'3. Assumptions'!$B$11),'3. Assumptions'!$B$10))^INT(($A17-1)/4)/4*(1-'3. Assumptions'!$B$13)</f>
        <v>2998091.25</v>
      </c>
      <c r="M17" s="33" t="n">
        <f aca="false">(1-'3. Assumptions'!$B$15)*SUMPRODUCT((('2. The tape'!$C$5:$C$13*'2. The tape'!$D$5:$D$13*(1-'2. The tape'!$J$5:$J$13)^($A17/4)*(1+$L$5)^($A17/4)*((1-'3. Assumptions'!$B$13)/($L$6)-'2. The tape'!$H$5:$H$13/12-'3. Assumptions'!$B$16)-'2. The tape'!$C$5:$C$13*'2. The tape'!$I$5:$I$13*(1+$L$5)^($A17/4))&gt;0)*('2. The tape'!$C$5:$C$13*'2. The tape'!$D$5:$D$13*(1-'2. The tape'!$J$5:$J$13)^($A17/4)*(1+$L$5)^($A17/4)*((1-'3. Assumptions'!$B$13)/($L$6)-'2. The tape'!$H$5:$H$13/12-'3. Assumptions'!$B$16)-'2. The tape'!$C$5:$C$13*'2. The tape'!$I$5:$I$13*(1+$L$5)^($A17/4)))</f>
        <v>92172481.1001954</v>
      </c>
      <c r="N17" s="33" t="n">
        <f aca="false">'2. The tape'!$C$17*(1+MIN(MAX($N$5,'3. Assumptions'!$B$11),'3. Assumptions'!$B$10))^INT(($A17-1)/4)/4*(1-'3. Assumptions'!$B$13)</f>
        <v>2998091.25</v>
      </c>
      <c r="O17" s="33" t="n">
        <f aca="false">(1-'3. Assumptions'!$B$15)*SUMPRODUCT((('2. The tape'!$C$5:$C$13*'2. The tape'!$D$5:$D$13*(1-'2. The tape'!$J$5:$J$13)^($A17/4)*(1+$N$5)^($A17/4)*((1-'3. Assumptions'!$B$13)/($N$6)-'2. The tape'!$H$5:$H$13/12-'3. Assumptions'!$B$16)-'2. The tape'!$C$5:$C$13*'2. The tape'!$I$5:$I$13*(1+$N$5)^($A17/4))&gt;0)*('2. The tape'!$C$5:$C$13*'2. The tape'!$D$5:$D$13*(1-'2. The tape'!$J$5:$J$13)^($A17/4)*(1+$N$5)^($A17/4)*((1-'3. Assumptions'!$B$13)/($N$6)-'2. The tape'!$H$5:$H$13/12-'3. Assumptions'!$B$16)-'2. The tape'!$C$5:$C$13*'2. The tape'!$I$5:$I$13*(1+$N$5)^($A17/4)))</f>
        <v>79618770.9023487</v>
      </c>
      <c r="P17" s="33" t="n">
        <f aca="false">'2. The tape'!$C$17*(1+MIN(MAX($P$5,'3. Assumptions'!$B$11),'3. Assumptions'!$B$10))^INT(($A17-1)/4)/4*(1-'3. Assumptions'!$B$13)</f>
        <v>2998091.25</v>
      </c>
      <c r="Q17" s="33" t="n">
        <f aca="false">(1-'3. Assumptions'!$B$15)*SUMPRODUCT((('2. The tape'!$C$5:$C$13*'2. The tape'!$D$5:$D$13*(1-'2. The tape'!$J$5:$J$13)^($A17/4)*(1+$P$5)^($A17/4)*((1-'3. Assumptions'!$B$13)/($P$6)-'2. The tape'!$H$5:$H$13/12-'3. Assumptions'!$B$16)-'2. The tape'!$C$5:$C$13*'2. The tape'!$I$5:$I$13*(1+$P$5)^($A17/4))&gt;0)*('2. The tape'!$C$5:$C$13*'2. The tape'!$D$5:$D$13*(1-'2. The tape'!$J$5:$J$13)^($A17/4)*(1+$P$5)^($A17/4)*((1-'3. Assumptions'!$B$13)/($P$6)-'2. The tape'!$H$5:$H$13/12-'3. Assumptions'!$B$16)-'2. The tape'!$C$5:$C$13*'2. The tape'!$I$5:$I$13*(1+$P$5)^($A17/4)))</f>
        <v>80028124.607841</v>
      </c>
      <c r="R17" s="33" t="n">
        <f aca="false">'2. The tape'!$C$17*(1+MIN(MAX($R$5,'3. Assumptions'!$B$11),'3. Assumptions'!$B$10))^INT(($A17-1)/4)/4*(1-'3. Assumptions'!$B$13)</f>
        <v>2998091.25</v>
      </c>
      <c r="S17" s="33" t="n">
        <f aca="false">(1-'3. Assumptions'!$B$15)*SUMPRODUCT((('2. The tape'!$C$5:$C$13*'2. The tape'!$D$5:$D$13*(1-'2. The tape'!$J$5:$J$13)^($A17/4)*(1+$R$5)^($A17/4)*((1-'3. Assumptions'!$B$13)/($R$6)-'2. The tape'!$H$5:$H$13/12-'3. Assumptions'!$B$16)-'2. The tape'!$C$5:$C$13*'2. The tape'!$I$5:$I$13*(1+$R$5)^($A17/4))&gt;0)*('2. The tape'!$C$5:$C$13*'2. The tape'!$D$5:$D$13*(1-'2. The tape'!$J$5:$J$13)^($A17/4)*(1+$R$5)^($A17/4)*((1-'3. Assumptions'!$B$13)/($R$6)-'2. The tape'!$H$5:$H$13/12-'3. Assumptions'!$B$16)-'2. The tape'!$C$5:$C$13*'2. The tape'!$I$5:$I$13*(1+$R$5)^($A17/4)))</f>
        <v>79780573.0352244</v>
      </c>
      <c r="T17" s="33" t="n">
        <f aca="false">'2. The tape'!$C$17*(1+MIN(MAX($T$5,'3. Assumptions'!$B$11),'3. Assumptions'!$B$10))^INT(($A17-1)/4)/4*(1-'3. Assumptions'!$B$13)</f>
        <v>2998091.25</v>
      </c>
      <c r="U17" s="33" t="n">
        <f aca="false">(1-'3. Assumptions'!$B$15)*SUMPRODUCT((('2. The tape'!$C$5:$C$13*'2. The tape'!$D$5:$D$13*(1-'2. The tape'!$J$5:$J$13)^($A17/4)*(1+$T$5)^($A17/4)*((1-'3. Assumptions'!$B$13)/($T$6)-'2. The tape'!$H$5:$H$13/12-'3. Assumptions'!$B$16)-'2. The tape'!$C$5:$C$13*'2. The tape'!$I$5:$I$13*(1+$T$5)^($A17/4))&gt;0)*('2. The tape'!$C$5:$C$13*'2. The tape'!$D$5:$D$13*(1-'2. The tape'!$J$5:$J$13)^($A17/4)*(1+$T$5)^($A17/4)*((1-'3. Assumptions'!$B$13)/($T$6)-'2. The tape'!$H$5:$H$13/12-'3. Assumptions'!$B$16)-'2. The tape'!$C$5:$C$13*'2. The tape'!$I$5:$I$13*(1+$T$5)^($A17/4)))</f>
        <v>79773847.7473781</v>
      </c>
      <c r="V17" s="33" t="n">
        <f aca="false">'2. The tape'!$C$17*(1+MIN(MAX($V$5,'3. Assumptions'!$B$11),'3. Assumptions'!$B$10))^INT(($A17-1)/4)/4*(1-'3. Assumptions'!$B$13)</f>
        <v>2998091.25</v>
      </c>
      <c r="W17" s="33" t="n">
        <f aca="false">(1-'3. Assumptions'!$B$15)*SUMPRODUCT((('2. The tape'!$C$5:$C$13*'2. The tape'!$D$5:$D$13*(1-'2. The tape'!$J$5:$J$13)^($A17/4)*(1+$V$5)^($A17/4)*((1-'3. Assumptions'!$B$13)/($V$6)-'2. The tape'!$H$5:$H$13/12-'3. Assumptions'!$B$16)-'2. The tape'!$C$5:$C$13*'2. The tape'!$I$5:$I$13*(1+$V$5)^($A17/4))&gt;0)*('2. The tape'!$C$5:$C$13*'2. The tape'!$D$5:$D$13*(1-'2. The tape'!$J$5:$J$13)^($A17/4)*(1+$V$5)^($A17/4)*((1-'3. Assumptions'!$B$13)/($V$6)-'2. The tape'!$H$5:$H$13/12-'3. Assumptions'!$B$16)-'2. The tape'!$C$5:$C$13*'2. The tape'!$I$5:$I$13*(1+$V$5)^($A17/4)))</f>
        <v>79774117.9739153</v>
      </c>
      <c r="X17" s="33" t="n">
        <f aca="false">'2. The tape'!$C$17*(1+MIN(MAX($X$5,'3. Assumptions'!$B$11),'3. Assumptions'!$B$10))^INT(($A17-1)/4)/4*(1-'3. Assumptions'!$B$13)</f>
        <v>2998091.25</v>
      </c>
      <c r="Y17" s="33" t="n">
        <f aca="false">(1-'3. Assumptions'!$B$15)*SUMPRODUCT((('2. The tape'!$C$5:$C$13*'2. The tape'!$D$5:$D$13*(1-'2. The tape'!$J$5:$J$13)^($A17/4)*(1+$X$5)^($A17/4)*((1-'3. Assumptions'!$B$13)/($X$6)-'2. The tape'!$H$5:$H$13/12-'3. Assumptions'!$B$16)-'2. The tape'!$C$5:$C$13*'2. The tape'!$I$5:$I$13*(1+$X$5)^($A17/4))&gt;0)*('2. The tape'!$C$5:$C$13*'2. The tape'!$D$5:$D$13*(1-'2. The tape'!$J$5:$J$13)^($A17/4)*(1+$X$5)^($A17/4)*((1-'3. Assumptions'!$B$13)/($X$6)-'2. The tape'!$H$5:$H$13/12-'3. Assumptions'!$B$16)-'2. The tape'!$C$5:$C$13*'2. The tape'!$I$5:$I$13*(1+$X$5)^($A17/4)))</f>
        <v>79774117.6897558</v>
      </c>
      <c r="Z17" s="33" t="n">
        <f aca="false">'2. The tape'!$C$17*(1+MIN(MAX($Z$5,'3. Assumptions'!$B$11),'3. Assumptions'!$B$10))^INT(($A17-1)/4)/4*(1-'3. Assumptions'!$B$13)</f>
        <v>2998091.25</v>
      </c>
      <c r="AA17" s="33" t="n">
        <f aca="false">(1-'3. Assumptions'!$B$15)*SUMPRODUCT((('2. The tape'!$C$5:$C$13*'2. The tape'!$D$5:$D$13*(1-'2. The tape'!$J$5:$J$13)^($A17/4)*(1+$Z$5)^($A17/4)*((1-'3. Assumptions'!$B$13)/($Z$6)-'2. The tape'!$H$5:$H$13/12-'3. Assumptions'!$B$16)-'2. The tape'!$C$5:$C$13*'2. The tape'!$I$5:$I$13*(1+$Z$5)^($A17/4))&gt;0)*('2. The tape'!$C$5:$C$13*'2. The tape'!$D$5:$D$13*(1-'2. The tape'!$J$5:$J$13)^($A17/4)*(1+$Z$5)^($A17/4)*((1-'3. Assumptions'!$B$13)/($Z$6)-'2. The tape'!$H$5:$H$13/12-'3. Assumptions'!$B$16)-'2. The tape'!$C$5:$C$13*'2. The tape'!$I$5:$I$13*(1+$Z$5)^($A17/4)))</f>
        <v>79774117.6897433</v>
      </c>
      <c r="AB17" s="33" t="n">
        <f aca="false">'2. The tape'!$C$17*(1+MIN(MAX($AB$5,'3. Assumptions'!$B$11),'3. Assumptions'!$B$10))^INT(($A17-1)/4)/4*(1-'3. Assumptions'!$B$13)</f>
        <v>2998091.25</v>
      </c>
      <c r="AC17" s="33" t="n">
        <f aca="false">(1-'3. Assumptions'!$B$15)*SUMPRODUCT((('2. The tape'!$C$5:$C$13*'2. The tape'!$D$5:$D$13*(1-'2. The tape'!$J$5:$J$13)^($A17/4)*(1+$AB$5)^($A17/4)*((1-'3. Assumptions'!$B$13)/($AB$6)-'2. The tape'!$H$5:$H$13/12-'3. Assumptions'!$B$16)-'2. The tape'!$C$5:$C$13*'2. The tape'!$I$5:$I$13*(1+$AB$5)^($A17/4))&gt;0)*('2. The tape'!$C$5:$C$13*'2. The tape'!$D$5:$D$13*(1-'2. The tape'!$J$5:$J$13)^($A17/4)*(1+$AB$5)^($A17/4)*((1-'3. Assumptions'!$B$13)/($AB$6)-'2. The tape'!$H$5:$H$13/12-'3. Assumptions'!$B$16)-'2. The tape'!$C$5:$C$13*'2. The tape'!$I$5:$I$13*(1+$AB$5)^($A17/4)))</f>
        <v>79774117.6897433</v>
      </c>
      <c r="AD17" s="33" t="n">
        <f aca="false">'2. The tape'!$C$17*(1+MIN(MAX($AD$5,'3. Assumptions'!$B$11),'3. Assumptions'!$B$10))^INT(($A17-1)/4)/4*(1-'3. Assumptions'!$B$13)</f>
        <v>2998091.25</v>
      </c>
      <c r="AE17" s="33" t="n">
        <f aca="false">(1-'3. Assumptions'!$B$15)*SUMPRODUCT((('2. The tape'!$C$5:$C$13*'2. The tape'!$D$5:$D$13*(1-'2. The tape'!$J$5:$J$13)^($A17/4)*(1+$AD$5)^($A17/4)*((1-'3. Assumptions'!$B$13)/($AD$6)-'2. The tape'!$H$5:$H$13/12-'3. Assumptions'!$B$16)-'2. The tape'!$C$5:$C$13*'2. The tape'!$I$5:$I$13*(1+$AD$5)^($A17/4))&gt;0)*('2. The tape'!$C$5:$C$13*'2. The tape'!$D$5:$D$13*(1-'2. The tape'!$J$5:$J$13)^($A17/4)*(1+$AD$5)^($A17/4)*((1-'3. Assumptions'!$B$13)/($AD$6)-'2. The tape'!$H$5:$H$13/12-'3. Assumptions'!$B$16)-'2. The tape'!$C$5:$C$13*'2. The tape'!$I$5:$I$13*(1+$AD$5)^($A17/4)))</f>
        <v>79774117.6897433</v>
      </c>
      <c r="AF17" s="33" t="n">
        <f aca="false">'2. The tape'!$C$17*(1+MIN(MAX($AF$5,'3. Assumptions'!$B$11),'3. Assumptions'!$B$10))^INT(($A17-1)/4)/4*(1-'3. Assumptions'!$B$13)</f>
        <v>2998091.25</v>
      </c>
      <c r="AG17" s="33" t="n">
        <f aca="false">(1-'3. Assumptions'!$B$15)*SUMPRODUCT((('2. The tape'!$C$5:$C$13*'2. The tape'!$D$5:$D$13*(1-'2. The tape'!$J$5:$J$13)^($A17/4)*(1+$AF$5)^($A17/4)*((1-'3. Assumptions'!$B$13)/($AF$6)-'2. The tape'!$H$5:$H$13/12-'3. Assumptions'!$B$16)-'2. The tape'!$C$5:$C$13*'2. The tape'!$I$5:$I$13*(1+$AF$5)^($A17/4))&gt;0)*('2. The tape'!$C$5:$C$13*'2. The tape'!$D$5:$D$13*(1-'2. The tape'!$J$5:$J$13)^($A17/4)*(1+$AF$5)^($A17/4)*((1-'3. Assumptions'!$B$13)/($AF$6)-'2. The tape'!$H$5:$H$13/12-'3. Assumptions'!$B$16)-'2. The tape'!$C$5:$C$13*'2. The tape'!$I$5:$I$13*(1+$AF$5)^($A17/4)))</f>
        <v>79774117.6897433</v>
      </c>
      <c r="AH17" s="33" t="n">
        <f aca="false">'2. The tape'!$C$17*(1+MIN(MAX($AH$5,'3. Assumptions'!$B$11),'3. Assumptions'!$B$10))^INT(($A17-1)/4)/4*(1-'3. Assumptions'!$B$13)</f>
        <v>2998091.25</v>
      </c>
      <c r="AI17" s="33" t="n">
        <f aca="false">(1-'3. Assumptions'!$B$15)*SUMPRODUCT((('2. The tape'!$C$5:$C$13*'2. The tape'!$D$5:$D$13*(1-'2. The tape'!$J$5:$J$13)^($A17/4)*(1+$AH$5)^($A17/4)*((1-'3. Assumptions'!$B$13)/($AH$6)-'2. The tape'!$H$5:$H$13/12-'3. Assumptions'!$B$16)-'2. The tape'!$C$5:$C$13*'2. The tape'!$I$5:$I$13*(1+$AH$5)^($A17/4))&gt;0)*('2. The tape'!$C$5:$C$13*'2. The tape'!$D$5:$D$13*(1-'2. The tape'!$J$5:$J$13)^($A17/4)*(1+$AH$5)^($A17/4)*((1-'3. Assumptions'!$B$13)/($AH$6)-'2. The tape'!$H$5:$H$13/12-'3. Assumptions'!$B$16)-'2. The tape'!$C$5:$C$13*'2. The tape'!$I$5:$I$13*(1+$AH$5)^($A17/4)))</f>
        <v>158840027.681098</v>
      </c>
      <c r="AJ17" s="33" t="n">
        <f aca="false">'2. The tape'!$C$17*(1+MIN(MAX($AJ$5,'3. Assumptions'!$B$11),'3. Assumptions'!$B$10))^INT(($A17-1)/4)/4*(1-'3. Assumptions'!$B$13)</f>
        <v>2998091.25</v>
      </c>
      <c r="AK17" s="33" t="n">
        <f aca="false">(1-'3. Assumptions'!$B$15)*SUMPRODUCT((('2. The tape'!$C$5:$C$13*'2. The tape'!$D$5:$D$13*(1-'2. The tape'!$J$5:$J$13)^($A17/4)*(1+$AJ$5)^($A17/4)*((1-'3. Assumptions'!$B$13)/($AJ$6)-'2. The tape'!$H$5:$H$13/12-'3. Assumptions'!$B$16)-'2. The tape'!$C$5:$C$13*'2. The tape'!$I$5:$I$13*(1+$AJ$5)^($A17/4))&gt;0)*('2. The tape'!$C$5:$C$13*'2. The tape'!$D$5:$D$13*(1-'2. The tape'!$J$5:$J$13)^($A17/4)*(1+$AJ$5)^($A17/4)*((1-'3. Assumptions'!$B$13)/($AJ$6)-'2. The tape'!$H$5:$H$13/12-'3. Assumptions'!$B$16)-'2. The tape'!$C$5:$C$13*'2. The tape'!$I$5:$I$13*(1+$AJ$5)^($A17/4)))</f>
        <v>115621728.171013</v>
      </c>
      <c r="AL17" s="33" t="n">
        <f aca="false">'2. The tape'!$C$17*(1+MIN(MAX($AL$5,'3. Assumptions'!$B$11),'3. Assumptions'!$B$10))^INT(($A17-1)/4)/4*(1-'3. Assumptions'!$B$13)</f>
        <v>2998091.25</v>
      </c>
      <c r="AM17" s="33" t="n">
        <f aca="false">(1-'3. Assumptions'!$B$15)*SUMPRODUCT((('2. The tape'!$C$5:$C$13*'2. The tape'!$D$5:$D$13*(1-'2. The tape'!$J$5:$J$13)^($A17/4)*(1+$AL$5)^($A17/4)*((1-'3. Assumptions'!$B$13)/($AL$6)-'2. The tape'!$H$5:$H$13/12-'3. Assumptions'!$B$16)-'2. The tape'!$C$5:$C$13*'2. The tape'!$I$5:$I$13*(1+$AL$5)^($A17/4))&gt;0)*('2. The tape'!$C$5:$C$13*'2. The tape'!$D$5:$D$13*(1-'2. The tape'!$J$5:$J$13)^($A17/4)*(1+$AL$5)^($A17/4)*((1-'3. Assumptions'!$B$13)/($AL$6)-'2. The tape'!$H$5:$H$13/12-'3. Assumptions'!$B$16)-'2. The tape'!$C$5:$C$13*'2. The tape'!$I$5:$I$13*(1+$AL$5)^($A17/4)))</f>
        <v>132383662.55401</v>
      </c>
      <c r="AN17" s="33" t="n">
        <f aca="false">'2. The tape'!$C$17*(1+MIN(MAX($AN$5,'3. Assumptions'!$B$11),'3. Assumptions'!$B$10))^INT(($A17-1)/4)/4*(1-'3. Assumptions'!$B$13)</f>
        <v>2998091.25</v>
      </c>
      <c r="AO17" s="33" t="n">
        <f aca="false">(1-'3. Assumptions'!$B$15)*SUMPRODUCT((('2. The tape'!$C$5:$C$13*'2. The tape'!$D$5:$D$13*(1-'2. The tape'!$J$5:$J$13)^($A17/4)*(1+$AN$5)^($A17/4)*((1-'3. Assumptions'!$B$13)/($AN$6)-'2. The tape'!$H$5:$H$13/12-'3. Assumptions'!$B$16)-'2. The tape'!$C$5:$C$13*'2. The tape'!$I$5:$I$13*(1+$AN$5)^($A17/4))&gt;0)*('2. The tape'!$C$5:$C$13*'2. The tape'!$D$5:$D$13*(1-'2. The tape'!$J$5:$J$13)^($A17/4)*(1+$AN$5)^($A17/4)*((1-'3. Assumptions'!$B$13)/($AN$6)-'2. The tape'!$H$5:$H$13/12-'3. Assumptions'!$B$16)-'2. The tape'!$C$5:$C$13*'2. The tape'!$I$5:$I$13*(1+$AN$5)^($A17/4)))</f>
        <v>135522011.41542</v>
      </c>
      <c r="AP17" s="33" t="n">
        <f aca="false">'2. The tape'!$C$17*(1+MIN(MAX($AP$5,'3. Assumptions'!$B$11),'3. Assumptions'!$B$10))^INT(($A17-1)/4)/4*(1-'3. Assumptions'!$B$13)</f>
        <v>2998091.25</v>
      </c>
      <c r="AQ17" s="33" t="n">
        <f aca="false">(1-'3. Assumptions'!$B$15)*SUMPRODUCT((('2. The tape'!$C$5:$C$13*'2. The tape'!$D$5:$D$13*(1-'2. The tape'!$J$5:$J$13)^($A17/4)*(1+$AP$5)^($A17/4)*((1-'3. Assumptions'!$B$13)/($AP$6)-'2. The tape'!$H$5:$H$13/12-'3. Assumptions'!$B$16)-'2. The tape'!$C$5:$C$13*'2. The tape'!$I$5:$I$13*(1+$AP$5)^($A17/4))&gt;0)*('2. The tape'!$C$5:$C$13*'2. The tape'!$D$5:$D$13*(1-'2. The tape'!$J$5:$J$13)^($A17/4)*(1+$AP$5)^($A17/4)*((1-'3. Assumptions'!$B$13)/($AP$6)-'2. The tape'!$H$5:$H$13/12-'3. Assumptions'!$B$16)-'2. The tape'!$C$5:$C$13*'2. The tape'!$I$5:$I$13*(1+$AP$5)^($A17/4)))</f>
        <v>135134588.688489</v>
      </c>
      <c r="AR17" s="33" t="n">
        <f aca="false">'2. The tape'!$C$17*(1+MIN(MAX($AR$5,'3. Assumptions'!$B$11),'3. Assumptions'!$B$10))^INT(($A17-1)/4)/4*(1-'3. Assumptions'!$B$13)</f>
        <v>2998091.25</v>
      </c>
      <c r="AS17" s="33" t="n">
        <f aca="false">(1-'3. Assumptions'!$B$15)*SUMPRODUCT((('2. The tape'!$C$5:$C$13*'2. The tape'!$D$5:$D$13*(1-'2. The tape'!$J$5:$J$13)^($A17/4)*(1+$AR$5)^($A17/4)*((1-'3. Assumptions'!$B$13)/($AR$6)-'2. The tape'!$H$5:$H$13/12-'3. Assumptions'!$B$16)-'2. The tape'!$C$5:$C$13*'2. The tape'!$I$5:$I$13*(1+$AR$5)^($A17/4))&gt;0)*('2. The tape'!$C$5:$C$13*'2. The tape'!$D$5:$D$13*(1-'2. The tape'!$J$5:$J$13)^($A17/4)*(1+$AR$5)^($A17/4)*((1-'3. Assumptions'!$B$13)/($AR$6)-'2. The tape'!$H$5:$H$13/12-'3. Assumptions'!$B$16)-'2. The tape'!$C$5:$C$13*'2. The tape'!$I$5:$I$13*(1+$AR$5)^($A17/4)))</f>
        <v>135141089.086923</v>
      </c>
      <c r="AT17" s="33" t="n">
        <f aca="false">'2. The tape'!$C$17*(1+MIN(MAX($AT$5,'3. Assumptions'!$B$11),'3. Assumptions'!$B$10))^INT(($A17-1)/4)/4*(1-'3. Assumptions'!$B$13)</f>
        <v>2998091.25</v>
      </c>
      <c r="AU17" s="33" t="n">
        <f aca="false">(1-'3. Assumptions'!$B$15)*SUMPRODUCT((('2. The tape'!$C$5:$C$13*'2. The tape'!$D$5:$D$13*(1-'2. The tape'!$J$5:$J$13)^($A17/4)*(1+$AT$5)^($A17/4)*((1-'3. Assumptions'!$B$13)/($AT$6)-'2. The tape'!$H$5:$H$13/12-'3. Assumptions'!$B$16)-'2. The tape'!$C$5:$C$13*'2. The tape'!$I$5:$I$13*(1+$AT$5)^($A17/4))&gt;0)*('2. The tape'!$C$5:$C$13*'2. The tape'!$D$5:$D$13*(1-'2. The tape'!$J$5:$J$13)^($A17/4)*(1+$AT$5)^($A17/4)*((1-'3. Assumptions'!$B$13)/($AT$6)-'2. The tape'!$H$5:$H$13/12-'3. Assumptions'!$B$16)-'2. The tape'!$C$5:$C$13*'2. The tape'!$I$5:$I$13*(1+$AT$5)^($A17/4)))</f>
        <v>135141104.224715</v>
      </c>
      <c r="AV17" s="33" t="n">
        <f aca="false">'2. The tape'!$C$17*(1+MIN(MAX($AV$5,'3. Assumptions'!$B$11),'3. Assumptions'!$B$10))^INT(($A17-1)/4)/4*(1-'3. Assumptions'!$B$13)</f>
        <v>2998091.25</v>
      </c>
      <c r="AW17" s="33" t="n">
        <f aca="false">(1-'3. Assumptions'!$B$15)*SUMPRODUCT((('2. The tape'!$C$5:$C$13*'2. The tape'!$D$5:$D$13*(1-'2. The tape'!$J$5:$J$13)^($A17/4)*(1+$AV$5)^($A17/4)*((1-'3. Assumptions'!$B$13)/($AV$6)-'2. The tape'!$H$5:$H$13/12-'3. Assumptions'!$B$16)-'2. The tape'!$C$5:$C$13*'2. The tape'!$I$5:$I$13*(1+$AV$5)^($A17/4))&gt;0)*('2. The tape'!$C$5:$C$13*'2. The tape'!$D$5:$D$13*(1-'2. The tape'!$J$5:$J$13)^($A17/4)*(1+$AV$5)^($A17/4)*((1-'3. Assumptions'!$B$13)/($AV$6)-'2. The tape'!$H$5:$H$13/12-'3. Assumptions'!$B$16)-'2. The tape'!$C$5:$C$13*'2. The tape'!$I$5:$I$13*(1+$AV$5)^($A17/4)))</f>
        <v>135141104.224112</v>
      </c>
      <c r="AX17" s="33" t="n">
        <f aca="false">'2. The tape'!$C$17*(1+MIN(MAX($AX$5,'3. Assumptions'!$B$11),'3. Assumptions'!$B$10))^INT(($A17-1)/4)/4*(1-'3. Assumptions'!$B$13)</f>
        <v>2998091.25</v>
      </c>
      <c r="AY17" s="33" t="n">
        <f aca="false">(1-'3. Assumptions'!$B$15)*SUMPRODUCT((('2. The tape'!$C$5:$C$13*'2. The tape'!$D$5:$D$13*(1-'2. The tape'!$J$5:$J$13)^($A17/4)*(1+$AX$5)^($A17/4)*((1-'3. Assumptions'!$B$13)/($AX$6)-'2. The tape'!$H$5:$H$13/12-'3. Assumptions'!$B$16)-'2. The tape'!$C$5:$C$13*'2. The tape'!$I$5:$I$13*(1+$AX$5)^($A17/4))&gt;0)*('2. The tape'!$C$5:$C$13*'2. The tape'!$D$5:$D$13*(1-'2. The tape'!$J$5:$J$13)^($A17/4)*(1+$AX$5)^($A17/4)*((1-'3. Assumptions'!$B$13)/($AX$6)-'2. The tape'!$H$5:$H$13/12-'3. Assumptions'!$B$16)-'2. The tape'!$C$5:$C$13*'2. The tape'!$I$5:$I$13*(1+$AX$5)^($A17/4)))</f>
        <v>135141104.224112</v>
      </c>
      <c r="AZ17" s="33" t="n">
        <f aca="false">'2. The tape'!$C$17*(1+MIN(MAX($AZ$5,'3. Assumptions'!$B$11),'3. Assumptions'!$B$10))^INT(($A17-1)/4)/4*(1-'3. Assumptions'!$B$13)</f>
        <v>2998091.25</v>
      </c>
      <c r="BA17" s="33" t="n">
        <f aca="false">(1-'3. Assumptions'!$B$15)*SUMPRODUCT((('2. The tape'!$C$5:$C$13*'2. The tape'!$D$5:$D$13*(1-'2. The tape'!$J$5:$J$13)^($A17/4)*(1+$AZ$5)^($A17/4)*((1-'3. Assumptions'!$B$13)/($AZ$6)-'2. The tape'!$H$5:$H$13/12-'3. Assumptions'!$B$16)-'2. The tape'!$C$5:$C$13*'2. The tape'!$I$5:$I$13*(1+$AZ$5)^($A17/4))&gt;0)*('2. The tape'!$C$5:$C$13*'2. The tape'!$D$5:$D$13*(1-'2. The tape'!$J$5:$J$13)^($A17/4)*(1+$AZ$5)^($A17/4)*((1-'3. Assumptions'!$B$13)/($AZ$6)-'2. The tape'!$H$5:$H$13/12-'3. Assumptions'!$B$16)-'2. The tape'!$C$5:$C$13*'2. The tape'!$I$5:$I$13*(1+$AZ$5)^($A17/4)))</f>
        <v>135141104.224112</v>
      </c>
    </row>
    <row r="18" customFormat="false" ht="15" hidden="false" customHeight="false" outlineLevel="0" collapsed="false">
      <c r="A18" s="20" t="n">
        <v>3</v>
      </c>
      <c r="B18" s="33" t="n">
        <f aca="false">'2. The tape'!$C$17*(1+MIN(MAX($B$5,'3. Assumptions'!$B$11),'3. Assumptions'!$B$10))^INT(($A18-1)/4)/4*(1-'3. Assumptions'!$B$13)</f>
        <v>2998091.25</v>
      </c>
      <c r="C18" s="33" t="n">
        <f aca="false">(1-'3. Assumptions'!$B$15)*SUMPRODUCT((('2. The tape'!$C$5:$C$13*'2. The tape'!$D$5:$D$13*(1-'2. The tape'!$J$5:$J$13)^($A18/4)*(1+$B$5)^($A18/4)*((1-'3. Assumptions'!$B$13)/($B$6)-'2. The tape'!$H$5:$H$13/12-'3. Assumptions'!$B$16)-'2. The tape'!$C$5:$C$13*'2. The tape'!$I$5:$I$13*(1+$B$5)^($A18/4))&gt;0)*('2. The tape'!$C$5:$C$13*'2. The tape'!$D$5:$D$13*(1-'2. The tape'!$J$5:$J$13)^($A18/4)*(1+$B$5)^($A18/4)*((1-'3. Assumptions'!$B$13)/($B$6)-'2. The tape'!$H$5:$H$13/12-'3. Assumptions'!$B$16)-'2. The tape'!$C$5:$C$13*'2. The tape'!$I$5:$I$13*(1+$B$5)^($A18/4)))</f>
        <v>81635005.2207625</v>
      </c>
      <c r="D18" s="33" t="n">
        <f aca="false">'2. The tape'!$C$17*(1+MIN(MAX($D$5,'3. Assumptions'!$B$11),'3. Assumptions'!$B$10))^INT(($A18-1)/4)/4*(1-'3. Assumptions'!$B$13)</f>
        <v>2998091.25</v>
      </c>
      <c r="E18" s="33" t="n">
        <f aca="false">(1-'3. Assumptions'!$B$15)*SUMPRODUCT((('2. The tape'!$C$5:$C$13*'2. The tape'!$D$5:$D$13*(1-'2. The tape'!$J$5:$J$13)^($A18/4)*(1+$D$5)^($A18/4)*((1-'3. Assumptions'!$B$13)/($D$6)-'2. The tape'!$H$5:$H$13/12-'3. Assumptions'!$B$16)-'2. The tape'!$C$5:$C$13*'2. The tape'!$I$5:$I$13*(1+$D$5)^($A18/4))&gt;0)*('2. The tape'!$C$5:$C$13*'2. The tape'!$D$5:$D$13*(1-'2. The tape'!$J$5:$J$13)^($A18/4)*(1+$D$5)^($A18/4)*((1-'3. Assumptions'!$B$13)/($D$6)-'2. The tape'!$H$5:$H$13/12-'3. Assumptions'!$B$16)-'2. The tape'!$C$5:$C$13*'2. The tape'!$I$5:$I$13*(1+$D$5)^($A18/4)))</f>
        <v>82412580.9532678</v>
      </c>
      <c r="F18" s="33" t="n">
        <f aca="false">'2. The tape'!$C$17*(1+MIN(MAX($F$5,'3. Assumptions'!$B$11),'3. Assumptions'!$B$10))^INT(($A18-1)/4)/4*(1-'3. Assumptions'!$B$13)</f>
        <v>2998091.25</v>
      </c>
      <c r="G18" s="33" t="n">
        <f aca="false">(1-'3. Assumptions'!$B$15)*SUMPRODUCT((('2. The tape'!$C$5:$C$13*'2. The tape'!$D$5:$D$13*(1-'2. The tape'!$J$5:$J$13)^($A18/4)*(1+$F$5)^($A18/4)*((1-'3. Assumptions'!$B$13)/($F$6)-'2. The tape'!$H$5:$H$13/12-'3. Assumptions'!$B$16)-'2. The tape'!$C$5:$C$13*'2. The tape'!$I$5:$I$13*(1+$F$5)^($A18/4))&gt;0)*('2. The tape'!$C$5:$C$13*'2. The tape'!$D$5:$D$13*(1-'2. The tape'!$J$5:$J$13)^($A18/4)*(1+$F$5)^($A18/4)*((1-'3. Assumptions'!$B$13)/($F$6)-'2. The tape'!$H$5:$H$13/12-'3. Assumptions'!$B$16)-'2. The tape'!$C$5:$C$13*'2. The tape'!$I$5:$I$13*(1+$F$5)^($A18/4)))</f>
        <v>80915045.6251915</v>
      </c>
      <c r="H18" s="33" t="n">
        <f aca="false">'2. The tape'!$C$17*(1+MIN(MAX($H$5,'3. Assumptions'!$B$11),'3. Assumptions'!$B$10))^INT(($A18-1)/4)/4*(1-'3. Assumptions'!$B$13)</f>
        <v>2998091.25</v>
      </c>
      <c r="I18" s="33" t="n">
        <f aca="false">(1-'3. Assumptions'!$B$15)*SUMPRODUCT((('2. The tape'!$C$5:$C$13*'2. The tape'!$D$5:$D$13*(1-'2. The tape'!$J$5:$J$13)^($A18/4)*(1+$H$5)^($A18/4)*((1-'3. Assumptions'!$B$13)/($H$6)-'2. The tape'!$H$5:$H$13/12-'3. Assumptions'!$B$16)-'2. The tape'!$C$5:$C$13*'2. The tape'!$I$5:$I$13*(1+$H$5)^($A18/4))&gt;0)*('2. The tape'!$C$5:$C$13*'2. The tape'!$D$5:$D$13*(1-'2. The tape'!$J$5:$J$13)^($A18/4)*(1+$H$5)^($A18/4)*((1-'3. Assumptions'!$B$13)/($H$6)-'2. The tape'!$H$5:$H$13/12-'3. Assumptions'!$B$16)-'2. The tape'!$C$5:$C$13*'2. The tape'!$I$5:$I$13*(1+$H$5)^($A18/4)))</f>
        <v>82412580.9532678</v>
      </c>
      <c r="J18" s="33" t="n">
        <f aca="false">'2. The tape'!$C$17*(1+MIN(MAX($J$5,'3. Assumptions'!$B$11),'3. Assumptions'!$B$10))^INT(($A18-1)/4)/4*(1-'3. Assumptions'!$B$13)</f>
        <v>2998091.25</v>
      </c>
      <c r="K18" s="33" t="n">
        <f aca="false">(1-'3. Assumptions'!$B$15)*SUMPRODUCT((('2. The tape'!$C$5:$C$13*'2. The tape'!$D$5:$D$13*(1-'2. The tape'!$J$5:$J$13)^($A18/4)*(1+$J$5)^($A18/4)*((1-'3. Assumptions'!$B$13)/($J$6)-'2. The tape'!$H$5:$H$13/12-'3. Assumptions'!$B$16)-'2. The tape'!$C$5:$C$13*'2. The tape'!$I$5:$I$13*(1+$J$5)^($A18/4))&gt;0)*('2. The tape'!$C$5:$C$13*'2. The tape'!$D$5:$D$13*(1-'2. The tape'!$J$5:$J$13)^($A18/4)*(1+$J$5)^($A18/4)*((1-'3. Assumptions'!$B$13)/($J$6)-'2. The tape'!$H$5:$H$13/12-'3. Assumptions'!$B$16)-'2. The tape'!$C$5:$C$13*'2. The tape'!$I$5:$I$13*(1+$J$5)^($A18/4)))</f>
        <v>67513824.7961</v>
      </c>
      <c r="L18" s="33" t="n">
        <f aca="false">'2. The tape'!$C$17*(1+MIN(MAX($L$5,'3. Assumptions'!$B$11),'3. Assumptions'!$B$10))^INT(($A18-1)/4)/4*(1-'3. Assumptions'!$B$13)</f>
        <v>2998091.25</v>
      </c>
      <c r="M18" s="33" t="n">
        <f aca="false">(1-'3. Assumptions'!$B$15)*SUMPRODUCT((('2. The tape'!$C$5:$C$13*'2. The tape'!$D$5:$D$13*(1-'2. The tape'!$J$5:$J$13)^($A18/4)*(1+$L$5)^($A18/4)*((1-'3. Assumptions'!$B$13)/($L$6)-'2. The tape'!$H$5:$H$13/12-'3. Assumptions'!$B$16)-'2. The tape'!$C$5:$C$13*'2. The tape'!$I$5:$I$13*(1+$L$5)^($A18/4))&gt;0)*('2. The tape'!$C$5:$C$13*'2. The tape'!$D$5:$D$13*(1-'2. The tape'!$J$5:$J$13)^($A18/4)*(1+$L$5)^($A18/4)*((1-'3. Assumptions'!$B$13)/($L$6)-'2. The tape'!$H$5:$H$13/12-'3. Assumptions'!$B$16)-'2. The tape'!$C$5:$C$13*'2. The tape'!$I$5:$I$13*(1+$L$5)^($A18/4)))</f>
        <v>97779039.5992518</v>
      </c>
      <c r="N18" s="33" t="n">
        <f aca="false">'2. The tape'!$C$17*(1+MIN(MAX($N$5,'3. Assumptions'!$B$11),'3. Assumptions'!$B$10))^INT(($A18-1)/4)/4*(1-'3. Assumptions'!$B$13)</f>
        <v>2998091.25</v>
      </c>
      <c r="O18" s="33" t="n">
        <f aca="false">(1-'3. Assumptions'!$B$15)*SUMPRODUCT((('2. The tape'!$C$5:$C$13*'2. The tape'!$D$5:$D$13*(1-'2. The tape'!$J$5:$J$13)^($A18/4)*(1+$N$5)^($A18/4)*((1-'3. Assumptions'!$B$13)/($N$6)-'2. The tape'!$H$5:$H$13/12-'3. Assumptions'!$B$16)-'2. The tape'!$C$5:$C$13*'2. The tape'!$I$5:$I$13*(1+$N$5)^($A18/4))&gt;0)*('2. The tape'!$C$5:$C$13*'2. The tape'!$D$5:$D$13*(1-'2. The tape'!$J$5:$J$13)^($A18/4)*(1+$N$5)^($A18/4)*((1-'3. Assumptions'!$B$13)/($N$6)-'2. The tape'!$H$5:$H$13/12-'3. Assumptions'!$B$16)-'2. The tape'!$C$5:$C$13*'2. The tape'!$I$5:$I$13*(1+$N$5)^($A18/4)))</f>
        <v>78499529.4953791</v>
      </c>
      <c r="P18" s="33" t="n">
        <f aca="false">'2. The tape'!$C$17*(1+MIN(MAX($P$5,'3. Assumptions'!$B$11),'3. Assumptions'!$B$10))^INT(($A18-1)/4)/4*(1-'3. Assumptions'!$B$13)</f>
        <v>2998091.25</v>
      </c>
      <c r="Q18" s="33" t="n">
        <f aca="false">(1-'3. Assumptions'!$B$15)*SUMPRODUCT((('2. The tape'!$C$5:$C$13*'2. The tape'!$D$5:$D$13*(1-'2. The tape'!$J$5:$J$13)^($A18/4)*(1+$P$5)^($A18/4)*((1-'3. Assumptions'!$B$13)/($P$6)-'2. The tape'!$H$5:$H$13/12-'3. Assumptions'!$B$16)-'2. The tape'!$C$5:$C$13*'2. The tape'!$I$5:$I$13*(1+$P$5)^($A18/4))&gt;0)*('2. The tape'!$C$5:$C$13*'2. The tape'!$D$5:$D$13*(1-'2. The tape'!$J$5:$J$13)^($A18/4)*(1+$P$5)^($A18/4)*((1-'3. Assumptions'!$B$13)/($P$6)-'2. The tape'!$H$5:$H$13/12-'3. Assumptions'!$B$16)-'2. The tape'!$C$5:$C$13*'2. The tape'!$I$5:$I$13*(1+$P$5)^($A18/4)))</f>
        <v>79105705.8021115</v>
      </c>
      <c r="R18" s="33" t="n">
        <f aca="false">'2. The tape'!$C$17*(1+MIN(MAX($R$5,'3. Assumptions'!$B$11),'3. Assumptions'!$B$10))^INT(($A18-1)/4)/4*(1-'3. Assumptions'!$B$13)</f>
        <v>2998091.25</v>
      </c>
      <c r="S18" s="33" t="n">
        <f aca="false">(1-'3. Assumptions'!$B$15)*SUMPRODUCT((('2. The tape'!$C$5:$C$13*'2. The tape'!$D$5:$D$13*(1-'2. The tape'!$J$5:$J$13)^($A18/4)*(1+$R$5)^($A18/4)*((1-'3. Assumptions'!$B$13)/($R$6)-'2. The tape'!$H$5:$H$13/12-'3. Assumptions'!$B$16)-'2. The tape'!$C$5:$C$13*'2. The tape'!$I$5:$I$13*(1+$R$5)^($A18/4))&gt;0)*('2. The tape'!$C$5:$C$13*'2. The tape'!$D$5:$D$13*(1-'2. The tape'!$J$5:$J$13)^($A18/4)*(1+$R$5)^($A18/4)*((1-'3. Assumptions'!$B$13)/($R$6)-'2. The tape'!$H$5:$H$13/12-'3. Assumptions'!$B$16)-'2. The tape'!$C$5:$C$13*'2. The tape'!$I$5:$I$13*(1+$R$5)^($A18/4)))</f>
        <v>78738942.4243375</v>
      </c>
      <c r="T18" s="33" t="n">
        <f aca="false">'2. The tape'!$C$17*(1+MIN(MAX($T$5,'3. Assumptions'!$B$11),'3. Assumptions'!$B$10))^INT(($A18-1)/4)/4*(1-'3. Assumptions'!$B$13)</f>
        <v>2998091.25</v>
      </c>
      <c r="U18" s="33" t="n">
        <f aca="false">(1-'3. Assumptions'!$B$15)*SUMPRODUCT((('2. The tape'!$C$5:$C$13*'2. The tape'!$D$5:$D$13*(1-'2. The tape'!$J$5:$J$13)^($A18/4)*(1+$T$5)^($A18/4)*((1-'3. Assumptions'!$B$13)/($T$6)-'2. The tape'!$H$5:$H$13/12-'3. Assumptions'!$B$16)-'2. The tape'!$C$5:$C$13*'2. The tape'!$I$5:$I$13*(1+$T$5)^($A18/4))&gt;0)*('2. The tape'!$C$5:$C$13*'2. The tape'!$D$5:$D$13*(1-'2. The tape'!$J$5:$J$13)^($A18/4)*(1+$T$5)^($A18/4)*((1-'3. Assumptions'!$B$13)/($T$6)-'2. The tape'!$H$5:$H$13/12-'3. Assumptions'!$B$16)-'2. The tape'!$C$5:$C$13*'2. The tape'!$I$5:$I$13*(1+$T$5)^($A18/4)))</f>
        <v>78728986.4123823</v>
      </c>
      <c r="V18" s="33" t="n">
        <f aca="false">'2. The tape'!$C$17*(1+MIN(MAX($V$5,'3. Assumptions'!$B$11),'3. Assumptions'!$B$10))^INT(($A18-1)/4)/4*(1-'3. Assumptions'!$B$13)</f>
        <v>2998091.25</v>
      </c>
      <c r="W18" s="33" t="n">
        <f aca="false">(1-'3. Assumptions'!$B$15)*SUMPRODUCT((('2. The tape'!$C$5:$C$13*'2. The tape'!$D$5:$D$13*(1-'2. The tape'!$J$5:$J$13)^($A18/4)*(1+$V$5)^($A18/4)*((1-'3. Assumptions'!$B$13)/($V$6)-'2. The tape'!$H$5:$H$13/12-'3. Assumptions'!$B$16)-'2. The tape'!$C$5:$C$13*'2. The tape'!$I$5:$I$13*(1+$V$5)^($A18/4))&gt;0)*('2. The tape'!$C$5:$C$13*'2. The tape'!$D$5:$D$13*(1-'2. The tape'!$J$5:$J$13)^($A18/4)*(1+$V$5)^($A18/4)*((1-'3. Assumptions'!$B$13)/($V$6)-'2. The tape'!$H$5:$H$13/12-'3. Assumptions'!$B$16)-'2. The tape'!$C$5:$C$13*'2. The tape'!$I$5:$I$13*(1+$V$5)^($A18/4)))</f>
        <v>78729386.4434702</v>
      </c>
      <c r="X18" s="33" t="n">
        <f aca="false">'2. The tape'!$C$17*(1+MIN(MAX($X$5,'3. Assumptions'!$B$11),'3. Assumptions'!$B$10))^INT(($A18-1)/4)/4*(1-'3. Assumptions'!$B$13)</f>
        <v>2998091.25</v>
      </c>
      <c r="Y18" s="33" t="n">
        <f aca="false">(1-'3. Assumptions'!$B$15)*SUMPRODUCT((('2. The tape'!$C$5:$C$13*'2. The tape'!$D$5:$D$13*(1-'2. The tape'!$J$5:$J$13)^($A18/4)*(1+$X$5)^($A18/4)*((1-'3. Assumptions'!$B$13)/($X$6)-'2. The tape'!$H$5:$H$13/12-'3. Assumptions'!$B$16)-'2. The tape'!$C$5:$C$13*'2. The tape'!$I$5:$I$13*(1+$X$5)^($A18/4))&gt;0)*('2. The tape'!$C$5:$C$13*'2. The tape'!$D$5:$D$13*(1-'2. The tape'!$J$5:$J$13)^($A18/4)*(1+$X$5)^($A18/4)*((1-'3. Assumptions'!$B$13)/($X$6)-'2. The tape'!$H$5:$H$13/12-'3. Assumptions'!$B$16)-'2. The tape'!$C$5:$C$13*'2. The tape'!$I$5:$I$13*(1+$X$5)^($A18/4)))</f>
        <v>78729386.022813</v>
      </c>
      <c r="Z18" s="33" t="n">
        <f aca="false">'2. The tape'!$C$17*(1+MIN(MAX($Z$5,'3. Assumptions'!$B$11),'3. Assumptions'!$B$10))^INT(($A18-1)/4)/4*(1-'3. Assumptions'!$B$13)</f>
        <v>2998091.25</v>
      </c>
      <c r="AA18" s="33" t="n">
        <f aca="false">(1-'3. Assumptions'!$B$15)*SUMPRODUCT((('2. The tape'!$C$5:$C$13*'2. The tape'!$D$5:$D$13*(1-'2. The tape'!$J$5:$J$13)^($A18/4)*(1+$Z$5)^($A18/4)*((1-'3. Assumptions'!$B$13)/($Z$6)-'2. The tape'!$H$5:$H$13/12-'3. Assumptions'!$B$16)-'2. The tape'!$C$5:$C$13*'2. The tape'!$I$5:$I$13*(1+$Z$5)^($A18/4))&gt;0)*('2. The tape'!$C$5:$C$13*'2. The tape'!$D$5:$D$13*(1-'2. The tape'!$J$5:$J$13)^($A18/4)*(1+$Z$5)^($A18/4)*((1-'3. Assumptions'!$B$13)/($Z$6)-'2. The tape'!$H$5:$H$13/12-'3. Assumptions'!$B$16)-'2. The tape'!$C$5:$C$13*'2. The tape'!$I$5:$I$13*(1+$Z$5)^($A18/4)))</f>
        <v>78729386.0227944</v>
      </c>
      <c r="AB18" s="33" t="n">
        <f aca="false">'2. The tape'!$C$17*(1+MIN(MAX($AB$5,'3. Assumptions'!$B$11),'3. Assumptions'!$B$10))^INT(($A18-1)/4)/4*(1-'3. Assumptions'!$B$13)</f>
        <v>2998091.25</v>
      </c>
      <c r="AC18" s="33" t="n">
        <f aca="false">(1-'3. Assumptions'!$B$15)*SUMPRODUCT((('2. The tape'!$C$5:$C$13*'2. The tape'!$D$5:$D$13*(1-'2. The tape'!$J$5:$J$13)^($A18/4)*(1+$AB$5)^($A18/4)*((1-'3. Assumptions'!$B$13)/($AB$6)-'2. The tape'!$H$5:$H$13/12-'3. Assumptions'!$B$16)-'2. The tape'!$C$5:$C$13*'2. The tape'!$I$5:$I$13*(1+$AB$5)^($A18/4))&gt;0)*('2. The tape'!$C$5:$C$13*'2. The tape'!$D$5:$D$13*(1-'2. The tape'!$J$5:$J$13)^($A18/4)*(1+$AB$5)^($A18/4)*((1-'3. Assumptions'!$B$13)/($AB$6)-'2. The tape'!$H$5:$H$13/12-'3. Assumptions'!$B$16)-'2. The tape'!$C$5:$C$13*'2. The tape'!$I$5:$I$13*(1+$AB$5)^($A18/4)))</f>
        <v>78729386.0227944</v>
      </c>
      <c r="AD18" s="33" t="n">
        <f aca="false">'2. The tape'!$C$17*(1+MIN(MAX($AD$5,'3. Assumptions'!$B$11),'3. Assumptions'!$B$10))^INT(($A18-1)/4)/4*(1-'3. Assumptions'!$B$13)</f>
        <v>2998091.25</v>
      </c>
      <c r="AE18" s="33" t="n">
        <f aca="false">(1-'3. Assumptions'!$B$15)*SUMPRODUCT((('2. The tape'!$C$5:$C$13*'2. The tape'!$D$5:$D$13*(1-'2. The tape'!$J$5:$J$13)^($A18/4)*(1+$AD$5)^($A18/4)*((1-'3. Assumptions'!$B$13)/($AD$6)-'2. The tape'!$H$5:$H$13/12-'3. Assumptions'!$B$16)-'2. The tape'!$C$5:$C$13*'2. The tape'!$I$5:$I$13*(1+$AD$5)^($A18/4))&gt;0)*('2. The tape'!$C$5:$C$13*'2. The tape'!$D$5:$D$13*(1-'2. The tape'!$J$5:$J$13)^($A18/4)*(1+$AD$5)^($A18/4)*((1-'3. Assumptions'!$B$13)/($AD$6)-'2. The tape'!$H$5:$H$13/12-'3. Assumptions'!$B$16)-'2. The tape'!$C$5:$C$13*'2. The tape'!$I$5:$I$13*(1+$AD$5)^($A18/4)))</f>
        <v>78729386.0227944</v>
      </c>
      <c r="AF18" s="33" t="n">
        <f aca="false">'2. The tape'!$C$17*(1+MIN(MAX($AF$5,'3. Assumptions'!$B$11),'3. Assumptions'!$B$10))^INT(($A18-1)/4)/4*(1-'3. Assumptions'!$B$13)</f>
        <v>2998091.25</v>
      </c>
      <c r="AG18" s="33" t="n">
        <f aca="false">(1-'3. Assumptions'!$B$15)*SUMPRODUCT((('2. The tape'!$C$5:$C$13*'2. The tape'!$D$5:$D$13*(1-'2. The tape'!$J$5:$J$13)^($A18/4)*(1+$AF$5)^($A18/4)*((1-'3. Assumptions'!$B$13)/($AF$6)-'2. The tape'!$H$5:$H$13/12-'3. Assumptions'!$B$16)-'2. The tape'!$C$5:$C$13*'2. The tape'!$I$5:$I$13*(1+$AF$5)^($A18/4))&gt;0)*('2. The tape'!$C$5:$C$13*'2. The tape'!$D$5:$D$13*(1-'2. The tape'!$J$5:$J$13)^($A18/4)*(1+$AF$5)^($A18/4)*((1-'3. Assumptions'!$B$13)/($AF$6)-'2. The tape'!$H$5:$H$13/12-'3. Assumptions'!$B$16)-'2. The tape'!$C$5:$C$13*'2. The tape'!$I$5:$I$13*(1+$AF$5)^($A18/4)))</f>
        <v>78729386.0227944</v>
      </c>
      <c r="AH18" s="33" t="n">
        <f aca="false">'2. The tape'!$C$17*(1+MIN(MAX($AH$5,'3. Assumptions'!$B$11),'3. Assumptions'!$B$10))^INT(($A18-1)/4)/4*(1-'3. Assumptions'!$B$13)</f>
        <v>2998091.25</v>
      </c>
      <c r="AI18" s="33" t="n">
        <f aca="false">(1-'3. Assumptions'!$B$15)*SUMPRODUCT((('2. The tape'!$C$5:$C$13*'2. The tape'!$D$5:$D$13*(1-'2. The tape'!$J$5:$J$13)^($A18/4)*(1+$AH$5)^($A18/4)*((1-'3. Assumptions'!$B$13)/($AH$6)-'2. The tape'!$H$5:$H$13/12-'3. Assumptions'!$B$16)-'2. The tape'!$C$5:$C$13*'2. The tape'!$I$5:$I$13*(1+$AH$5)^($A18/4))&gt;0)*('2. The tape'!$C$5:$C$13*'2. The tape'!$D$5:$D$13*(1-'2. The tape'!$J$5:$J$13)^($A18/4)*(1+$AH$5)^($A18/4)*((1-'3. Assumptions'!$B$13)/($AH$6)-'2. The tape'!$H$5:$H$13/12-'3. Assumptions'!$B$16)-'2. The tape'!$C$5:$C$13*'2. The tape'!$I$5:$I$13*(1+$AH$5)^($A18/4)))</f>
        <v>158736650.33942</v>
      </c>
      <c r="AJ18" s="33" t="n">
        <f aca="false">'2. The tape'!$C$17*(1+MIN(MAX($AJ$5,'3. Assumptions'!$B$11),'3. Assumptions'!$B$10))^INT(($A18-1)/4)/4*(1-'3. Assumptions'!$B$13)</f>
        <v>2998091.25</v>
      </c>
      <c r="AK18" s="33" t="n">
        <f aca="false">(1-'3. Assumptions'!$B$15)*SUMPRODUCT((('2. The tape'!$C$5:$C$13*'2. The tape'!$D$5:$D$13*(1-'2. The tape'!$J$5:$J$13)^($A18/4)*(1+$AJ$5)^($A18/4)*((1-'3. Assumptions'!$B$13)/($AJ$6)-'2. The tape'!$H$5:$H$13/12-'3. Assumptions'!$B$16)-'2. The tape'!$C$5:$C$13*'2. The tape'!$I$5:$I$13*(1+$AJ$5)^($A18/4))&gt;0)*('2. The tape'!$C$5:$C$13*'2. The tape'!$D$5:$D$13*(1-'2. The tape'!$J$5:$J$13)^($A18/4)*(1+$AJ$5)^($A18/4)*((1-'3. Assumptions'!$B$13)/($AJ$6)-'2. The tape'!$H$5:$H$13/12-'3. Assumptions'!$B$16)-'2. The tape'!$C$5:$C$13*'2. The tape'!$I$5:$I$13*(1+$AJ$5)^($A18/4)))</f>
        <v>115525838.239953</v>
      </c>
      <c r="AL18" s="33" t="n">
        <f aca="false">'2. The tape'!$C$17*(1+MIN(MAX($AL$5,'3. Assumptions'!$B$11),'3. Assumptions'!$B$10))^INT(($A18-1)/4)/4*(1-'3. Assumptions'!$B$13)</f>
        <v>2998091.25</v>
      </c>
      <c r="AM18" s="33" t="n">
        <f aca="false">(1-'3. Assumptions'!$B$15)*SUMPRODUCT((('2. The tape'!$C$5:$C$13*'2. The tape'!$D$5:$D$13*(1-'2. The tape'!$J$5:$J$13)^($A18/4)*(1+$AL$5)^($A18/4)*((1-'3. Assumptions'!$B$13)/($AL$6)-'2. The tape'!$H$5:$H$13/12-'3. Assumptions'!$B$16)-'2. The tape'!$C$5:$C$13*'2. The tape'!$I$5:$I$13*(1+$AL$5)^($A18/4))&gt;0)*('2. The tape'!$C$5:$C$13*'2. The tape'!$D$5:$D$13*(1-'2. The tape'!$J$5:$J$13)^($A18/4)*(1+$AL$5)^($A18/4)*((1-'3. Assumptions'!$B$13)/($AL$6)-'2. The tape'!$H$5:$H$13/12-'3. Assumptions'!$B$16)-'2. The tape'!$C$5:$C$13*'2. The tape'!$I$5:$I$13*(1+$AL$5)^($A18/4)))</f>
        <v>132284868.679784</v>
      </c>
      <c r="AN18" s="33" t="n">
        <f aca="false">'2. The tape'!$C$17*(1+MIN(MAX($AN$5,'3. Assumptions'!$B$11),'3. Assumptions'!$B$10))^INT(($A18-1)/4)/4*(1-'3. Assumptions'!$B$13)</f>
        <v>2998091.25</v>
      </c>
      <c r="AO18" s="33" t="n">
        <f aca="false">(1-'3. Assumptions'!$B$15)*SUMPRODUCT((('2. The tape'!$C$5:$C$13*'2. The tape'!$D$5:$D$13*(1-'2. The tape'!$J$5:$J$13)^($A18/4)*(1+$AN$5)^($A18/4)*((1-'3. Assumptions'!$B$13)/($AN$6)-'2. The tape'!$H$5:$H$13/12-'3. Assumptions'!$B$16)-'2. The tape'!$C$5:$C$13*'2. The tape'!$I$5:$I$13*(1+$AN$5)^($A18/4))&gt;0)*('2. The tape'!$C$5:$C$13*'2. The tape'!$D$5:$D$13*(1-'2. The tape'!$J$5:$J$13)^($A18/4)*(1+$AN$5)^($A18/4)*((1-'3. Assumptions'!$B$13)/($AN$6)-'2. The tape'!$H$5:$H$13/12-'3. Assumptions'!$B$16)-'2. The tape'!$C$5:$C$13*'2. The tape'!$I$5:$I$13*(1+$AN$5)^($A18/4)))</f>
        <v>135422673.833857</v>
      </c>
      <c r="AP18" s="33" t="n">
        <f aca="false">'2. The tape'!$C$17*(1+MIN(MAX($AP$5,'3. Assumptions'!$B$11),'3. Assumptions'!$B$10))^INT(($A18-1)/4)/4*(1-'3. Assumptions'!$B$13)</f>
        <v>2998091.25</v>
      </c>
      <c r="AQ18" s="33" t="n">
        <f aca="false">(1-'3. Assumptions'!$B$15)*SUMPRODUCT((('2. The tape'!$C$5:$C$13*'2. The tape'!$D$5:$D$13*(1-'2. The tape'!$J$5:$J$13)^($A18/4)*(1+$AP$5)^($A18/4)*((1-'3. Assumptions'!$B$13)/($AP$6)-'2. The tape'!$H$5:$H$13/12-'3. Assumptions'!$B$16)-'2. The tape'!$C$5:$C$13*'2. The tape'!$I$5:$I$13*(1+$AP$5)^($A18/4))&gt;0)*('2. The tape'!$C$5:$C$13*'2. The tape'!$D$5:$D$13*(1-'2. The tape'!$J$5:$J$13)^($A18/4)*(1+$AP$5)^($A18/4)*((1-'3. Assumptions'!$B$13)/($AP$6)-'2. The tape'!$H$5:$H$13/12-'3. Assumptions'!$B$16)-'2. The tape'!$C$5:$C$13*'2. The tape'!$I$5:$I$13*(1+$AP$5)^($A18/4)))</f>
        <v>135035318.22648</v>
      </c>
      <c r="AR18" s="33" t="n">
        <f aca="false">'2. The tape'!$C$17*(1+MIN(MAX($AR$5,'3. Assumptions'!$B$11),'3. Assumptions'!$B$10))^INT(($A18-1)/4)/4*(1-'3. Assumptions'!$B$13)</f>
        <v>2998091.25</v>
      </c>
      <c r="AS18" s="33" t="n">
        <f aca="false">(1-'3. Assumptions'!$B$15)*SUMPRODUCT((('2. The tape'!$C$5:$C$13*'2. The tape'!$D$5:$D$13*(1-'2. The tape'!$J$5:$J$13)^($A18/4)*(1+$AR$5)^($A18/4)*((1-'3. Assumptions'!$B$13)/($AR$6)-'2. The tape'!$H$5:$H$13/12-'3. Assumptions'!$B$16)-'2. The tape'!$C$5:$C$13*'2. The tape'!$I$5:$I$13*(1+$AR$5)^($A18/4))&gt;0)*('2. The tape'!$C$5:$C$13*'2. The tape'!$D$5:$D$13*(1-'2. The tape'!$J$5:$J$13)^($A18/4)*(1+$AR$5)^($A18/4)*((1-'3. Assumptions'!$B$13)/($AR$6)-'2. The tape'!$H$5:$H$13/12-'3. Assumptions'!$B$16)-'2. The tape'!$C$5:$C$13*'2. The tape'!$I$5:$I$13*(1+$AR$5)^($A18/4)))</f>
        <v>135041817.498744</v>
      </c>
      <c r="AT18" s="33" t="n">
        <f aca="false">'2. The tape'!$C$17*(1+MIN(MAX($AT$5,'3. Assumptions'!$B$11),'3. Assumptions'!$B$10))^INT(($A18-1)/4)/4*(1-'3. Assumptions'!$B$13)</f>
        <v>2998091.25</v>
      </c>
      <c r="AU18" s="33" t="n">
        <f aca="false">(1-'3. Assumptions'!$B$15)*SUMPRODUCT((('2. The tape'!$C$5:$C$13*'2. The tape'!$D$5:$D$13*(1-'2. The tape'!$J$5:$J$13)^($A18/4)*(1+$AT$5)^($A18/4)*((1-'3. Assumptions'!$B$13)/($AT$6)-'2. The tape'!$H$5:$H$13/12-'3. Assumptions'!$B$16)-'2. The tape'!$C$5:$C$13*'2. The tape'!$I$5:$I$13*(1+$AT$5)^($A18/4))&gt;0)*('2. The tape'!$C$5:$C$13*'2. The tape'!$D$5:$D$13*(1-'2. The tape'!$J$5:$J$13)^($A18/4)*(1+$AT$5)^($A18/4)*((1-'3. Assumptions'!$B$13)/($AT$6)-'2. The tape'!$H$5:$H$13/12-'3. Assumptions'!$B$16)-'2. The tape'!$C$5:$C$13*'2. The tape'!$I$5:$I$13*(1+$AT$5)^($A18/4)))</f>
        <v>135041832.633914</v>
      </c>
      <c r="AV18" s="33" t="n">
        <f aca="false">'2. The tape'!$C$17*(1+MIN(MAX($AV$5,'3. Assumptions'!$B$11),'3. Assumptions'!$B$10))^INT(($A18-1)/4)/4*(1-'3. Assumptions'!$B$13)</f>
        <v>2998091.25</v>
      </c>
      <c r="AW18" s="33" t="n">
        <f aca="false">(1-'3. Assumptions'!$B$15)*SUMPRODUCT((('2. The tape'!$C$5:$C$13*'2. The tape'!$D$5:$D$13*(1-'2. The tape'!$J$5:$J$13)^($A18/4)*(1+$AV$5)^($A18/4)*((1-'3. Assumptions'!$B$13)/($AV$6)-'2. The tape'!$H$5:$H$13/12-'3. Assumptions'!$B$16)-'2. The tape'!$C$5:$C$13*'2. The tape'!$I$5:$I$13*(1+$AV$5)^($A18/4))&gt;0)*('2. The tape'!$C$5:$C$13*'2. The tape'!$D$5:$D$13*(1-'2. The tape'!$J$5:$J$13)^($A18/4)*(1+$AV$5)^($A18/4)*((1-'3. Assumptions'!$B$13)/($AV$6)-'2. The tape'!$H$5:$H$13/12-'3. Assumptions'!$B$16)-'2. The tape'!$C$5:$C$13*'2. The tape'!$I$5:$I$13*(1+$AV$5)^($A18/4)))</f>
        <v>135041832.633311</v>
      </c>
      <c r="AX18" s="33" t="n">
        <f aca="false">'2. The tape'!$C$17*(1+MIN(MAX($AX$5,'3. Assumptions'!$B$11),'3. Assumptions'!$B$10))^INT(($A18-1)/4)/4*(1-'3. Assumptions'!$B$13)</f>
        <v>2998091.25</v>
      </c>
      <c r="AY18" s="33" t="n">
        <f aca="false">(1-'3. Assumptions'!$B$15)*SUMPRODUCT((('2. The tape'!$C$5:$C$13*'2. The tape'!$D$5:$D$13*(1-'2. The tape'!$J$5:$J$13)^($A18/4)*(1+$AX$5)^($A18/4)*((1-'3. Assumptions'!$B$13)/($AX$6)-'2. The tape'!$H$5:$H$13/12-'3. Assumptions'!$B$16)-'2. The tape'!$C$5:$C$13*'2. The tape'!$I$5:$I$13*(1+$AX$5)^($A18/4))&gt;0)*('2. The tape'!$C$5:$C$13*'2. The tape'!$D$5:$D$13*(1-'2. The tape'!$J$5:$J$13)^($A18/4)*(1+$AX$5)^($A18/4)*((1-'3. Assumptions'!$B$13)/($AX$6)-'2. The tape'!$H$5:$H$13/12-'3. Assumptions'!$B$16)-'2. The tape'!$C$5:$C$13*'2. The tape'!$I$5:$I$13*(1+$AX$5)^($A18/4)))</f>
        <v>135041832.633311</v>
      </c>
      <c r="AZ18" s="33" t="n">
        <f aca="false">'2. The tape'!$C$17*(1+MIN(MAX($AZ$5,'3. Assumptions'!$B$11),'3. Assumptions'!$B$10))^INT(($A18-1)/4)/4*(1-'3. Assumptions'!$B$13)</f>
        <v>2998091.25</v>
      </c>
      <c r="BA18" s="33" t="n">
        <f aca="false">(1-'3. Assumptions'!$B$15)*SUMPRODUCT((('2. The tape'!$C$5:$C$13*'2. The tape'!$D$5:$D$13*(1-'2. The tape'!$J$5:$J$13)^($A18/4)*(1+$AZ$5)^($A18/4)*((1-'3. Assumptions'!$B$13)/($AZ$6)-'2. The tape'!$H$5:$H$13/12-'3. Assumptions'!$B$16)-'2. The tape'!$C$5:$C$13*'2. The tape'!$I$5:$I$13*(1+$AZ$5)^($A18/4))&gt;0)*('2. The tape'!$C$5:$C$13*'2. The tape'!$D$5:$D$13*(1-'2. The tape'!$J$5:$J$13)^($A18/4)*(1+$AZ$5)^($A18/4)*((1-'3. Assumptions'!$B$13)/($AZ$6)-'2. The tape'!$H$5:$H$13/12-'3. Assumptions'!$B$16)-'2. The tape'!$C$5:$C$13*'2. The tape'!$I$5:$I$13*(1+$AZ$5)^($A18/4)))</f>
        <v>135041832.633311</v>
      </c>
    </row>
    <row r="19" customFormat="false" ht="15" hidden="false" customHeight="false" outlineLevel="0" collapsed="false">
      <c r="A19" s="20" t="n">
        <v>4</v>
      </c>
      <c r="B19" s="33" t="n">
        <f aca="false">'2. The tape'!$C$17*(1+MIN(MAX($B$5,'3. Assumptions'!$B$11),'3. Assumptions'!$B$10))^INT(($A19-1)/4)/4*(1-'3. Assumptions'!$B$13)</f>
        <v>2998091.25</v>
      </c>
      <c r="C19" s="33" t="n">
        <f aca="false">(1-'3. Assumptions'!$B$15)*SUMPRODUCT((('2. The tape'!$C$5:$C$13*'2. The tape'!$D$5:$D$13*(1-'2. The tape'!$J$5:$J$13)^($A19/4)*(1+$B$5)^($A19/4)*((1-'3. Assumptions'!$B$13)/($B$6)-'2. The tape'!$H$5:$H$13/12-'3. Assumptions'!$B$16)-'2. The tape'!$C$5:$C$13*'2. The tape'!$I$5:$I$13*(1+$B$5)^($A19/4))&gt;0)*('2. The tape'!$C$5:$C$13*'2. The tape'!$D$5:$D$13*(1-'2. The tape'!$J$5:$J$13)^($A19/4)*(1+$B$5)^($A19/4)*((1-'3. Assumptions'!$B$13)/($B$6)-'2. The tape'!$H$5:$H$13/12-'3. Assumptions'!$B$16)-'2. The tape'!$C$5:$C$13*'2. The tape'!$I$5:$I$13*(1+$B$5)^($A19/4)))</f>
        <v>81544816.1345501</v>
      </c>
      <c r="D19" s="33" t="n">
        <f aca="false">'2. The tape'!$C$17*(1+MIN(MAX($D$5,'3. Assumptions'!$B$11),'3. Assumptions'!$B$10))^INT(($A19-1)/4)/4*(1-'3. Assumptions'!$B$13)</f>
        <v>2998091.25</v>
      </c>
      <c r="E19" s="33" t="n">
        <f aca="false">(1-'3. Assumptions'!$B$15)*SUMPRODUCT((('2. The tape'!$C$5:$C$13*'2. The tape'!$D$5:$D$13*(1-'2. The tape'!$J$5:$J$13)^($A19/4)*(1+$D$5)^($A19/4)*((1-'3. Assumptions'!$B$13)/($D$6)-'2. The tape'!$H$5:$H$13/12-'3. Assumptions'!$B$16)-'2. The tape'!$C$5:$C$13*'2. The tape'!$I$5:$I$13*(1+$D$5)^($A19/4))&gt;0)*('2. The tape'!$C$5:$C$13*'2. The tape'!$D$5:$D$13*(1-'2. The tape'!$J$5:$J$13)^($A19/4)*(1+$D$5)^($A19/4)*((1-'3. Assumptions'!$B$13)/($D$6)-'2. The tape'!$H$5:$H$13/12-'3. Assumptions'!$B$16)-'2. The tape'!$C$5:$C$13*'2. The tape'!$I$5:$I$13*(1+$D$5)^($A19/4)))</f>
        <v>82582078.9620933</v>
      </c>
      <c r="F19" s="33" t="n">
        <f aca="false">'2. The tape'!$C$17*(1+MIN(MAX($F$5,'3. Assumptions'!$B$11),'3. Assumptions'!$B$10))^INT(($A19-1)/4)/4*(1-'3. Assumptions'!$B$13)</f>
        <v>2998091.25</v>
      </c>
      <c r="G19" s="33" t="n">
        <f aca="false">(1-'3. Assumptions'!$B$15)*SUMPRODUCT((('2. The tape'!$C$5:$C$13*'2. The tape'!$D$5:$D$13*(1-'2. The tape'!$J$5:$J$13)^($A19/4)*(1+$F$5)^($A19/4)*((1-'3. Assumptions'!$B$13)/($F$6)-'2. The tape'!$H$5:$H$13/12-'3. Assumptions'!$B$16)-'2. The tape'!$C$5:$C$13*'2. The tape'!$I$5:$I$13*(1+$F$5)^($A19/4))&gt;0)*('2. The tape'!$C$5:$C$13*'2. The tape'!$D$5:$D$13*(1-'2. The tape'!$J$5:$J$13)^($A19/4)*(1+$F$5)^($A19/4)*((1-'3. Assumptions'!$B$13)/($F$6)-'2. The tape'!$H$5:$H$13/12-'3. Assumptions'!$B$16)-'2. The tape'!$C$5:$C$13*'2. The tape'!$I$5:$I$13*(1+$F$5)^($A19/4)))</f>
        <v>80587342.7552795</v>
      </c>
      <c r="H19" s="33" t="n">
        <f aca="false">'2. The tape'!$C$17*(1+MIN(MAX($H$5,'3. Assumptions'!$B$11),'3. Assumptions'!$B$10))^INT(($A19-1)/4)/4*(1-'3. Assumptions'!$B$13)</f>
        <v>2998091.25</v>
      </c>
      <c r="I19" s="33" t="n">
        <f aca="false">(1-'3. Assumptions'!$B$15)*SUMPRODUCT((('2. The tape'!$C$5:$C$13*'2. The tape'!$D$5:$D$13*(1-'2. The tape'!$J$5:$J$13)^($A19/4)*(1+$H$5)^($A19/4)*((1-'3. Assumptions'!$B$13)/($H$6)-'2. The tape'!$H$5:$H$13/12-'3. Assumptions'!$B$16)-'2. The tape'!$C$5:$C$13*'2. The tape'!$I$5:$I$13*(1+$H$5)^($A19/4))&gt;0)*('2. The tape'!$C$5:$C$13*'2. The tape'!$D$5:$D$13*(1-'2. The tape'!$J$5:$J$13)^($A19/4)*(1+$H$5)^($A19/4)*((1-'3. Assumptions'!$B$13)/($H$6)-'2. The tape'!$H$5:$H$13/12-'3. Assumptions'!$B$16)-'2. The tape'!$C$5:$C$13*'2. The tape'!$I$5:$I$13*(1+$H$5)^($A19/4)))</f>
        <v>82582078.9620933</v>
      </c>
      <c r="J19" s="33" t="n">
        <f aca="false">'2. The tape'!$C$17*(1+MIN(MAX($J$5,'3. Assumptions'!$B$11),'3. Assumptions'!$B$10))^INT(($A19-1)/4)/4*(1-'3. Assumptions'!$B$13)</f>
        <v>2998091.25</v>
      </c>
      <c r="K19" s="33" t="n">
        <f aca="false">(1-'3. Assumptions'!$B$15)*SUMPRODUCT((('2. The tape'!$C$5:$C$13*'2. The tape'!$D$5:$D$13*(1-'2. The tape'!$J$5:$J$13)^($A19/4)*(1+$J$5)^($A19/4)*((1-'3. Assumptions'!$B$13)/($J$6)-'2. The tape'!$H$5:$H$13/12-'3. Assumptions'!$B$16)-'2. The tape'!$C$5:$C$13*'2. The tape'!$I$5:$I$13*(1+$J$5)^($A19/4))&gt;0)*('2. The tape'!$C$5:$C$13*'2. The tape'!$D$5:$D$13*(1-'2. The tape'!$J$5:$J$13)^($A19/4)*(1+$J$5)^($A19/4)*((1-'3. Assumptions'!$B$13)/($J$6)-'2. The tape'!$H$5:$H$13/12-'3. Assumptions'!$B$16)-'2. The tape'!$C$5:$C$13*'2. The tape'!$I$5:$I$13*(1+$J$5)^($A19/4)))</f>
        <v>67426041.6539318</v>
      </c>
      <c r="L19" s="33" t="n">
        <f aca="false">'2. The tape'!$C$17*(1+MIN(MAX($L$5,'3. Assumptions'!$B$11),'3. Assumptions'!$B$10))^INT(($A19-1)/4)/4*(1-'3. Assumptions'!$B$13)</f>
        <v>2998091.25</v>
      </c>
      <c r="M19" s="33" t="n">
        <f aca="false">(1-'3. Assumptions'!$B$15)*SUMPRODUCT((('2. The tape'!$C$5:$C$13*'2. The tape'!$D$5:$D$13*(1-'2. The tape'!$J$5:$J$13)^($A19/4)*(1+$L$5)^($A19/4)*((1-'3. Assumptions'!$B$13)/($L$6)-'2. The tape'!$H$5:$H$13/12-'3. Assumptions'!$B$16)-'2. The tape'!$C$5:$C$13*'2. The tape'!$I$5:$I$13*(1+$L$5)^($A19/4))&gt;0)*('2. The tape'!$C$5:$C$13*'2. The tape'!$D$5:$D$13*(1-'2. The tape'!$J$5:$J$13)^($A19/4)*(1+$L$5)^($A19/4)*((1-'3. Assumptions'!$B$13)/($L$6)-'2. The tape'!$H$5:$H$13/12-'3. Assumptions'!$B$16)-'2. The tape'!$C$5:$C$13*'2. The tape'!$I$5:$I$13*(1+$L$5)^($A19/4)))</f>
        <v>103726282.75432</v>
      </c>
      <c r="N19" s="33" t="n">
        <f aca="false">'2. The tape'!$C$17*(1+MIN(MAX($N$5,'3. Assumptions'!$B$11),'3. Assumptions'!$B$10))^INT(($A19-1)/4)/4*(1-'3. Assumptions'!$B$13)</f>
        <v>2998091.25</v>
      </c>
      <c r="O19" s="33" t="n">
        <f aca="false">(1-'3. Assumptions'!$B$15)*SUMPRODUCT((('2. The tape'!$C$5:$C$13*'2. The tape'!$D$5:$D$13*(1-'2. The tape'!$J$5:$J$13)^($A19/4)*(1+$N$5)^($A19/4)*((1-'3. Assumptions'!$B$13)/($N$6)-'2. The tape'!$H$5:$H$13/12-'3. Assumptions'!$B$16)-'2. The tape'!$C$5:$C$13*'2. The tape'!$I$5:$I$13*(1+$N$5)^($A19/4))&gt;0)*('2. The tape'!$C$5:$C$13*'2. The tape'!$D$5:$D$13*(1-'2. The tape'!$J$5:$J$13)^($A19/4)*(1+$N$5)^($A19/4)*((1-'3. Assumptions'!$B$13)/($N$6)-'2. The tape'!$H$5:$H$13/12-'3. Assumptions'!$B$16)-'2. The tape'!$C$5:$C$13*'2. The tape'!$I$5:$I$13*(1+$N$5)^($A19/4)))</f>
        <v>77395764.8243773</v>
      </c>
      <c r="P19" s="33" t="n">
        <f aca="false">'2. The tape'!$C$17*(1+MIN(MAX($P$5,'3. Assumptions'!$B$11),'3. Assumptions'!$B$10))^INT(($A19-1)/4)/4*(1-'3. Assumptions'!$B$13)</f>
        <v>2998091.25</v>
      </c>
      <c r="Q19" s="33" t="n">
        <f aca="false">(1-'3. Assumptions'!$B$15)*SUMPRODUCT((('2. The tape'!$C$5:$C$13*'2. The tape'!$D$5:$D$13*(1-'2. The tape'!$J$5:$J$13)^($A19/4)*(1+$P$5)^($A19/4)*((1-'3. Assumptions'!$B$13)/($P$6)-'2. The tape'!$H$5:$H$13/12-'3. Assumptions'!$B$16)-'2. The tape'!$C$5:$C$13*'2. The tape'!$I$5:$I$13*(1+$P$5)^($A19/4))&gt;0)*('2. The tape'!$C$5:$C$13*'2. The tape'!$D$5:$D$13*(1-'2. The tape'!$J$5:$J$13)^($A19/4)*(1+$P$5)^($A19/4)*((1-'3. Assumptions'!$B$13)/($P$6)-'2. The tape'!$H$5:$H$13/12-'3. Assumptions'!$B$16)-'2. The tape'!$C$5:$C$13*'2. The tape'!$I$5:$I$13*(1+$P$5)^($A19/4)))</f>
        <v>78193659.3071028</v>
      </c>
      <c r="R19" s="33" t="n">
        <f aca="false">'2. The tape'!$C$17*(1+MIN(MAX($R$5,'3. Assumptions'!$B$11),'3. Assumptions'!$B$10))^INT(($A19-1)/4)/4*(1-'3. Assumptions'!$B$13)</f>
        <v>2998091.25</v>
      </c>
      <c r="S19" s="33" t="n">
        <f aca="false">(1-'3. Assumptions'!$B$15)*SUMPRODUCT((('2. The tape'!$C$5:$C$13*'2. The tape'!$D$5:$D$13*(1-'2. The tape'!$J$5:$J$13)^($A19/4)*(1+$R$5)^($A19/4)*((1-'3. Assumptions'!$B$13)/($R$6)-'2. The tape'!$H$5:$H$13/12-'3. Assumptions'!$B$16)-'2. The tape'!$C$5:$C$13*'2. The tape'!$I$5:$I$13*(1+$R$5)^($A19/4))&gt;0)*('2. The tape'!$C$5:$C$13*'2. The tape'!$D$5:$D$13*(1-'2. The tape'!$J$5:$J$13)^($A19/4)*(1+$R$5)^($A19/4)*((1-'3. Assumptions'!$B$13)/($R$6)-'2. The tape'!$H$5:$H$13/12-'3. Assumptions'!$B$16)-'2. The tape'!$C$5:$C$13*'2. The tape'!$I$5:$I$13*(1+$R$5)^($A19/4)))</f>
        <v>77710653.4911356</v>
      </c>
      <c r="T19" s="33" t="n">
        <f aca="false">'2. The tape'!$C$17*(1+MIN(MAX($T$5,'3. Assumptions'!$B$11),'3. Assumptions'!$B$10))^INT(($A19-1)/4)/4*(1-'3. Assumptions'!$B$13)</f>
        <v>2998091.25</v>
      </c>
      <c r="U19" s="33" t="n">
        <f aca="false">(1-'3. Assumptions'!$B$15)*SUMPRODUCT((('2. The tape'!$C$5:$C$13*'2. The tape'!$D$5:$D$13*(1-'2. The tape'!$J$5:$J$13)^($A19/4)*(1+$T$5)^($A19/4)*((1-'3. Assumptions'!$B$13)/($T$6)-'2. The tape'!$H$5:$H$13/12-'3. Assumptions'!$B$16)-'2. The tape'!$C$5:$C$13*'2. The tape'!$I$5:$I$13*(1+$T$5)^($A19/4))&gt;0)*('2. The tape'!$C$5:$C$13*'2. The tape'!$D$5:$D$13*(1-'2. The tape'!$J$5:$J$13)^($A19/4)*(1+$T$5)^($A19/4)*((1-'3. Assumptions'!$B$13)/($T$6)-'2. The tape'!$H$5:$H$13/12-'3. Assumptions'!$B$16)-'2. The tape'!$C$5:$C$13*'2. The tape'!$I$5:$I$13*(1+$T$5)^($A19/4)))</f>
        <v>77697552.4449644</v>
      </c>
      <c r="V19" s="33" t="n">
        <f aca="false">'2. The tape'!$C$17*(1+MIN(MAX($V$5,'3. Assumptions'!$B$11),'3. Assumptions'!$B$10))^INT(($A19-1)/4)/4*(1-'3. Assumptions'!$B$13)</f>
        <v>2998091.25</v>
      </c>
      <c r="W19" s="33" t="n">
        <f aca="false">(1-'3. Assumptions'!$B$15)*SUMPRODUCT((('2. The tape'!$C$5:$C$13*'2. The tape'!$D$5:$D$13*(1-'2. The tape'!$J$5:$J$13)^($A19/4)*(1+$V$5)^($A19/4)*((1-'3. Assumptions'!$B$13)/($V$6)-'2. The tape'!$H$5:$H$13/12-'3. Assumptions'!$B$16)-'2. The tape'!$C$5:$C$13*'2. The tape'!$I$5:$I$13*(1+$V$5)^($A19/4))&gt;0)*('2. The tape'!$C$5:$C$13*'2. The tape'!$D$5:$D$13*(1-'2. The tape'!$J$5:$J$13)^($A19/4)*(1+$V$5)^($A19/4)*((1-'3. Assumptions'!$B$13)/($V$6)-'2. The tape'!$H$5:$H$13/12-'3. Assumptions'!$B$16)-'2. The tape'!$C$5:$C$13*'2. The tape'!$I$5:$I$13*(1+$V$5)^($A19/4)))</f>
        <v>77698078.8324135</v>
      </c>
      <c r="X19" s="33" t="n">
        <f aca="false">'2. The tape'!$C$17*(1+MIN(MAX($X$5,'3. Assumptions'!$B$11),'3. Assumptions'!$B$10))^INT(($A19-1)/4)/4*(1-'3. Assumptions'!$B$13)</f>
        <v>2998091.25</v>
      </c>
      <c r="Y19" s="33" t="n">
        <f aca="false">(1-'3. Assumptions'!$B$15)*SUMPRODUCT((('2. The tape'!$C$5:$C$13*'2. The tape'!$D$5:$D$13*(1-'2. The tape'!$J$5:$J$13)^($A19/4)*(1+$X$5)^($A19/4)*((1-'3. Assumptions'!$B$13)/($X$6)-'2. The tape'!$H$5:$H$13/12-'3. Assumptions'!$B$16)-'2. The tape'!$C$5:$C$13*'2. The tape'!$I$5:$I$13*(1+$X$5)^($A19/4))&gt;0)*('2. The tape'!$C$5:$C$13*'2. The tape'!$D$5:$D$13*(1-'2. The tape'!$J$5:$J$13)^($A19/4)*(1+$X$5)^($A19/4)*((1-'3. Assumptions'!$B$13)/($X$6)-'2. The tape'!$H$5:$H$13/12-'3. Assumptions'!$B$16)-'2. The tape'!$C$5:$C$13*'2. The tape'!$I$5:$I$13*(1+$X$5)^($A19/4)))</f>
        <v>77698078.2788844</v>
      </c>
      <c r="Z19" s="33" t="n">
        <f aca="false">'2. The tape'!$C$17*(1+MIN(MAX($Z$5,'3. Assumptions'!$B$11),'3. Assumptions'!$B$10))^INT(($A19-1)/4)/4*(1-'3. Assumptions'!$B$13)</f>
        <v>2998091.25</v>
      </c>
      <c r="AA19" s="33" t="n">
        <f aca="false">(1-'3. Assumptions'!$B$15)*SUMPRODUCT((('2. The tape'!$C$5:$C$13*'2. The tape'!$D$5:$D$13*(1-'2. The tape'!$J$5:$J$13)^($A19/4)*(1+$Z$5)^($A19/4)*((1-'3. Assumptions'!$B$13)/($Z$6)-'2. The tape'!$H$5:$H$13/12-'3. Assumptions'!$B$16)-'2. The tape'!$C$5:$C$13*'2. The tape'!$I$5:$I$13*(1+$Z$5)^($A19/4))&gt;0)*('2. The tape'!$C$5:$C$13*'2. The tape'!$D$5:$D$13*(1-'2. The tape'!$J$5:$J$13)^($A19/4)*(1+$Z$5)^($A19/4)*((1-'3. Assumptions'!$B$13)/($Z$6)-'2. The tape'!$H$5:$H$13/12-'3. Assumptions'!$B$16)-'2. The tape'!$C$5:$C$13*'2. The tape'!$I$5:$I$13*(1+$Z$5)^($A19/4)))</f>
        <v>77698078.27886</v>
      </c>
      <c r="AB19" s="33" t="n">
        <f aca="false">'2. The tape'!$C$17*(1+MIN(MAX($AB$5,'3. Assumptions'!$B$11),'3. Assumptions'!$B$10))^INT(($A19-1)/4)/4*(1-'3. Assumptions'!$B$13)</f>
        <v>2998091.25</v>
      </c>
      <c r="AC19" s="33" t="n">
        <f aca="false">(1-'3. Assumptions'!$B$15)*SUMPRODUCT((('2. The tape'!$C$5:$C$13*'2. The tape'!$D$5:$D$13*(1-'2. The tape'!$J$5:$J$13)^($A19/4)*(1+$AB$5)^($A19/4)*((1-'3. Assumptions'!$B$13)/($AB$6)-'2. The tape'!$H$5:$H$13/12-'3. Assumptions'!$B$16)-'2. The tape'!$C$5:$C$13*'2. The tape'!$I$5:$I$13*(1+$AB$5)^($A19/4))&gt;0)*('2. The tape'!$C$5:$C$13*'2. The tape'!$D$5:$D$13*(1-'2. The tape'!$J$5:$J$13)^($A19/4)*(1+$AB$5)^($A19/4)*((1-'3. Assumptions'!$B$13)/($AB$6)-'2. The tape'!$H$5:$H$13/12-'3. Assumptions'!$B$16)-'2. The tape'!$C$5:$C$13*'2. The tape'!$I$5:$I$13*(1+$AB$5)^($A19/4)))</f>
        <v>77698078.27886</v>
      </c>
      <c r="AD19" s="33" t="n">
        <f aca="false">'2. The tape'!$C$17*(1+MIN(MAX($AD$5,'3. Assumptions'!$B$11),'3. Assumptions'!$B$10))^INT(($A19-1)/4)/4*(1-'3. Assumptions'!$B$13)</f>
        <v>2998091.25</v>
      </c>
      <c r="AE19" s="33" t="n">
        <f aca="false">(1-'3. Assumptions'!$B$15)*SUMPRODUCT((('2. The tape'!$C$5:$C$13*'2. The tape'!$D$5:$D$13*(1-'2. The tape'!$J$5:$J$13)^($A19/4)*(1+$AD$5)^($A19/4)*((1-'3. Assumptions'!$B$13)/($AD$6)-'2. The tape'!$H$5:$H$13/12-'3. Assumptions'!$B$16)-'2. The tape'!$C$5:$C$13*'2. The tape'!$I$5:$I$13*(1+$AD$5)^($A19/4))&gt;0)*('2. The tape'!$C$5:$C$13*'2. The tape'!$D$5:$D$13*(1-'2. The tape'!$J$5:$J$13)^($A19/4)*(1+$AD$5)^($A19/4)*((1-'3. Assumptions'!$B$13)/($AD$6)-'2. The tape'!$H$5:$H$13/12-'3. Assumptions'!$B$16)-'2. The tape'!$C$5:$C$13*'2. The tape'!$I$5:$I$13*(1+$AD$5)^($A19/4)))</f>
        <v>77698078.27886</v>
      </c>
      <c r="AF19" s="33" t="n">
        <f aca="false">'2. The tape'!$C$17*(1+MIN(MAX($AF$5,'3. Assumptions'!$B$11),'3. Assumptions'!$B$10))^INT(($A19-1)/4)/4*(1-'3. Assumptions'!$B$13)</f>
        <v>2998091.25</v>
      </c>
      <c r="AG19" s="33" t="n">
        <f aca="false">(1-'3. Assumptions'!$B$15)*SUMPRODUCT((('2. The tape'!$C$5:$C$13*'2. The tape'!$D$5:$D$13*(1-'2. The tape'!$J$5:$J$13)^($A19/4)*(1+$AF$5)^($A19/4)*((1-'3. Assumptions'!$B$13)/($AF$6)-'2. The tape'!$H$5:$H$13/12-'3. Assumptions'!$B$16)-'2. The tape'!$C$5:$C$13*'2. The tape'!$I$5:$I$13*(1+$AF$5)^($A19/4))&gt;0)*('2. The tape'!$C$5:$C$13*'2. The tape'!$D$5:$D$13*(1-'2. The tape'!$J$5:$J$13)^($A19/4)*(1+$AF$5)^($A19/4)*((1-'3. Assumptions'!$B$13)/($AF$6)-'2. The tape'!$H$5:$H$13/12-'3. Assumptions'!$B$16)-'2. The tape'!$C$5:$C$13*'2. The tape'!$I$5:$I$13*(1+$AF$5)^($A19/4)))</f>
        <v>77698078.27886</v>
      </c>
      <c r="AH19" s="33" t="n">
        <f aca="false">'2. The tape'!$C$17*(1+MIN(MAX($AH$5,'3. Assumptions'!$B$11),'3. Assumptions'!$B$10))^INT(($A19-1)/4)/4*(1-'3. Assumptions'!$B$13)</f>
        <v>2998091.25</v>
      </c>
      <c r="AI19" s="33" t="n">
        <f aca="false">(1-'3. Assumptions'!$B$15)*SUMPRODUCT((('2. The tape'!$C$5:$C$13*'2. The tape'!$D$5:$D$13*(1-'2. The tape'!$J$5:$J$13)^($A19/4)*(1+$AH$5)^($A19/4)*((1-'3. Assumptions'!$B$13)/($AH$6)-'2. The tape'!$H$5:$H$13/12-'3. Assumptions'!$B$16)-'2. The tape'!$C$5:$C$13*'2. The tape'!$I$5:$I$13*(1+$AH$5)^($A19/4))&gt;0)*('2. The tape'!$C$5:$C$13*'2. The tape'!$D$5:$D$13*(1-'2. The tape'!$J$5:$J$13)^($A19/4)*(1+$AH$5)^($A19/4)*((1-'3. Assumptions'!$B$13)/($AH$6)-'2. The tape'!$H$5:$H$13/12-'3. Assumptions'!$B$16)-'2. The tape'!$C$5:$C$13*'2. The tape'!$I$5:$I$13*(1+$AH$5)^($A19/4)))</f>
        <v>158633324.798726</v>
      </c>
      <c r="AJ19" s="33" t="n">
        <f aca="false">'2. The tape'!$C$17*(1+MIN(MAX($AJ$5,'3. Assumptions'!$B$11),'3. Assumptions'!$B$10))^INT(($A19-1)/4)/4*(1-'3. Assumptions'!$B$13)</f>
        <v>2998091.25</v>
      </c>
      <c r="AK19" s="33" t="n">
        <f aca="false">(1-'3. Assumptions'!$B$15)*SUMPRODUCT((('2. The tape'!$C$5:$C$13*'2. The tape'!$D$5:$D$13*(1-'2. The tape'!$J$5:$J$13)^($A19/4)*(1+$AJ$5)^($A19/4)*((1-'3. Assumptions'!$B$13)/($AJ$6)-'2. The tape'!$H$5:$H$13/12-'3. Assumptions'!$B$16)-'2. The tape'!$C$5:$C$13*'2. The tape'!$I$5:$I$13*(1+$AJ$5)^($A19/4))&gt;0)*('2. The tape'!$C$5:$C$13*'2. The tape'!$D$5:$D$13*(1-'2. The tape'!$J$5:$J$13)^($A19/4)*(1+$AJ$5)^($A19/4)*((1-'3. Assumptions'!$B$13)/($AJ$6)-'2. The tape'!$H$5:$H$13/12-'3. Assumptions'!$B$16)-'2. The tape'!$C$5:$C$13*'2. The tape'!$I$5:$I$13*(1+$AJ$5)^($A19/4)))</f>
        <v>115429874.888034</v>
      </c>
      <c r="AL19" s="33" t="n">
        <f aca="false">'2. The tape'!$C$17*(1+MIN(MAX($AL$5,'3. Assumptions'!$B$11),'3. Assumptions'!$B$10))^INT(($A19-1)/4)/4*(1-'3. Assumptions'!$B$13)</f>
        <v>2998091.25</v>
      </c>
      <c r="AM19" s="33" t="n">
        <f aca="false">(1-'3. Assumptions'!$B$15)*SUMPRODUCT((('2. The tape'!$C$5:$C$13*'2. The tape'!$D$5:$D$13*(1-'2. The tape'!$J$5:$J$13)^($A19/4)*(1+$AL$5)^($A19/4)*((1-'3. Assumptions'!$B$13)/($AL$6)-'2. The tape'!$H$5:$H$13/12-'3. Assumptions'!$B$16)-'2. The tape'!$C$5:$C$13*'2. The tape'!$I$5:$I$13*(1+$AL$5)^($A19/4))&gt;0)*('2. The tape'!$C$5:$C$13*'2. The tape'!$D$5:$D$13*(1-'2. The tape'!$J$5:$J$13)^($A19/4)*(1+$AL$5)^($A19/4)*((1-'3. Assumptions'!$B$13)/($AL$6)-'2. The tape'!$H$5:$H$13/12-'3. Assumptions'!$B$16)-'2. The tape'!$C$5:$C$13*'2. The tape'!$I$5:$I$13*(1+$AL$5)^($A19/4)))</f>
        <v>132186049.951172</v>
      </c>
      <c r="AN19" s="33" t="n">
        <f aca="false">'2. The tape'!$C$17*(1+MIN(MAX($AN$5,'3. Assumptions'!$B$11),'3. Assumptions'!$B$10))^INT(($A19-1)/4)/4*(1-'3. Assumptions'!$B$13)</f>
        <v>2998091.25</v>
      </c>
      <c r="AO19" s="33" t="n">
        <f aca="false">(1-'3. Assumptions'!$B$15)*SUMPRODUCT((('2. The tape'!$C$5:$C$13*'2. The tape'!$D$5:$D$13*(1-'2. The tape'!$J$5:$J$13)^($A19/4)*(1+$AN$5)^($A19/4)*((1-'3. Assumptions'!$B$13)/($AN$6)-'2. The tape'!$H$5:$H$13/12-'3. Assumptions'!$B$16)-'2. The tape'!$C$5:$C$13*'2. The tape'!$I$5:$I$13*(1+$AN$5)^($A19/4))&gt;0)*('2. The tape'!$C$5:$C$13*'2. The tape'!$D$5:$D$13*(1-'2. The tape'!$J$5:$J$13)^($A19/4)*(1+$AN$5)^($A19/4)*((1-'3. Assumptions'!$B$13)/($AN$6)-'2. The tape'!$H$5:$H$13/12-'3. Assumptions'!$B$16)-'2. The tape'!$C$5:$C$13*'2. The tape'!$I$5:$I$13*(1+$AN$5)^($A19/4)))</f>
        <v>135323320.491041</v>
      </c>
      <c r="AP19" s="33" t="n">
        <f aca="false">'2. The tape'!$C$17*(1+MIN(MAX($AP$5,'3. Assumptions'!$B$11),'3. Assumptions'!$B$10))^INT(($A19-1)/4)/4*(1-'3. Assumptions'!$B$13)</f>
        <v>2998091.25</v>
      </c>
      <c r="AQ19" s="33" t="n">
        <f aca="false">(1-'3. Assumptions'!$B$15)*SUMPRODUCT((('2. The tape'!$C$5:$C$13*'2. The tape'!$D$5:$D$13*(1-'2. The tape'!$J$5:$J$13)^($A19/4)*(1+$AP$5)^($A19/4)*((1-'3. Assumptions'!$B$13)/($AP$6)-'2. The tape'!$H$5:$H$13/12-'3. Assumptions'!$B$16)-'2. The tape'!$C$5:$C$13*'2. The tape'!$I$5:$I$13*(1+$AP$5)^($A19/4))&gt;0)*('2. The tape'!$C$5:$C$13*'2. The tape'!$D$5:$D$13*(1-'2. The tape'!$J$5:$J$13)^($A19/4)*(1+$AP$5)^($A19/4)*((1-'3. Assumptions'!$B$13)/($AP$6)-'2. The tape'!$H$5:$H$13/12-'3. Assumptions'!$B$16)-'2. The tape'!$C$5:$C$13*'2. The tape'!$I$5:$I$13*(1+$AP$5)^($A19/4)))</f>
        <v>134936030.880691</v>
      </c>
      <c r="AR19" s="33" t="n">
        <f aca="false">'2. The tape'!$C$17*(1+MIN(MAX($AR$5,'3. Assumptions'!$B$11),'3. Assumptions'!$B$10))^INT(($A19-1)/4)/4*(1-'3. Assumptions'!$B$13)</f>
        <v>2998091.25</v>
      </c>
      <c r="AS19" s="33" t="n">
        <f aca="false">(1-'3. Assumptions'!$B$15)*SUMPRODUCT((('2. The tape'!$C$5:$C$13*'2. The tape'!$D$5:$D$13*(1-'2. The tape'!$J$5:$J$13)^($A19/4)*(1+$AR$5)^($A19/4)*((1-'3. Assumptions'!$B$13)/($AR$6)-'2. The tape'!$H$5:$H$13/12-'3. Assumptions'!$B$16)-'2. The tape'!$C$5:$C$13*'2. The tape'!$I$5:$I$13*(1+$AR$5)^($A19/4))&gt;0)*('2. The tape'!$C$5:$C$13*'2. The tape'!$D$5:$D$13*(1-'2. The tape'!$J$5:$J$13)^($A19/4)*(1+$AR$5)^($A19/4)*((1-'3. Assumptions'!$B$13)/($AR$6)-'2. The tape'!$H$5:$H$13/12-'3. Assumptions'!$B$16)-'2. The tape'!$C$5:$C$13*'2. The tape'!$I$5:$I$13*(1+$AR$5)^($A19/4)))</f>
        <v>134942529.045619</v>
      </c>
      <c r="AT19" s="33" t="n">
        <f aca="false">'2. The tape'!$C$17*(1+MIN(MAX($AT$5,'3. Assumptions'!$B$11),'3. Assumptions'!$B$10))^INT(($A19-1)/4)/4*(1-'3. Assumptions'!$B$13)</f>
        <v>2998091.25</v>
      </c>
      <c r="AU19" s="33" t="n">
        <f aca="false">(1-'3. Assumptions'!$B$15)*SUMPRODUCT((('2. The tape'!$C$5:$C$13*'2. The tape'!$D$5:$D$13*(1-'2. The tape'!$J$5:$J$13)^($A19/4)*(1+$AT$5)^($A19/4)*((1-'3. Assumptions'!$B$13)/($AT$6)-'2. The tape'!$H$5:$H$13/12-'3. Assumptions'!$B$16)-'2. The tape'!$C$5:$C$13*'2. The tape'!$I$5:$I$13*(1+$AT$5)^($A19/4))&gt;0)*('2. The tape'!$C$5:$C$13*'2. The tape'!$D$5:$D$13*(1-'2. The tape'!$J$5:$J$13)^($A19/4)*(1+$AT$5)^($A19/4)*((1-'3. Assumptions'!$B$13)/($AT$6)-'2. The tape'!$H$5:$H$13/12-'3. Assumptions'!$B$16)-'2. The tape'!$C$5:$C$13*'2. The tape'!$I$5:$I$13*(1+$AT$5)^($A19/4)))</f>
        <v>134942544.178211</v>
      </c>
      <c r="AV19" s="33" t="n">
        <f aca="false">'2. The tape'!$C$17*(1+MIN(MAX($AV$5,'3. Assumptions'!$B$11),'3. Assumptions'!$B$10))^INT(($A19-1)/4)/4*(1-'3. Assumptions'!$B$13)</f>
        <v>2998091.25</v>
      </c>
      <c r="AW19" s="33" t="n">
        <f aca="false">(1-'3. Assumptions'!$B$15)*SUMPRODUCT((('2. The tape'!$C$5:$C$13*'2. The tape'!$D$5:$D$13*(1-'2. The tape'!$J$5:$J$13)^($A19/4)*(1+$AV$5)^($A19/4)*((1-'3. Assumptions'!$B$13)/($AV$6)-'2. The tape'!$H$5:$H$13/12-'3. Assumptions'!$B$16)-'2. The tape'!$C$5:$C$13*'2. The tape'!$I$5:$I$13*(1+$AV$5)^($A19/4))&gt;0)*('2. The tape'!$C$5:$C$13*'2. The tape'!$D$5:$D$13*(1-'2. The tape'!$J$5:$J$13)^($A19/4)*(1+$AV$5)^($A19/4)*((1-'3. Assumptions'!$B$13)/($AV$6)-'2. The tape'!$H$5:$H$13/12-'3. Assumptions'!$B$16)-'2. The tape'!$C$5:$C$13*'2. The tape'!$I$5:$I$13*(1+$AV$5)^($A19/4)))</f>
        <v>134942544.177608</v>
      </c>
      <c r="AX19" s="33" t="n">
        <f aca="false">'2. The tape'!$C$17*(1+MIN(MAX($AX$5,'3. Assumptions'!$B$11),'3. Assumptions'!$B$10))^INT(($A19-1)/4)/4*(1-'3. Assumptions'!$B$13)</f>
        <v>2998091.25</v>
      </c>
      <c r="AY19" s="33" t="n">
        <f aca="false">(1-'3. Assumptions'!$B$15)*SUMPRODUCT((('2. The tape'!$C$5:$C$13*'2. The tape'!$D$5:$D$13*(1-'2. The tape'!$J$5:$J$13)^($A19/4)*(1+$AX$5)^($A19/4)*((1-'3. Assumptions'!$B$13)/($AX$6)-'2. The tape'!$H$5:$H$13/12-'3. Assumptions'!$B$16)-'2. The tape'!$C$5:$C$13*'2. The tape'!$I$5:$I$13*(1+$AX$5)^($A19/4))&gt;0)*('2. The tape'!$C$5:$C$13*'2. The tape'!$D$5:$D$13*(1-'2. The tape'!$J$5:$J$13)^($A19/4)*(1+$AX$5)^($A19/4)*((1-'3. Assumptions'!$B$13)/($AX$6)-'2. The tape'!$H$5:$H$13/12-'3. Assumptions'!$B$16)-'2. The tape'!$C$5:$C$13*'2. The tape'!$I$5:$I$13*(1+$AX$5)^($A19/4)))</f>
        <v>134942544.177608</v>
      </c>
      <c r="AZ19" s="33" t="n">
        <f aca="false">'2. The tape'!$C$17*(1+MIN(MAX($AZ$5,'3. Assumptions'!$B$11),'3. Assumptions'!$B$10))^INT(($A19-1)/4)/4*(1-'3. Assumptions'!$B$13)</f>
        <v>2998091.25</v>
      </c>
      <c r="BA19" s="33" t="n">
        <f aca="false">(1-'3. Assumptions'!$B$15)*SUMPRODUCT((('2. The tape'!$C$5:$C$13*'2. The tape'!$D$5:$D$13*(1-'2. The tape'!$J$5:$J$13)^($A19/4)*(1+$AZ$5)^($A19/4)*((1-'3. Assumptions'!$B$13)/($AZ$6)-'2. The tape'!$H$5:$H$13/12-'3. Assumptions'!$B$16)-'2. The tape'!$C$5:$C$13*'2. The tape'!$I$5:$I$13*(1+$AZ$5)^($A19/4))&gt;0)*('2. The tape'!$C$5:$C$13*'2. The tape'!$D$5:$D$13*(1-'2. The tape'!$J$5:$J$13)^($A19/4)*(1+$AZ$5)^($A19/4)*((1-'3. Assumptions'!$B$13)/($AZ$6)-'2. The tape'!$H$5:$H$13/12-'3. Assumptions'!$B$16)-'2. The tape'!$C$5:$C$13*'2. The tape'!$I$5:$I$13*(1+$AZ$5)^($A19/4)))</f>
        <v>134942544.177608</v>
      </c>
    </row>
    <row r="20" customFormat="false" ht="15" hidden="false" customHeight="false" outlineLevel="0" collapsed="false">
      <c r="A20" s="20" t="n">
        <v>5</v>
      </c>
      <c r="B20" s="33" t="n">
        <f aca="false">'2. The tape'!$C$17*(1+MIN(MAX($B$5,'3. Assumptions'!$B$11),'3. Assumptions'!$B$10))^INT(($A20-1)/4)/4*(1-'3. Assumptions'!$B$13)</f>
        <v>3064049.2575</v>
      </c>
      <c r="C20" s="33" t="n">
        <f aca="false">(1-'3. Assumptions'!$B$15)*SUMPRODUCT((('2. The tape'!$C$5:$C$13*'2. The tape'!$D$5:$D$13*(1-'2. The tape'!$J$5:$J$13)^($A20/4)*(1+$B$5)^($A20/4)*((1-'3. Assumptions'!$B$13)/($B$6)-'2. The tape'!$H$5:$H$13/12-'3. Assumptions'!$B$16)-'2. The tape'!$C$5:$C$13*'2. The tape'!$I$5:$I$13*(1+$B$5)^($A20/4))&gt;0)*('2. The tape'!$C$5:$C$13*'2. The tape'!$D$5:$D$13*(1-'2. The tape'!$J$5:$J$13)^($A20/4)*(1+$B$5)^($A20/4)*((1-'3. Assumptions'!$B$13)/($B$6)-'2. The tape'!$H$5:$H$13/12-'3. Assumptions'!$B$16)-'2. The tape'!$C$5:$C$13*'2. The tape'!$I$5:$I$13*(1+$B$5)^($A20/4)))</f>
        <v>81454452.8336819</v>
      </c>
      <c r="D20" s="33" t="n">
        <f aca="false">'2. The tape'!$C$17*(1+MIN(MAX($D$5,'3. Assumptions'!$B$11),'3. Assumptions'!$B$10))^INT(($A20-1)/4)/4*(1-'3. Assumptions'!$B$13)</f>
        <v>3088033.9875</v>
      </c>
      <c r="E20" s="33" t="n">
        <f aca="false">(1-'3. Assumptions'!$B$15)*SUMPRODUCT((('2. The tape'!$C$5:$C$13*'2. The tape'!$D$5:$D$13*(1-'2. The tape'!$J$5:$J$13)^($A20/4)*(1+$D$5)^($A20/4)*((1-'3. Assumptions'!$B$13)/($D$6)-'2. The tape'!$H$5:$H$13/12-'3. Assumptions'!$B$16)-'2. The tape'!$C$5:$C$13*'2. The tape'!$I$5:$I$13*(1+$D$5)^($A20/4))&gt;0)*('2. The tape'!$C$5:$C$13*'2. The tape'!$D$5:$D$13*(1-'2. The tape'!$J$5:$J$13)^($A20/4)*(1+$D$5)^($A20/4)*((1-'3. Assumptions'!$B$13)/($D$6)-'2. The tape'!$H$5:$H$13/12-'3. Assumptions'!$B$16)-'2. The tape'!$C$5:$C$13*'2. The tape'!$I$5:$I$13*(1+$D$5)^($A20/4)))</f>
        <v>82751647.3621897</v>
      </c>
      <c r="F20" s="33" t="n">
        <f aca="false">'2. The tape'!$C$17*(1+MIN(MAX($F$5,'3. Assumptions'!$B$11),'3. Assumptions'!$B$10))^INT(($A20-1)/4)/4*(1-'3. Assumptions'!$B$13)</f>
        <v>3028072.1625</v>
      </c>
      <c r="G20" s="33" t="n">
        <f aca="false">(1-'3. Assumptions'!$B$15)*SUMPRODUCT((('2. The tape'!$C$5:$C$13*'2. The tape'!$D$5:$D$13*(1-'2. The tape'!$J$5:$J$13)^($A20/4)*(1+$F$5)^($A20/4)*((1-'3. Assumptions'!$B$13)/($F$6)-'2. The tape'!$H$5:$H$13/12-'3. Assumptions'!$B$16)-'2. The tape'!$C$5:$C$13*'2. The tape'!$I$5:$I$13*(1+$F$5)^($A20/4))&gt;0)*('2. The tape'!$C$5:$C$13*'2. The tape'!$D$5:$D$13*(1-'2. The tape'!$J$5:$J$13)^($A20/4)*(1+$F$5)^($A20/4)*((1-'3. Assumptions'!$B$13)/($F$6)-'2. The tape'!$H$5:$H$13/12-'3. Assumptions'!$B$16)-'2. The tape'!$C$5:$C$13*'2. The tape'!$I$5:$I$13*(1+$F$5)^($A20/4)))</f>
        <v>80260697.2288893</v>
      </c>
      <c r="H20" s="33" t="n">
        <f aca="false">'2. The tape'!$C$17*(1+MIN(MAX($H$5,'3. Assumptions'!$B$11),'3. Assumptions'!$B$10))^INT(($A20-1)/4)/4*(1-'3. Assumptions'!$B$13)</f>
        <v>3088033.9875</v>
      </c>
      <c r="I20" s="33" t="n">
        <f aca="false">(1-'3. Assumptions'!$B$15)*SUMPRODUCT((('2. The tape'!$C$5:$C$13*'2. The tape'!$D$5:$D$13*(1-'2. The tape'!$J$5:$J$13)^($A20/4)*(1+$H$5)^($A20/4)*((1-'3. Assumptions'!$B$13)/($H$6)-'2. The tape'!$H$5:$H$13/12-'3. Assumptions'!$B$16)-'2. The tape'!$C$5:$C$13*'2. The tape'!$I$5:$I$13*(1+$H$5)^($A20/4))&gt;0)*('2. The tape'!$C$5:$C$13*'2. The tape'!$D$5:$D$13*(1-'2. The tape'!$J$5:$J$13)^($A20/4)*(1+$H$5)^($A20/4)*((1-'3. Assumptions'!$B$13)/($H$6)-'2. The tape'!$H$5:$H$13/12-'3. Assumptions'!$B$16)-'2. The tape'!$C$5:$C$13*'2. The tape'!$I$5:$I$13*(1+$H$5)^($A20/4)))</f>
        <v>82751647.3621897</v>
      </c>
      <c r="J20" s="33" t="n">
        <f aca="false">'2. The tape'!$C$17*(1+MIN(MAX($J$5,'3. Assumptions'!$B$11),'3. Assumptions'!$B$10))^INT(($A20-1)/4)/4*(1-'3. Assumptions'!$B$13)</f>
        <v>3064049.2575</v>
      </c>
      <c r="K20" s="33" t="n">
        <f aca="false">(1-'3. Assumptions'!$B$15)*SUMPRODUCT((('2. The tape'!$C$5:$C$13*'2. The tape'!$D$5:$D$13*(1-'2. The tape'!$J$5:$J$13)^($A20/4)*(1+$J$5)^($A20/4)*((1-'3. Assumptions'!$B$13)/($J$6)-'2. The tape'!$H$5:$H$13/12-'3. Assumptions'!$B$16)-'2. The tape'!$C$5:$C$13*'2. The tape'!$I$5:$I$13*(1+$J$5)^($A20/4))&gt;0)*('2. The tape'!$C$5:$C$13*'2. The tape'!$D$5:$D$13*(1-'2. The tape'!$J$5:$J$13)^($A20/4)*(1+$J$5)^($A20/4)*((1-'3. Assumptions'!$B$13)/($J$6)-'2. The tape'!$H$5:$H$13/12-'3. Assumptions'!$B$16)-'2. The tape'!$C$5:$C$13*'2. The tape'!$I$5:$I$13*(1+$J$5)^($A20/4)))</f>
        <v>67338043.4001426</v>
      </c>
      <c r="L20" s="33" t="n">
        <f aca="false">'2. The tape'!$C$17*(1+MIN(MAX($L$5,'3. Assumptions'!$B$11),'3. Assumptions'!$B$10))^INT(($A20-1)/4)/4*(1-'3. Assumptions'!$B$13)</f>
        <v>3088033.9875</v>
      </c>
      <c r="M20" s="33" t="n">
        <f aca="false">(1-'3. Assumptions'!$B$15)*SUMPRODUCT((('2. The tape'!$C$5:$C$13*'2. The tape'!$D$5:$D$13*(1-'2. The tape'!$J$5:$J$13)^($A20/4)*(1+$L$5)^($A20/4)*((1-'3. Assumptions'!$B$13)/($L$6)-'2. The tape'!$H$5:$H$13/12-'3. Assumptions'!$B$16)-'2. The tape'!$C$5:$C$13*'2. The tape'!$I$5:$I$13*(1+$L$5)^($A20/4))&gt;0)*('2. The tape'!$C$5:$C$13*'2. The tape'!$D$5:$D$13*(1-'2. The tape'!$J$5:$J$13)^($A20/4)*(1+$L$5)^($A20/4)*((1-'3. Assumptions'!$B$13)/($L$6)-'2. The tape'!$H$5:$H$13/12-'3. Assumptions'!$B$16)-'2. The tape'!$C$5:$C$13*'2. The tape'!$I$5:$I$13*(1+$L$5)^($A20/4)))</f>
        <v>110034886.87807</v>
      </c>
      <c r="N20" s="33" t="n">
        <f aca="false">'2. The tape'!$C$17*(1+MIN(MAX($N$5,'3. Assumptions'!$B$11),'3. Assumptions'!$B$10))^INT(($A20-1)/4)/4*(1-'3. Assumptions'!$B$13)</f>
        <v>2998091.25</v>
      </c>
      <c r="O20" s="33" t="n">
        <f aca="false">(1-'3. Assumptions'!$B$15)*SUMPRODUCT((('2. The tape'!$C$5:$C$13*'2. The tape'!$D$5:$D$13*(1-'2. The tape'!$J$5:$J$13)^($A20/4)*(1+$N$5)^($A20/4)*((1-'3. Assumptions'!$B$13)/($N$6)-'2. The tape'!$H$5:$H$13/12-'3. Assumptions'!$B$16)-'2. The tape'!$C$5:$C$13*'2. The tape'!$I$5:$I$13*(1+$N$5)^($A20/4))&gt;0)*('2. The tape'!$C$5:$C$13*'2. The tape'!$D$5:$D$13*(1-'2. The tape'!$J$5:$J$13)^($A20/4)*(1+$N$5)^($A20/4)*((1-'3. Assumptions'!$B$13)/($N$6)-'2. The tape'!$H$5:$H$13/12-'3. Assumptions'!$B$16)-'2. The tape'!$C$5:$C$13*'2. The tape'!$I$5:$I$13*(1+$N$5)^($A20/4)))</f>
        <v>76307263.397347</v>
      </c>
      <c r="P20" s="33" t="n">
        <f aca="false">'2. The tape'!$C$17*(1+MIN(MAX($P$5,'3. Assumptions'!$B$11),'3. Assumptions'!$B$10))^INT(($A20-1)/4)/4*(1-'3. Assumptions'!$B$13)</f>
        <v>2998091.25</v>
      </c>
      <c r="Q20" s="33" t="n">
        <f aca="false">(1-'3. Assumptions'!$B$15)*SUMPRODUCT((('2. The tape'!$C$5:$C$13*'2. The tape'!$D$5:$D$13*(1-'2. The tape'!$J$5:$J$13)^($A20/4)*(1+$P$5)^($A20/4)*((1-'3. Assumptions'!$B$13)/($P$6)-'2. The tape'!$H$5:$H$13/12-'3. Assumptions'!$B$16)-'2. The tape'!$C$5:$C$13*'2. The tape'!$I$5:$I$13*(1+$P$5)^($A20/4))&gt;0)*('2. The tape'!$C$5:$C$13*'2. The tape'!$D$5:$D$13*(1-'2. The tape'!$J$5:$J$13)^($A20/4)*(1+$P$5)^($A20/4)*((1-'3. Assumptions'!$B$13)/($P$6)-'2. The tape'!$H$5:$H$13/12-'3. Assumptions'!$B$16)-'2. The tape'!$C$5:$C$13*'2. The tape'!$I$5:$I$13*(1+$P$5)^($A20/4)))</f>
        <v>77291868.3612374</v>
      </c>
      <c r="R20" s="33" t="n">
        <f aca="false">'2. The tape'!$C$17*(1+MIN(MAX($R$5,'3. Assumptions'!$B$11),'3. Assumptions'!$B$10))^INT(($A20-1)/4)/4*(1-'3. Assumptions'!$B$13)</f>
        <v>2998091.25</v>
      </c>
      <c r="S20" s="33" t="n">
        <f aca="false">(1-'3. Assumptions'!$B$15)*SUMPRODUCT((('2. The tape'!$C$5:$C$13*'2. The tape'!$D$5:$D$13*(1-'2. The tape'!$J$5:$J$13)^($A20/4)*(1+$R$5)^($A20/4)*((1-'3. Assumptions'!$B$13)/($R$6)-'2. The tape'!$H$5:$H$13/12-'3. Assumptions'!$B$16)-'2. The tape'!$C$5:$C$13*'2. The tape'!$I$5:$I$13*(1+$R$5)^($A20/4))&gt;0)*('2. The tape'!$C$5:$C$13*'2. The tape'!$D$5:$D$13*(1-'2. The tape'!$J$5:$J$13)^($A20/4)*(1+$R$5)^($A20/4)*((1-'3. Assumptions'!$B$13)/($R$6)-'2. The tape'!$H$5:$H$13/12-'3. Assumptions'!$B$16)-'2. The tape'!$C$5:$C$13*'2. The tape'!$I$5:$I$13*(1+$R$5)^($A20/4)))</f>
        <v>76695535.6129832</v>
      </c>
      <c r="T20" s="33" t="n">
        <f aca="false">'2. The tape'!$C$17*(1+MIN(MAX($T$5,'3. Assumptions'!$B$11),'3. Assumptions'!$B$10))^INT(($A20-1)/4)/4*(1-'3. Assumptions'!$B$13)</f>
        <v>2998091.25</v>
      </c>
      <c r="U20" s="33" t="n">
        <f aca="false">(1-'3. Assumptions'!$B$15)*SUMPRODUCT((('2. The tape'!$C$5:$C$13*'2. The tape'!$D$5:$D$13*(1-'2. The tape'!$J$5:$J$13)^($A20/4)*(1+$T$5)^($A20/4)*((1-'3. Assumptions'!$B$13)/($T$6)-'2. The tape'!$H$5:$H$13/12-'3. Assumptions'!$B$16)-'2. The tape'!$C$5:$C$13*'2. The tape'!$I$5:$I$13*(1+$T$5)^($A20/4))&gt;0)*('2. The tape'!$C$5:$C$13*'2. The tape'!$D$5:$D$13*(1-'2. The tape'!$J$5:$J$13)^($A20/4)*(1+$T$5)^($A20/4)*((1-'3. Assumptions'!$B$13)/($T$6)-'2. The tape'!$H$5:$H$13/12-'3. Assumptions'!$B$16)-'2. The tape'!$C$5:$C$13*'2. The tape'!$I$5:$I$13*(1+$T$5)^($A20/4)))</f>
        <v>76679373.5661347</v>
      </c>
      <c r="V20" s="33" t="n">
        <f aca="false">'2. The tape'!$C$17*(1+MIN(MAX($V$5,'3. Assumptions'!$B$11),'3. Assumptions'!$B$10))^INT(($A20-1)/4)/4*(1-'3. Assumptions'!$B$13)</f>
        <v>2998091.25</v>
      </c>
      <c r="W20" s="33" t="n">
        <f aca="false">(1-'3. Assumptions'!$B$15)*SUMPRODUCT((('2. The tape'!$C$5:$C$13*'2. The tape'!$D$5:$D$13*(1-'2. The tape'!$J$5:$J$13)^($A20/4)*(1+$V$5)^($A20/4)*((1-'3. Assumptions'!$B$13)/($V$6)-'2. The tape'!$H$5:$H$13/12-'3. Assumptions'!$B$16)-'2. The tape'!$C$5:$C$13*'2. The tape'!$I$5:$I$13*(1+$V$5)^($A20/4))&gt;0)*('2. The tape'!$C$5:$C$13*'2. The tape'!$D$5:$D$13*(1-'2. The tape'!$J$5:$J$13)^($A20/4)*(1+$V$5)^($A20/4)*((1-'3. Assumptions'!$B$13)/($V$6)-'2. The tape'!$H$5:$H$13/12-'3. Assumptions'!$B$16)-'2. The tape'!$C$5:$C$13*'2. The tape'!$I$5:$I$13*(1+$V$5)^($A20/4)))</f>
        <v>76680022.9285143</v>
      </c>
      <c r="X20" s="33" t="n">
        <f aca="false">'2. The tape'!$C$17*(1+MIN(MAX($X$5,'3. Assumptions'!$B$11),'3. Assumptions'!$B$10))^INT(($A20-1)/4)/4*(1-'3. Assumptions'!$B$13)</f>
        <v>2998091.25</v>
      </c>
      <c r="Y20" s="33" t="n">
        <f aca="false">(1-'3. Assumptions'!$B$15)*SUMPRODUCT((('2. The tape'!$C$5:$C$13*'2. The tape'!$D$5:$D$13*(1-'2. The tape'!$J$5:$J$13)^($A20/4)*(1+$X$5)^($A20/4)*((1-'3. Assumptions'!$B$13)/($X$6)-'2. The tape'!$H$5:$H$13/12-'3. Assumptions'!$B$16)-'2. The tape'!$C$5:$C$13*'2. The tape'!$I$5:$I$13*(1+$X$5)^($A20/4))&gt;0)*('2. The tape'!$C$5:$C$13*'2. The tape'!$D$5:$D$13*(1-'2. The tape'!$J$5:$J$13)^($A20/4)*(1+$X$5)^($A20/4)*((1-'3. Assumptions'!$B$13)/($X$6)-'2. The tape'!$H$5:$H$13/12-'3. Assumptions'!$B$16)-'2. The tape'!$C$5:$C$13*'2. The tape'!$I$5:$I$13*(1+$X$5)^($A20/4)))</f>
        <v>76680022.2456688</v>
      </c>
      <c r="Z20" s="33" t="n">
        <f aca="false">'2. The tape'!$C$17*(1+MIN(MAX($Z$5,'3. Assumptions'!$B$11),'3. Assumptions'!$B$10))^INT(($A20-1)/4)/4*(1-'3. Assumptions'!$B$13)</f>
        <v>2998091.25</v>
      </c>
      <c r="AA20" s="33" t="n">
        <f aca="false">(1-'3. Assumptions'!$B$15)*SUMPRODUCT((('2. The tape'!$C$5:$C$13*'2. The tape'!$D$5:$D$13*(1-'2. The tape'!$J$5:$J$13)^($A20/4)*(1+$Z$5)^($A20/4)*((1-'3. Assumptions'!$B$13)/($Z$6)-'2. The tape'!$H$5:$H$13/12-'3. Assumptions'!$B$16)-'2. The tape'!$C$5:$C$13*'2. The tape'!$I$5:$I$13*(1+$Z$5)^($A20/4))&gt;0)*('2. The tape'!$C$5:$C$13*'2. The tape'!$D$5:$D$13*(1-'2. The tape'!$J$5:$J$13)^($A20/4)*(1+$Z$5)^($A20/4)*((1-'3. Assumptions'!$B$13)/($Z$6)-'2. The tape'!$H$5:$H$13/12-'3. Assumptions'!$B$16)-'2. The tape'!$C$5:$C$13*'2. The tape'!$I$5:$I$13*(1+$Z$5)^($A20/4)))</f>
        <v>76680022.2456387</v>
      </c>
      <c r="AB20" s="33" t="n">
        <f aca="false">'2. The tape'!$C$17*(1+MIN(MAX($AB$5,'3. Assumptions'!$B$11),'3. Assumptions'!$B$10))^INT(($A20-1)/4)/4*(1-'3. Assumptions'!$B$13)</f>
        <v>2998091.25</v>
      </c>
      <c r="AC20" s="33" t="n">
        <f aca="false">(1-'3. Assumptions'!$B$15)*SUMPRODUCT((('2. The tape'!$C$5:$C$13*'2. The tape'!$D$5:$D$13*(1-'2. The tape'!$J$5:$J$13)^($A20/4)*(1+$AB$5)^($A20/4)*((1-'3. Assumptions'!$B$13)/($AB$6)-'2. The tape'!$H$5:$H$13/12-'3. Assumptions'!$B$16)-'2. The tape'!$C$5:$C$13*'2. The tape'!$I$5:$I$13*(1+$AB$5)^($A20/4))&gt;0)*('2. The tape'!$C$5:$C$13*'2. The tape'!$D$5:$D$13*(1-'2. The tape'!$J$5:$J$13)^($A20/4)*(1+$AB$5)^($A20/4)*((1-'3. Assumptions'!$B$13)/($AB$6)-'2. The tape'!$H$5:$H$13/12-'3. Assumptions'!$B$16)-'2. The tape'!$C$5:$C$13*'2. The tape'!$I$5:$I$13*(1+$AB$5)^($A20/4)))</f>
        <v>76680022.2456387</v>
      </c>
      <c r="AD20" s="33" t="n">
        <f aca="false">'2. The tape'!$C$17*(1+MIN(MAX($AD$5,'3. Assumptions'!$B$11),'3. Assumptions'!$B$10))^INT(($A20-1)/4)/4*(1-'3. Assumptions'!$B$13)</f>
        <v>2998091.25</v>
      </c>
      <c r="AE20" s="33" t="n">
        <f aca="false">(1-'3. Assumptions'!$B$15)*SUMPRODUCT((('2. The tape'!$C$5:$C$13*'2. The tape'!$D$5:$D$13*(1-'2. The tape'!$J$5:$J$13)^($A20/4)*(1+$AD$5)^($A20/4)*((1-'3. Assumptions'!$B$13)/($AD$6)-'2. The tape'!$H$5:$H$13/12-'3. Assumptions'!$B$16)-'2. The tape'!$C$5:$C$13*'2. The tape'!$I$5:$I$13*(1+$AD$5)^($A20/4))&gt;0)*('2. The tape'!$C$5:$C$13*'2. The tape'!$D$5:$D$13*(1-'2. The tape'!$J$5:$J$13)^($A20/4)*(1+$AD$5)^($A20/4)*((1-'3. Assumptions'!$B$13)/($AD$6)-'2. The tape'!$H$5:$H$13/12-'3. Assumptions'!$B$16)-'2. The tape'!$C$5:$C$13*'2. The tape'!$I$5:$I$13*(1+$AD$5)^($A20/4)))</f>
        <v>76680022.2456387</v>
      </c>
      <c r="AF20" s="33" t="n">
        <f aca="false">'2. The tape'!$C$17*(1+MIN(MAX($AF$5,'3. Assumptions'!$B$11),'3. Assumptions'!$B$10))^INT(($A20-1)/4)/4*(1-'3. Assumptions'!$B$13)</f>
        <v>2998091.25</v>
      </c>
      <c r="AG20" s="33" t="n">
        <f aca="false">(1-'3. Assumptions'!$B$15)*SUMPRODUCT((('2. The tape'!$C$5:$C$13*'2. The tape'!$D$5:$D$13*(1-'2. The tape'!$J$5:$J$13)^($A20/4)*(1+$AF$5)^($A20/4)*((1-'3. Assumptions'!$B$13)/($AF$6)-'2. The tape'!$H$5:$H$13/12-'3. Assumptions'!$B$16)-'2. The tape'!$C$5:$C$13*'2. The tape'!$I$5:$I$13*(1+$AF$5)^($A20/4))&gt;0)*('2. The tape'!$C$5:$C$13*'2. The tape'!$D$5:$D$13*(1-'2. The tape'!$J$5:$J$13)^($A20/4)*(1+$AF$5)^($A20/4)*((1-'3. Assumptions'!$B$13)/($AF$6)-'2. The tape'!$H$5:$H$13/12-'3. Assumptions'!$B$16)-'2. The tape'!$C$5:$C$13*'2. The tape'!$I$5:$I$13*(1+$AF$5)^($A20/4)))</f>
        <v>76680022.2456387</v>
      </c>
      <c r="AH20" s="33" t="n">
        <f aca="false">'2. The tape'!$C$17*(1+MIN(MAX($AH$5,'3. Assumptions'!$B$11),'3. Assumptions'!$B$10))^INT(($A20-1)/4)/4*(1-'3. Assumptions'!$B$13)</f>
        <v>3064049.2575</v>
      </c>
      <c r="AI20" s="33" t="n">
        <f aca="false">(1-'3. Assumptions'!$B$15)*SUMPRODUCT((('2. The tape'!$C$5:$C$13*'2. The tape'!$D$5:$D$13*(1-'2. The tape'!$J$5:$J$13)^($A20/4)*(1+$AH$5)^($A20/4)*((1-'3. Assumptions'!$B$13)/($AH$6)-'2. The tape'!$H$5:$H$13/12-'3. Assumptions'!$B$16)-'2. The tape'!$C$5:$C$13*'2. The tape'!$I$5:$I$13*(1+$AH$5)^($A20/4))&gt;0)*('2. The tape'!$C$5:$C$13*'2. The tape'!$D$5:$D$13*(1-'2. The tape'!$J$5:$J$13)^($A20/4)*(1+$AH$5)^($A20/4)*((1-'3. Assumptions'!$B$13)/($AH$6)-'2. The tape'!$H$5:$H$13/12-'3. Assumptions'!$B$16)-'2. The tape'!$C$5:$C$13*'2. The tape'!$I$5:$I$13*(1+$AH$5)^($A20/4)))</f>
        <v>158530048.340807</v>
      </c>
      <c r="AJ20" s="33" t="n">
        <f aca="false">'2. The tape'!$C$17*(1+MIN(MAX($AJ$5,'3. Assumptions'!$B$11),'3. Assumptions'!$B$10))^INT(($A20-1)/4)/4*(1-'3. Assumptions'!$B$13)</f>
        <v>3064049.2575</v>
      </c>
      <c r="AK20" s="33" t="n">
        <f aca="false">(1-'3. Assumptions'!$B$15)*SUMPRODUCT((('2. The tape'!$C$5:$C$13*'2. The tape'!$D$5:$D$13*(1-'2. The tape'!$J$5:$J$13)^($A20/4)*(1+$AJ$5)^($A20/4)*((1-'3. Assumptions'!$B$13)/($AJ$6)-'2. The tape'!$H$5:$H$13/12-'3. Assumptions'!$B$16)-'2. The tape'!$C$5:$C$13*'2. The tape'!$I$5:$I$13*(1+$AJ$5)^($A20/4))&gt;0)*('2. The tape'!$C$5:$C$13*'2. The tape'!$D$5:$D$13*(1-'2. The tape'!$J$5:$J$13)^($A20/4)*(1+$AJ$5)^($A20/4)*((1-'3. Assumptions'!$B$13)/($AJ$6)-'2. The tape'!$H$5:$H$13/12-'3. Assumptions'!$B$16)-'2. The tape'!$C$5:$C$13*'2. The tape'!$I$5:$I$13*(1+$AJ$5)^($A20/4)))</f>
        <v>115333835.474176</v>
      </c>
      <c r="AL20" s="33" t="n">
        <f aca="false">'2. The tape'!$C$17*(1+MIN(MAX($AL$5,'3. Assumptions'!$B$11),'3. Assumptions'!$B$10))^INT(($A20-1)/4)/4*(1-'3. Assumptions'!$B$13)</f>
        <v>3064049.2575</v>
      </c>
      <c r="AM20" s="33" t="n">
        <f aca="false">(1-'3. Assumptions'!$B$15)*SUMPRODUCT((('2. The tape'!$C$5:$C$13*'2. The tape'!$D$5:$D$13*(1-'2. The tape'!$J$5:$J$13)^($A20/4)*(1+$AL$5)^($A20/4)*((1-'3. Assumptions'!$B$13)/($AL$6)-'2. The tape'!$H$5:$H$13/12-'3. Assumptions'!$B$16)-'2. The tape'!$C$5:$C$13*'2. The tape'!$I$5:$I$13*(1+$AL$5)^($A20/4))&gt;0)*('2. The tape'!$C$5:$C$13*'2. The tape'!$D$5:$D$13*(1-'2. The tape'!$J$5:$J$13)^($A20/4)*(1+$AL$5)^($A20/4)*((1-'3. Assumptions'!$B$13)/($AL$6)-'2. The tape'!$H$5:$H$13/12-'3. Assumptions'!$B$16)-'2. The tape'!$C$5:$C$13*'2. The tape'!$I$5:$I$13*(1+$AL$5)^($A20/4)))</f>
        <v>132087203.697178</v>
      </c>
      <c r="AN20" s="33" t="n">
        <f aca="false">'2. The tape'!$C$17*(1+MIN(MAX($AN$5,'3. Assumptions'!$B$11),'3. Assumptions'!$B$10))^INT(($A20-1)/4)/4*(1-'3. Assumptions'!$B$13)</f>
        <v>3064049.2575</v>
      </c>
      <c r="AO20" s="33" t="n">
        <f aca="false">(1-'3. Assumptions'!$B$15)*SUMPRODUCT((('2. The tape'!$C$5:$C$13*'2. The tape'!$D$5:$D$13*(1-'2. The tape'!$J$5:$J$13)^($A20/4)*(1+$AN$5)^($A20/4)*((1-'3. Assumptions'!$B$13)/($AN$6)-'2. The tape'!$H$5:$H$13/12-'3. Assumptions'!$B$16)-'2. The tape'!$C$5:$C$13*'2. The tape'!$I$5:$I$13*(1+$AN$5)^($A20/4))&gt;0)*('2. The tape'!$C$5:$C$13*'2. The tape'!$D$5:$D$13*(1-'2. The tape'!$J$5:$J$13)^($A20/4)*(1+$AN$5)^($A20/4)*((1-'3. Assumptions'!$B$13)/($AN$6)-'2. The tape'!$H$5:$H$13/12-'3. Assumptions'!$B$16)-'2. The tape'!$C$5:$C$13*'2. The tape'!$I$5:$I$13*(1+$AN$5)^($A20/4)))</f>
        <v>135223948.710378</v>
      </c>
      <c r="AP20" s="33" t="n">
        <f aca="false">'2. The tape'!$C$17*(1+MIN(MAX($AP$5,'3. Assumptions'!$B$11),'3. Assumptions'!$B$10))^INT(($A20-1)/4)/4*(1-'3. Assumptions'!$B$13)</f>
        <v>3064049.2575</v>
      </c>
      <c r="AQ20" s="33" t="n">
        <f aca="false">(1-'3. Assumptions'!$B$15)*SUMPRODUCT((('2. The tape'!$C$5:$C$13*'2. The tape'!$D$5:$D$13*(1-'2. The tape'!$J$5:$J$13)^($A20/4)*(1+$AP$5)^($A20/4)*((1-'3. Assumptions'!$B$13)/($AP$6)-'2. The tape'!$H$5:$H$13/12-'3. Assumptions'!$B$16)-'2. The tape'!$C$5:$C$13*'2. The tape'!$I$5:$I$13*(1+$AP$5)^($A20/4))&gt;0)*('2. The tape'!$C$5:$C$13*'2. The tape'!$D$5:$D$13*(1-'2. The tape'!$J$5:$J$13)^($A20/4)*(1+$AP$5)^($A20/4)*((1-'3. Assumptions'!$B$13)/($AP$6)-'2. The tape'!$H$5:$H$13/12-'3. Assumptions'!$B$16)-'2. The tape'!$C$5:$C$13*'2. The tape'!$I$5:$I$13*(1+$AP$5)^($A20/4)))</f>
        <v>134836723.975217</v>
      </c>
      <c r="AR20" s="33" t="n">
        <f aca="false">'2. The tape'!$C$17*(1+MIN(MAX($AR$5,'3. Assumptions'!$B$11),'3. Assumptions'!$B$10))^INT(($A20-1)/4)/4*(1-'3. Assumptions'!$B$13)</f>
        <v>3064049.2575</v>
      </c>
      <c r="AS20" s="33" t="n">
        <f aca="false">(1-'3. Assumptions'!$B$15)*SUMPRODUCT((('2. The tape'!$C$5:$C$13*'2. The tape'!$D$5:$D$13*(1-'2. The tape'!$J$5:$J$13)^($A20/4)*(1+$AR$5)^($A20/4)*((1-'3. Assumptions'!$B$13)/($AR$6)-'2. The tape'!$H$5:$H$13/12-'3. Assumptions'!$B$16)-'2. The tape'!$C$5:$C$13*'2. The tape'!$I$5:$I$13*(1+$AR$5)^($A20/4))&gt;0)*('2. The tape'!$C$5:$C$13*'2. The tape'!$D$5:$D$13*(1-'2. The tape'!$J$5:$J$13)^($A20/4)*(1+$AR$5)^($A20/4)*((1-'3. Assumptions'!$B$13)/($AR$6)-'2. The tape'!$H$5:$H$13/12-'3. Assumptions'!$B$16)-'2. The tape'!$C$5:$C$13*'2. The tape'!$I$5:$I$13*(1+$AR$5)^($A20/4)))</f>
        <v>134843221.051632</v>
      </c>
      <c r="AT20" s="33" t="n">
        <f aca="false">'2. The tape'!$C$17*(1+MIN(MAX($AT$5,'3. Assumptions'!$B$11),'3. Assumptions'!$B$10))^INT(($A20-1)/4)/4*(1-'3. Assumptions'!$B$13)</f>
        <v>3064049.2575</v>
      </c>
      <c r="AU20" s="33" t="n">
        <f aca="false">(1-'3. Assumptions'!$B$15)*SUMPRODUCT((('2. The tape'!$C$5:$C$13*'2. The tape'!$D$5:$D$13*(1-'2. The tape'!$J$5:$J$13)^($A20/4)*(1+$AT$5)^($A20/4)*((1-'3. Assumptions'!$B$13)/($AT$6)-'2. The tape'!$H$5:$H$13/12-'3. Assumptions'!$B$16)-'2. The tape'!$C$5:$C$13*'2. The tape'!$I$5:$I$13*(1+$AT$5)^($A20/4))&gt;0)*('2. The tape'!$C$5:$C$13*'2. The tape'!$D$5:$D$13*(1-'2. The tape'!$J$5:$J$13)^($A20/4)*(1+$AT$5)^($A20/4)*((1-'3. Assumptions'!$B$13)/($AT$6)-'2. The tape'!$H$5:$H$13/12-'3. Assumptions'!$B$16)-'2. The tape'!$C$5:$C$13*'2. The tape'!$I$5:$I$13*(1+$AT$5)^($A20/4)))</f>
        <v>134843236.181689</v>
      </c>
      <c r="AV20" s="33" t="n">
        <f aca="false">'2. The tape'!$C$17*(1+MIN(MAX($AV$5,'3. Assumptions'!$B$11),'3. Assumptions'!$B$10))^INT(($A20-1)/4)/4*(1-'3. Assumptions'!$B$13)</f>
        <v>3064049.2575</v>
      </c>
      <c r="AW20" s="33" t="n">
        <f aca="false">(1-'3. Assumptions'!$B$15)*SUMPRODUCT((('2. The tape'!$C$5:$C$13*'2. The tape'!$D$5:$D$13*(1-'2. The tape'!$J$5:$J$13)^($A20/4)*(1+$AV$5)^($A20/4)*((1-'3. Assumptions'!$B$13)/($AV$6)-'2. The tape'!$H$5:$H$13/12-'3. Assumptions'!$B$16)-'2. The tape'!$C$5:$C$13*'2. The tape'!$I$5:$I$13*(1+$AV$5)^($A20/4))&gt;0)*('2. The tape'!$C$5:$C$13*'2. The tape'!$D$5:$D$13*(1-'2. The tape'!$J$5:$J$13)^($A20/4)*(1+$AV$5)^($A20/4)*((1-'3. Assumptions'!$B$13)/($AV$6)-'2. The tape'!$H$5:$H$13/12-'3. Assumptions'!$B$16)-'2. The tape'!$C$5:$C$13*'2. The tape'!$I$5:$I$13*(1+$AV$5)^($A20/4)))</f>
        <v>134843236.181086</v>
      </c>
      <c r="AX20" s="33" t="n">
        <f aca="false">'2. The tape'!$C$17*(1+MIN(MAX($AX$5,'3. Assumptions'!$B$11),'3. Assumptions'!$B$10))^INT(($A20-1)/4)/4*(1-'3. Assumptions'!$B$13)</f>
        <v>3064049.2575</v>
      </c>
      <c r="AY20" s="33" t="n">
        <f aca="false">(1-'3. Assumptions'!$B$15)*SUMPRODUCT((('2. The tape'!$C$5:$C$13*'2. The tape'!$D$5:$D$13*(1-'2. The tape'!$J$5:$J$13)^($A20/4)*(1+$AX$5)^($A20/4)*((1-'3. Assumptions'!$B$13)/($AX$6)-'2. The tape'!$H$5:$H$13/12-'3. Assumptions'!$B$16)-'2. The tape'!$C$5:$C$13*'2. The tape'!$I$5:$I$13*(1+$AX$5)^($A20/4))&gt;0)*('2. The tape'!$C$5:$C$13*'2. The tape'!$D$5:$D$13*(1-'2. The tape'!$J$5:$J$13)^($A20/4)*(1+$AX$5)^($A20/4)*((1-'3. Assumptions'!$B$13)/($AX$6)-'2. The tape'!$H$5:$H$13/12-'3. Assumptions'!$B$16)-'2. The tape'!$C$5:$C$13*'2. The tape'!$I$5:$I$13*(1+$AX$5)^($A20/4)))</f>
        <v>134843236.181086</v>
      </c>
      <c r="AZ20" s="33" t="n">
        <f aca="false">'2. The tape'!$C$17*(1+MIN(MAX($AZ$5,'3. Assumptions'!$B$11),'3. Assumptions'!$B$10))^INT(($A20-1)/4)/4*(1-'3. Assumptions'!$B$13)</f>
        <v>3064049.2575</v>
      </c>
      <c r="BA20" s="33" t="n">
        <f aca="false">(1-'3. Assumptions'!$B$15)*SUMPRODUCT((('2. The tape'!$C$5:$C$13*'2. The tape'!$D$5:$D$13*(1-'2. The tape'!$J$5:$J$13)^($A20/4)*(1+$AZ$5)^($A20/4)*((1-'3. Assumptions'!$B$13)/($AZ$6)-'2. The tape'!$H$5:$H$13/12-'3. Assumptions'!$B$16)-'2. The tape'!$C$5:$C$13*'2. The tape'!$I$5:$I$13*(1+$AZ$5)^($A20/4))&gt;0)*('2. The tape'!$C$5:$C$13*'2. The tape'!$D$5:$D$13*(1-'2. The tape'!$J$5:$J$13)^($A20/4)*(1+$AZ$5)^($A20/4)*((1-'3. Assumptions'!$B$13)/($AZ$6)-'2. The tape'!$H$5:$H$13/12-'3. Assumptions'!$B$16)-'2. The tape'!$C$5:$C$13*'2. The tape'!$I$5:$I$13*(1+$AZ$5)^($A20/4)))</f>
        <v>134843236.181086</v>
      </c>
    </row>
    <row r="21" customFormat="false" ht="15" hidden="false" customHeight="false" outlineLevel="0" collapsed="false">
      <c r="A21" s="20" t="n">
        <v>6</v>
      </c>
      <c r="B21" s="33" t="n">
        <f aca="false">'2. The tape'!$C$17*(1+MIN(MAX($B$5,'3. Assumptions'!$B$11),'3. Assumptions'!$B$10))^INT(($A21-1)/4)/4*(1-'3. Assumptions'!$B$13)</f>
        <v>3064049.2575</v>
      </c>
      <c r="C21" s="33" t="n">
        <f aca="false">(1-'3. Assumptions'!$B$15)*SUMPRODUCT((('2. The tape'!$C$5:$C$13*'2. The tape'!$D$5:$D$13*(1-'2. The tape'!$J$5:$J$13)^($A21/4)*(1+$B$5)^($A21/4)*((1-'3. Assumptions'!$B$13)/($B$6)-'2. The tape'!$H$5:$H$13/12-'3. Assumptions'!$B$16)-'2. The tape'!$C$5:$C$13*'2. The tape'!$I$5:$I$13*(1+$B$5)^($A21/4))&gt;0)*('2. The tape'!$C$5:$C$13*'2. The tape'!$D$5:$D$13*(1-'2. The tape'!$J$5:$J$13)^($A21/4)*(1+$B$5)^($A21/4)*((1-'3. Assumptions'!$B$13)/($B$6)-'2. The tape'!$H$5:$H$13/12-'3. Assumptions'!$B$16)-'2. The tape'!$C$5:$C$13*'2. The tape'!$I$5:$I$13*(1+$B$5)^($A21/4)))</f>
        <v>81363912.7252656</v>
      </c>
      <c r="D21" s="33" t="n">
        <f aca="false">'2. The tape'!$C$17*(1+MIN(MAX($D$5,'3. Assumptions'!$B$11),'3. Assumptions'!$B$10))^INT(($A21-1)/4)/4*(1-'3. Assumptions'!$B$13)</f>
        <v>3088033.9875</v>
      </c>
      <c r="E21" s="33" t="n">
        <f aca="false">(1-'3. Assumptions'!$B$15)*SUMPRODUCT((('2. The tape'!$C$5:$C$13*'2. The tape'!$D$5:$D$13*(1-'2. The tape'!$J$5:$J$13)^($A21/4)*(1+$D$5)^($A21/4)*((1-'3. Assumptions'!$B$13)/($D$6)-'2. The tape'!$H$5:$H$13/12-'3. Assumptions'!$B$16)-'2. The tape'!$C$5:$C$13*'2. The tape'!$I$5:$I$13*(1+$D$5)^($A21/4))&gt;0)*('2. The tape'!$C$5:$C$13*'2. The tape'!$D$5:$D$13*(1-'2. The tape'!$J$5:$J$13)^($A21/4)*(1+$D$5)^($A21/4)*((1-'3. Assumptions'!$B$13)/($D$6)-'2. The tape'!$H$5:$H$13/12-'3. Assumptions'!$B$16)-'2. The tape'!$C$5:$C$13*'2. The tape'!$I$5:$I$13*(1+$D$5)^($A21/4)))</f>
        <v>82921281.6985613</v>
      </c>
      <c r="F21" s="33" t="n">
        <f aca="false">'2. The tape'!$C$17*(1+MIN(MAX($F$5,'3. Assumptions'!$B$11),'3. Assumptions'!$B$10))^INT(($A21-1)/4)/4*(1-'3. Assumptions'!$B$13)</f>
        <v>3028072.1625</v>
      </c>
      <c r="G21" s="33" t="n">
        <f aca="false">(1-'3. Assumptions'!$B$15)*SUMPRODUCT((('2. The tape'!$C$5:$C$13*'2. The tape'!$D$5:$D$13*(1-'2. The tape'!$J$5:$J$13)^($A21/4)*(1+$F$5)^($A21/4)*((1-'3. Assumptions'!$B$13)/($F$6)-'2. The tape'!$H$5:$H$13/12-'3. Assumptions'!$B$16)-'2. The tape'!$C$5:$C$13*'2. The tape'!$I$5:$I$13*(1+$F$5)^($A21/4))&gt;0)*('2. The tape'!$C$5:$C$13*'2. The tape'!$D$5:$D$13*(1-'2. The tape'!$J$5:$J$13)^($A21/4)*(1+$F$5)^($A21/4)*((1-'3. Assumptions'!$B$13)/($F$6)-'2. The tape'!$H$5:$H$13/12-'3. Assumptions'!$B$16)-'2. The tape'!$C$5:$C$13*'2. The tape'!$I$5:$I$13*(1+$F$5)^($A21/4)))</f>
        <v>79935103.6185863</v>
      </c>
      <c r="H21" s="33" t="n">
        <f aca="false">'2. The tape'!$C$17*(1+MIN(MAX($H$5,'3. Assumptions'!$B$11),'3. Assumptions'!$B$10))^INT(($A21-1)/4)/4*(1-'3. Assumptions'!$B$13)</f>
        <v>3088033.9875</v>
      </c>
      <c r="I21" s="33" t="n">
        <f aca="false">(1-'3. Assumptions'!$B$15)*SUMPRODUCT((('2. The tape'!$C$5:$C$13*'2. The tape'!$D$5:$D$13*(1-'2. The tape'!$J$5:$J$13)^($A21/4)*(1+$H$5)^($A21/4)*((1-'3. Assumptions'!$B$13)/($H$6)-'2. The tape'!$H$5:$H$13/12-'3. Assumptions'!$B$16)-'2. The tape'!$C$5:$C$13*'2. The tape'!$I$5:$I$13*(1+$H$5)^($A21/4))&gt;0)*('2. The tape'!$C$5:$C$13*'2. The tape'!$D$5:$D$13*(1-'2. The tape'!$J$5:$J$13)^($A21/4)*(1+$H$5)^($A21/4)*((1-'3. Assumptions'!$B$13)/($H$6)-'2. The tape'!$H$5:$H$13/12-'3. Assumptions'!$B$16)-'2. The tape'!$C$5:$C$13*'2. The tape'!$I$5:$I$13*(1+$H$5)^($A21/4)))</f>
        <v>82921281.6985613</v>
      </c>
      <c r="J21" s="33" t="n">
        <f aca="false">'2. The tape'!$C$17*(1+MIN(MAX($J$5,'3. Assumptions'!$B$11),'3. Assumptions'!$B$10))^INT(($A21-1)/4)/4*(1-'3. Assumptions'!$B$13)</f>
        <v>3064049.2575</v>
      </c>
      <c r="K21" s="33" t="n">
        <f aca="false">(1-'3. Assumptions'!$B$15)*SUMPRODUCT((('2. The tape'!$C$5:$C$13*'2. The tape'!$D$5:$D$13*(1-'2. The tape'!$J$5:$J$13)^($A21/4)*(1+$J$5)^($A21/4)*((1-'3. Assumptions'!$B$13)/($J$6)-'2. The tape'!$H$5:$H$13/12-'3. Assumptions'!$B$16)-'2. The tape'!$C$5:$C$13*'2. The tape'!$I$5:$I$13*(1+$J$5)^($A21/4))&gt;0)*('2. The tape'!$C$5:$C$13*'2. The tape'!$D$5:$D$13*(1-'2. The tape'!$J$5:$J$13)^($A21/4)*(1+$J$5)^($A21/4)*((1-'3. Assumptions'!$B$13)/($J$6)-'2. The tape'!$H$5:$H$13/12-'3. Assumptions'!$B$16)-'2. The tape'!$C$5:$C$13*'2. The tape'!$I$5:$I$13*(1+$J$5)^($A21/4)))</f>
        <v>67249827.4668928</v>
      </c>
      <c r="L21" s="33" t="n">
        <f aca="false">'2. The tape'!$C$17*(1+MIN(MAX($L$5,'3. Assumptions'!$B$11),'3. Assumptions'!$B$10))^INT(($A21-1)/4)/4*(1-'3. Assumptions'!$B$13)</f>
        <v>3088033.9875</v>
      </c>
      <c r="M21" s="33" t="n">
        <f aca="false">(1-'3. Assumptions'!$B$15)*SUMPRODUCT((('2. The tape'!$C$5:$C$13*'2. The tape'!$D$5:$D$13*(1-'2. The tape'!$J$5:$J$13)^($A21/4)*(1+$L$5)^($A21/4)*((1-'3. Assumptions'!$B$13)/($L$6)-'2. The tape'!$H$5:$H$13/12-'3. Assumptions'!$B$16)-'2. The tape'!$C$5:$C$13*'2. The tape'!$I$5:$I$13*(1+$L$5)^($A21/4))&gt;0)*('2. The tape'!$C$5:$C$13*'2. The tape'!$D$5:$D$13*(1-'2. The tape'!$J$5:$J$13)^($A21/4)*(1+$L$5)^($A21/4)*((1-'3. Assumptions'!$B$13)/($L$6)-'2. The tape'!$H$5:$H$13/12-'3. Assumptions'!$B$16)-'2. The tape'!$C$5:$C$13*'2. The tape'!$I$5:$I$13*(1+$L$5)^($A21/4)))</f>
        <v>116726781.268147</v>
      </c>
      <c r="N21" s="33" t="n">
        <f aca="false">'2. The tape'!$C$17*(1+MIN(MAX($N$5,'3. Assumptions'!$B$11),'3. Assumptions'!$B$10))^INT(($A21-1)/4)/4*(1-'3. Assumptions'!$B$13)</f>
        <v>2998091.25</v>
      </c>
      <c r="O21" s="33" t="n">
        <f aca="false">(1-'3. Assumptions'!$B$15)*SUMPRODUCT((('2. The tape'!$C$5:$C$13*'2. The tape'!$D$5:$D$13*(1-'2. The tape'!$J$5:$J$13)^($A21/4)*(1+$N$5)^($A21/4)*((1-'3. Assumptions'!$B$13)/($N$6)-'2. The tape'!$H$5:$H$13/12-'3. Assumptions'!$B$16)-'2. The tape'!$C$5:$C$13*'2. The tape'!$I$5:$I$13*(1+$N$5)^($A21/4))&gt;0)*('2. The tape'!$C$5:$C$13*'2. The tape'!$D$5:$D$13*(1-'2. The tape'!$J$5:$J$13)^($A21/4)*(1+$N$5)^($A21/4)*((1-'3. Assumptions'!$B$13)/($N$6)-'2. The tape'!$H$5:$H$13/12-'3. Assumptions'!$B$16)-'2. The tape'!$C$5:$C$13*'2. The tape'!$I$5:$I$13*(1+$N$5)^($A21/4)))</f>
        <v>75233814.6807026</v>
      </c>
      <c r="P21" s="33" t="n">
        <f aca="false">'2. The tape'!$C$17*(1+MIN(MAX($P$5,'3. Assumptions'!$B$11),'3. Assumptions'!$B$10))^INT(($A21-1)/4)/4*(1-'3. Assumptions'!$B$13)</f>
        <v>2998091.25</v>
      </c>
      <c r="Q21" s="33" t="n">
        <f aca="false">(1-'3. Assumptions'!$B$15)*SUMPRODUCT((('2. The tape'!$C$5:$C$13*'2. The tape'!$D$5:$D$13*(1-'2. The tape'!$J$5:$J$13)^($A21/4)*(1+$P$5)^($A21/4)*((1-'3. Assumptions'!$B$13)/($P$6)-'2. The tape'!$H$5:$H$13/12-'3. Assumptions'!$B$16)-'2. The tape'!$C$5:$C$13*'2. The tape'!$I$5:$I$13*(1+$P$5)^($A21/4))&gt;0)*('2. The tape'!$C$5:$C$13*'2. The tape'!$D$5:$D$13*(1-'2. The tape'!$J$5:$J$13)^($A21/4)*(1+$P$5)^($A21/4)*((1-'3. Assumptions'!$B$13)/($P$6)-'2. The tape'!$H$5:$H$13/12-'3. Assumptions'!$B$16)-'2. The tape'!$C$5:$C$13*'2. The tape'!$I$5:$I$13*(1+$P$5)^($A21/4)))</f>
        <v>76400217.5319722</v>
      </c>
      <c r="R21" s="33" t="n">
        <f aca="false">'2. The tape'!$C$17*(1+MIN(MAX($R$5,'3. Assumptions'!$B$11),'3. Assumptions'!$B$10))^INT(($A21-1)/4)/4*(1-'3. Assumptions'!$B$13)</f>
        <v>2998091.25</v>
      </c>
      <c r="S21" s="33" t="n">
        <f aca="false">(1-'3. Assumptions'!$B$15)*SUMPRODUCT((('2. The tape'!$C$5:$C$13*'2. The tape'!$D$5:$D$13*(1-'2. The tape'!$J$5:$J$13)^($A21/4)*(1+$R$5)^($A21/4)*((1-'3. Assumptions'!$B$13)/($R$6)-'2. The tape'!$H$5:$H$13/12-'3. Assumptions'!$B$16)-'2. The tape'!$C$5:$C$13*'2. The tape'!$I$5:$I$13*(1+$R$5)^($A21/4))&gt;0)*('2. The tape'!$C$5:$C$13*'2. The tape'!$D$5:$D$13*(1-'2. The tape'!$J$5:$J$13)^($A21/4)*(1+$R$5)^($A21/4)*((1-'3. Assumptions'!$B$13)/($R$6)-'2. The tape'!$H$5:$H$13/12-'3. Assumptions'!$B$16)-'2. The tape'!$C$5:$C$13*'2. The tape'!$I$5:$I$13*(1+$R$5)^($A21/4)))</f>
        <v>75693420.3635837</v>
      </c>
      <c r="T21" s="33" t="n">
        <f aca="false">'2. The tape'!$C$17*(1+MIN(MAX($T$5,'3. Assumptions'!$B$11),'3. Assumptions'!$B$10))^INT(($A21-1)/4)/4*(1-'3. Assumptions'!$B$13)</f>
        <v>2998091.25</v>
      </c>
      <c r="U21" s="33" t="n">
        <f aca="false">(1-'3. Assumptions'!$B$15)*SUMPRODUCT((('2. The tape'!$C$5:$C$13*'2. The tape'!$D$5:$D$13*(1-'2. The tape'!$J$5:$J$13)^($A21/4)*(1+$T$5)^($A21/4)*((1-'3. Assumptions'!$B$13)/($T$6)-'2. The tape'!$H$5:$H$13/12-'3. Assumptions'!$B$16)-'2. The tape'!$C$5:$C$13*'2. The tape'!$I$5:$I$13*(1+$T$5)^($A21/4))&gt;0)*('2. The tape'!$C$5:$C$13*'2. The tape'!$D$5:$D$13*(1-'2. The tape'!$J$5:$J$13)^($A21/4)*(1+$T$5)^($A21/4)*((1-'3. Assumptions'!$B$13)/($T$6)-'2. The tape'!$H$5:$H$13/12-'3. Assumptions'!$B$16)-'2. The tape'!$C$5:$C$13*'2. The tape'!$I$5:$I$13*(1+$T$5)^($A21/4)))</f>
        <v>75674279.7215903</v>
      </c>
      <c r="V21" s="33" t="n">
        <f aca="false">'2. The tape'!$C$17*(1+MIN(MAX($V$5,'3. Assumptions'!$B$11),'3. Assumptions'!$B$10))^INT(($A21-1)/4)/4*(1-'3. Assumptions'!$B$13)</f>
        <v>2998091.25</v>
      </c>
      <c r="W21" s="33" t="n">
        <f aca="false">(1-'3. Assumptions'!$B$15)*SUMPRODUCT((('2. The tape'!$C$5:$C$13*'2. The tape'!$D$5:$D$13*(1-'2. The tape'!$J$5:$J$13)^($A21/4)*(1+$V$5)^($A21/4)*((1-'3. Assumptions'!$B$13)/($V$6)-'2. The tape'!$H$5:$H$13/12-'3. Assumptions'!$B$16)-'2. The tape'!$C$5:$C$13*'2. The tape'!$I$5:$I$13*(1+$V$5)^($A21/4))&gt;0)*('2. The tape'!$C$5:$C$13*'2. The tape'!$D$5:$D$13*(1-'2. The tape'!$J$5:$J$13)^($A21/4)*(1+$V$5)^($A21/4)*((1-'3. Assumptions'!$B$13)/($V$6)-'2. The tape'!$H$5:$H$13/12-'3. Assumptions'!$B$16)-'2. The tape'!$C$5:$C$13*'2. The tape'!$I$5:$I$13*(1+$V$5)^($A21/4)))</f>
        <v>75675048.7430836</v>
      </c>
      <c r="X21" s="33" t="n">
        <f aca="false">'2. The tape'!$C$17*(1+MIN(MAX($X$5,'3. Assumptions'!$B$11),'3. Assumptions'!$B$10))^INT(($A21-1)/4)/4*(1-'3. Assumptions'!$B$13)</f>
        <v>2998091.25</v>
      </c>
      <c r="Y21" s="33" t="n">
        <f aca="false">(1-'3. Assumptions'!$B$15)*SUMPRODUCT((('2. The tape'!$C$5:$C$13*'2. The tape'!$D$5:$D$13*(1-'2. The tape'!$J$5:$J$13)^($A21/4)*(1+$X$5)^($A21/4)*((1-'3. Assumptions'!$B$13)/($X$6)-'2. The tape'!$H$5:$H$13/12-'3. Assumptions'!$B$16)-'2. The tape'!$C$5:$C$13*'2. The tape'!$I$5:$I$13*(1+$X$5)^($A21/4))&gt;0)*('2. The tape'!$C$5:$C$13*'2. The tape'!$D$5:$D$13*(1-'2. The tape'!$J$5:$J$13)^($A21/4)*(1+$X$5)^($A21/4)*((1-'3. Assumptions'!$B$13)/($X$6)-'2. The tape'!$H$5:$H$13/12-'3. Assumptions'!$B$16)-'2. The tape'!$C$5:$C$13*'2. The tape'!$I$5:$I$13*(1+$X$5)^($A21/4)))</f>
        <v>75675047.9344083</v>
      </c>
      <c r="Z21" s="33" t="n">
        <f aca="false">'2. The tape'!$C$17*(1+MIN(MAX($Z$5,'3. Assumptions'!$B$11),'3. Assumptions'!$B$10))^INT(($A21-1)/4)/4*(1-'3. Assumptions'!$B$13)</f>
        <v>2998091.25</v>
      </c>
      <c r="AA21" s="33" t="n">
        <f aca="false">(1-'3. Assumptions'!$B$15)*SUMPRODUCT((('2. The tape'!$C$5:$C$13*'2. The tape'!$D$5:$D$13*(1-'2. The tape'!$J$5:$J$13)^($A21/4)*(1+$Z$5)^($A21/4)*((1-'3. Assumptions'!$B$13)/($Z$6)-'2. The tape'!$H$5:$H$13/12-'3. Assumptions'!$B$16)-'2. The tape'!$C$5:$C$13*'2. The tape'!$I$5:$I$13*(1+$Z$5)^($A21/4))&gt;0)*('2. The tape'!$C$5:$C$13*'2. The tape'!$D$5:$D$13*(1-'2. The tape'!$J$5:$J$13)^($A21/4)*(1+$Z$5)^($A21/4)*((1-'3. Assumptions'!$B$13)/($Z$6)-'2. The tape'!$H$5:$H$13/12-'3. Assumptions'!$B$16)-'2. The tape'!$C$5:$C$13*'2. The tape'!$I$5:$I$13*(1+$Z$5)^($A21/4)))</f>
        <v>75675047.9343727</v>
      </c>
      <c r="AB21" s="33" t="n">
        <f aca="false">'2. The tape'!$C$17*(1+MIN(MAX($AB$5,'3. Assumptions'!$B$11),'3. Assumptions'!$B$10))^INT(($A21-1)/4)/4*(1-'3. Assumptions'!$B$13)</f>
        <v>2998091.25</v>
      </c>
      <c r="AC21" s="33" t="n">
        <f aca="false">(1-'3. Assumptions'!$B$15)*SUMPRODUCT((('2. The tape'!$C$5:$C$13*'2. The tape'!$D$5:$D$13*(1-'2. The tape'!$J$5:$J$13)^($A21/4)*(1+$AB$5)^($A21/4)*((1-'3. Assumptions'!$B$13)/($AB$6)-'2. The tape'!$H$5:$H$13/12-'3. Assumptions'!$B$16)-'2. The tape'!$C$5:$C$13*'2. The tape'!$I$5:$I$13*(1+$AB$5)^($A21/4))&gt;0)*('2. The tape'!$C$5:$C$13*'2. The tape'!$D$5:$D$13*(1-'2. The tape'!$J$5:$J$13)^($A21/4)*(1+$AB$5)^($A21/4)*((1-'3. Assumptions'!$B$13)/($AB$6)-'2. The tape'!$H$5:$H$13/12-'3. Assumptions'!$B$16)-'2. The tape'!$C$5:$C$13*'2. The tape'!$I$5:$I$13*(1+$AB$5)^($A21/4)))</f>
        <v>75675047.9343727</v>
      </c>
      <c r="AD21" s="33" t="n">
        <f aca="false">'2. The tape'!$C$17*(1+MIN(MAX($AD$5,'3. Assumptions'!$B$11),'3. Assumptions'!$B$10))^INT(($A21-1)/4)/4*(1-'3. Assumptions'!$B$13)</f>
        <v>2998091.25</v>
      </c>
      <c r="AE21" s="33" t="n">
        <f aca="false">(1-'3. Assumptions'!$B$15)*SUMPRODUCT((('2. The tape'!$C$5:$C$13*'2. The tape'!$D$5:$D$13*(1-'2. The tape'!$J$5:$J$13)^($A21/4)*(1+$AD$5)^($A21/4)*((1-'3. Assumptions'!$B$13)/($AD$6)-'2. The tape'!$H$5:$H$13/12-'3. Assumptions'!$B$16)-'2. The tape'!$C$5:$C$13*'2. The tape'!$I$5:$I$13*(1+$AD$5)^($A21/4))&gt;0)*('2. The tape'!$C$5:$C$13*'2. The tape'!$D$5:$D$13*(1-'2. The tape'!$J$5:$J$13)^($A21/4)*(1+$AD$5)^($A21/4)*((1-'3. Assumptions'!$B$13)/($AD$6)-'2. The tape'!$H$5:$H$13/12-'3. Assumptions'!$B$16)-'2. The tape'!$C$5:$C$13*'2. The tape'!$I$5:$I$13*(1+$AD$5)^($A21/4)))</f>
        <v>75675047.9343727</v>
      </c>
      <c r="AF21" s="33" t="n">
        <f aca="false">'2. The tape'!$C$17*(1+MIN(MAX($AF$5,'3. Assumptions'!$B$11),'3. Assumptions'!$B$10))^INT(($A21-1)/4)/4*(1-'3. Assumptions'!$B$13)</f>
        <v>2998091.25</v>
      </c>
      <c r="AG21" s="33" t="n">
        <f aca="false">(1-'3. Assumptions'!$B$15)*SUMPRODUCT((('2. The tape'!$C$5:$C$13*'2. The tape'!$D$5:$D$13*(1-'2. The tape'!$J$5:$J$13)^($A21/4)*(1+$AF$5)^($A21/4)*((1-'3. Assumptions'!$B$13)/($AF$6)-'2. The tape'!$H$5:$H$13/12-'3. Assumptions'!$B$16)-'2. The tape'!$C$5:$C$13*'2. The tape'!$I$5:$I$13*(1+$AF$5)^($A21/4))&gt;0)*('2. The tape'!$C$5:$C$13*'2. The tape'!$D$5:$D$13*(1-'2. The tape'!$J$5:$J$13)^($A21/4)*(1+$AF$5)^($A21/4)*((1-'3. Assumptions'!$B$13)/($AF$6)-'2. The tape'!$H$5:$H$13/12-'3. Assumptions'!$B$16)-'2. The tape'!$C$5:$C$13*'2. The tape'!$I$5:$I$13*(1+$AF$5)^($A21/4)))</f>
        <v>75675047.9343727</v>
      </c>
      <c r="AH21" s="33" t="n">
        <f aca="false">'2. The tape'!$C$17*(1+MIN(MAX($AH$5,'3. Assumptions'!$B$11),'3. Assumptions'!$B$10))^INT(($A21-1)/4)/4*(1-'3. Assumptions'!$B$13)</f>
        <v>3064049.2575</v>
      </c>
      <c r="AI21" s="33" t="n">
        <f aca="false">(1-'3. Assumptions'!$B$15)*SUMPRODUCT((('2. The tape'!$C$5:$C$13*'2. The tape'!$D$5:$D$13*(1-'2. The tape'!$J$5:$J$13)^($A21/4)*(1+$AH$5)^($A21/4)*((1-'3. Assumptions'!$B$13)/($AH$6)-'2. The tape'!$H$5:$H$13/12-'3. Assumptions'!$B$16)-'2. The tape'!$C$5:$C$13*'2. The tape'!$I$5:$I$13*(1+$AH$5)^($A21/4))&gt;0)*('2. The tape'!$C$5:$C$13*'2. The tape'!$D$5:$D$13*(1-'2. The tape'!$J$5:$J$13)^($A21/4)*(1+$AH$5)^($A21/4)*((1-'3. Assumptions'!$B$13)/($AH$6)-'2. The tape'!$H$5:$H$13/12-'3. Assumptions'!$B$16)-'2. The tape'!$C$5:$C$13*'2. The tape'!$I$5:$I$13*(1+$AH$5)^($A21/4)))</f>
        <v>158426818.235981</v>
      </c>
      <c r="AJ21" s="33" t="n">
        <f aca="false">'2. The tape'!$C$17*(1+MIN(MAX($AJ$5,'3. Assumptions'!$B$11),'3. Assumptions'!$B$10))^INT(($A21-1)/4)/4*(1-'3. Assumptions'!$B$13)</f>
        <v>3064049.2575</v>
      </c>
      <c r="AK21" s="33" t="n">
        <f aca="false">(1-'3. Assumptions'!$B$15)*SUMPRODUCT((('2. The tape'!$C$5:$C$13*'2. The tape'!$D$5:$D$13*(1-'2. The tape'!$J$5:$J$13)^($A21/4)*(1+$AJ$5)^($A21/4)*((1-'3. Assumptions'!$B$13)/($AJ$6)-'2. The tape'!$H$5:$H$13/12-'3. Assumptions'!$B$16)-'2. The tape'!$C$5:$C$13*'2. The tape'!$I$5:$I$13*(1+$AJ$5)^($A21/4))&gt;0)*('2. The tape'!$C$5:$C$13*'2. The tape'!$D$5:$D$13*(1-'2. The tape'!$J$5:$J$13)^($A21/4)*(1+$AJ$5)^($A21/4)*((1-'3. Assumptions'!$B$13)/($AJ$6)-'2. The tape'!$H$5:$H$13/12-'3. Assumptions'!$B$16)-'2. The tape'!$C$5:$C$13*'2. The tape'!$I$5:$I$13*(1+$AJ$5)^($A21/4)))</f>
        <v>115237717.34536</v>
      </c>
      <c r="AL21" s="33" t="n">
        <f aca="false">'2. The tape'!$C$17*(1+MIN(MAX($AL$5,'3. Assumptions'!$B$11),'3. Assumptions'!$B$10))^INT(($A21-1)/4)/4*(1-'3. Assumptions'!$B$13)</f>
        <v>3064049.2575</v>
      </c>
      <c r="AM21" s="33" t="n">
        <f aca="false">(1-'3. Assumptions'!$B$15)*SUMPRODUCT((('2. The tape'!$C$5:$C$13*'2. The tape'!$D$5:$D$13*(1-'2. The tape'!$J$5:$J$13)^($A21/4)*(1+$AL$5)^($A21/4)*((1-'3. Assumptions'!$B$13)/($AL$6)-'2. The tape'!$H$5:$H$13/12-'3. Assumptions'!$B$16)-'2. The tape'!$C$5:$C$13*'2. The tape'!$I$5:$I$13*(1+$AL$5)^($A21/4))&gt;0)*('2. The tape'!$C$5:$C$13*'2. The tape'!$D$5:$D$13*(1-'2. The tape'!$J$5:$J$13)^($A21/4)*(1+$AL$5)^($A21/4)*((1-'3. Assumptions'!$B$13)/($AL$6)-'2. The tape'!$H$5:$H$13/12-'3. Assumptions'!$B$16)-'2. The tape'!$C$5:$C$13*'2. The tape'!$I$5:$I$13*(1+$AL$5)^($A21/4)))</f>
        <v>131988327.23505</v>
      </c>
      <c r="AN21" s="33" t="n">
        <f aca="false">'2. The tape'!$C$17*(1+MIN(MAX($AN$5,'3. Assumptions'!$B$11),'3. Assumptions'!$B$10))^INT(($A21-1)/4)/4*(1-'3. Assumptions'!$B$13)</f>
        <v>3064049.2575</v>
      </c>
      <c r="AO21" s="33" t="n">
        <f aca="false">(1-'3. Assumptions'!$B$15)*SUMPRODUCT((('2. The tape'!$C$5:$C$13*'2. The tape'!$D$5:$D$13*(1-'2. The tape'!$J$5:$J$13)^($A21/4)*(1+$AN$5)^($A21/4)*((1-'3. Assumptions'!$B$13)/($AN$6)-'2. The tape'!$H$5:$H$13/12-'3. Assumptions'!$B$16)-'2. The tape'!$C$5:$C$13*'2. The tape'!$I$5:$I$13*(1+$AN$5)^($A21/4))&gt;0)*('2. The tape'!$C$5:$C$13*'2. The tape'!$D$5:$D$13*(1-'2. The tape'!$J$5:$J$13)^($A21/4)*(1+$AN$5)^($A21/4)*((1-'3. Assumptions'!$B$13)/($AN$6)-'2. The tape'!$H$5:$H$13/12-'3. Assumptions'!$B$16)-'2. The tape'!$C$5:$C$13*'2. The tape'!$I$5:$I$13*(1+$AN$5)^($A21/4)))</f>
        <v>135124555.803548</v>
      </c>
      <c r="AP21" s="33" t="n">
        <f aca="false">'2. The tape'!$C$17*(1+MIN(MAX($AP$5,'3. Assumptions'!$B$11),'3. Assumptions'!$B$10))^INT(($A21-1)/4)/4*(1-'3. Assumptions'!$B$13)</f>
        <v>3064049.2575</v>
      </c>
      <c r="AQ21" s="33" t="n">
        <f aca="false">(1-'3. Assumptions'!$B$15)*SUMPRODUCT((('2. The tape'!$C$5:$C$13*'2. The tape'!$D$5:$D$13*(1-'2. The tape'!$J$5:$J$13)^($A21/4)*(1+$AP$5)^($A21/4)*((1-'3. Assumptions'!$B$13)/($AP$6)-'2. The tape'!$H$5:$H$13/12-'3. Assumptions'!$B$16)-'2. The tape'!$C$5:$C$13*'2. The tape'!$I$5:$I$13*(1+$AP$5)^($A21/4))&gt;0)*('2. The tape'!$C$5:$C$13*'2. The tape'!$D$5:$D$13*(1-'2. The tape'!$J$5:$J$13)^($A21/4)*(1+$AP$5)^($A21/4)*((1-'3. Assumptions'!$B$13)/($AP$6)-'2. The tape'!$H$5:$H$13/12-'3. Assumptions'!$B$16)-'2. The tape'!$C$5:$C$13*'2. The tape'!$I$5:$I$13*(1+$AP$5)^($A21/4)))</f>
        <v>134737394.822426</v>
      </c>
      <c r="AR21" s="33" t="n">
        <f aca="false">'2. The tape'!$C$17*(1+MIN(MAX($AR$5,'3. Assumptions'!$B$11),'3. Assumptions'!$B$10))^INT(($A21-1)/4)/4*(1-'3. Assumptions'!$B$13)</f>
        <v>3064049.2575</v>
      </c>
      <c r="AS21" s="33" t="n">
        <f aca="false">(1-'3. Assumptions'!$B$15)*SUMPRODUCT((('2. The tape'!$C$5:$C$13*'2. The tape'!$D$5:$D$13*(1-'2. The tape'!$J$5:$J$13)^($A21/4)*(1+$AR$5)^($A21/4)*((1-'3. Assumptions'!$B$13)/($AR$6)-'2. The tape'!$H$5:$H$13/12-'3. Assumptions'!$B$16)-'2. The tape'!$C$5:$C$13*'2. The tape'!$I$5:$I$13*(1+$AR$5)^($A21/4))&gt;0)*('2. The tape'!$C$5:$C$13*'2. The tape'!$D$5:$D$13*(1-'2. The tape'!$J$5:$J$13)^($A21/4)*(1+$AR$5)^($A21/4)*((1-'3. Assumptions'!$B$13)/($AR$6)-'2. The tape'!$H$5:$H$13/12-'3. Assumptions'!$B$16)-'2. The tape'!$C$5:$C$13*'2. The tape'!$I$5:$I$13*(1+$AR$5)^($A21/4)))</f>
        <v>134743890.82914</v>
      </c>
      <c r="AT21" s="33" t="n">
        <f aca="false">'2. The tape'!$C$17*(1+MIN(MAX($AT$5,'3. Assumptions'!$B$11),'3. Assumptions'!$B$10))^INT(($A21-1)/4)/4*(1-'3. Assumptions'!$B$13)</f>
        <v>3064049.2575</v>
      </c>
      <c r="AU21" s="33" t="n">
        <f aca="false">(1-'3. Assumptions'!$B$15)*SUMPRODUCT((('2. The tape'!$C$5:$C$13*'2. The tape'!$D$5:$D$13*(1-'2. The tape'!$J$5:$J$13)^($A21/4)*(1+$AT$5)^($A21/4)*((1-'3. Assumptions'!$B$13)/($AT$6)-'2. The tape'!$H$5:$H$13/12-'3. Assumptions'!$B$16)-'2. The tape'!$C$5:$C$13*'2. The tape'!$I$5:$I$13*(1+$AT$5)^($A21/4))&gt;0)*('2. The tape'!$C$5:$C$13*'2. The tape'!$D$5:$D$13*(1-'2. The tape'!$J$5:$J$13)^($A21/4)*(1+$AT$5)^($A21/4)*((1-'3. Assumptions'!$B$13)/($AT$6)-'2. The tape'!$H$5:$H$13/12-'3. Assumptions'!$B$16)-'2. The tape'!$C$5:$C$13*'2. The tape'!$I$5:$I$13*(1+$AT$5)^($A21/4)))</f>
        <v>134743905.956705</v>
      </c>
      <c r="AV21" s="33" t="n">
        <f aca="false">'2. The tape'!$C$17*(1+MIN(MAX($AV$5,'3. Assumptions'!$B$11),'3. Assumptions'!$B$10))^INT(($A21-1)/4)/4*(1-'3. Assumptions'!$B$13)</f>
        <v>3064049.2575</v>
      </c>
      <c r="AW21" s="33" t="n">
        <f aca="false">(1-'3. Assumptions'!$B$15)*SUMPRODUCT((('2. The tape'!$C$5:$C$13*'2. The tape'!$D$5:$D$13*(1-'2. The tape'!$J$5:$J$13)^($A21/4)*(1+$AV$5)^($A21/4)*((1-'3. Assumptions'!$B$13)/($AV$6)-'2. The tape'!$H$5:$H$13/12-'3. Assumptions'!$B$16)-'2. The tape'!$C$5:$C$13*'2. The tape'!$I$5:$I$13*(1+$AV$5)^($A21/4))&gt;0)*('2. The tape'!$C$5:$C$13*'2. The tape'!$D$5:$D$13*(1-'2. The tape'!$J$5:$J$13)^($A21/4)*(1+$AV$5)^($A21/4)*((1-'3. Assumptions'!$B$13)/($AV$6)-'2. The tape'!$H$5:$H$13/12-'3. Assumptions'!$B$16)-'2. The tape'!$C$5:$C$13*'2. The tape'!$I$5:$I$13*(1+$AV$5)^($A21/4)))</f>
        <v>134743905.956103</v>
      </c>
      <c r="AX21" s="33" t="n">
        <f aca="false">'2. The tape'!$C$17*(1+MIN(MAX($AX$5,'3. Assumptions'!$B$11),'3. Assumptions'!$B$10))^INT(($A21-1)/4)/4*(1-'3. Assumptions'!$B$13)</f>
        <v>3064049.2575</v>
      </c>
      <c r="AY21" s="33" t="n">
        <f aca="false">(1-'3. Assumptions'!$B$15)*SUMPRODUCT((('2. The tape'!$C$5:$C$13*'2. The tape'!$D$5:$D$13*(1-'2. The tape'!$J$5:$J$13)^($A21/4)*(1+$AX$5)^($A21/4)*((1-'3. Assumptions'!$B$13)/($AX$6)-'2. The tape'!$H$5:$H$13/12-'3. Assumptions'!$B$16)-'2. The tape'!$C$5:$C$13*'2. The tape'!$I$5:$I$13*(1+$AX$5)^($A21/4))&gt;0)*('2. The tape'!$C$5:$C$13*'2. The tape'!$D$5:$D$13*(1-'2. The tape'!$J$5:$J$13)^($A21/4)*(1+$AX$5)^($A21/4)*((1-'3. Assumptions'!$B$13)/($AX$6)-'2. The tape'!$H$5:$H$13/12-'3. Assumptions'!$B$16)-'2. The tape'!$C$5:$C$13*'2. The tape'!$I$5:$I$13*(1+$AX$5)^($A21/4)))</f>
        <v>134743905.956103</v>
      </c>
      <c r="AZ21" s="33" t="n">
        <f aca="false">'2. The tape'!$C$17*(1+MIN(MAX($AZ$5,'3. Assumptions'!$B$11),'3. Assumptions'!$B$10))^INT(($A21-1)/4)/4*(1-'3. Assumptions'!$B$13)</f>
        <v>3064049.2575</v>
      </c>
      <c r="BA21" s="33" t="n">
        <f aca="false">(1-'3. Assumptions'!$B$15)*SUMPRODUCT((('2. The tape'!$C$5:$C$13*'2. The tape'!$D$5:$D$13*(1-'2. The tape'!$J$5:$J$13)^($A21/4)*(1+$AZ$5)^($A21/4)*((1-'3. Assumptions'!$B$13)/($AZ$6)-'2. The tape'!$H$5:$H$13/12-'3. Assumptions'!$B$16)-'2. The tape'!$C$5:$C$13*'2. The tape'!$I$5:$I$13*(1+$AZ$5)^($A21/4))&gt;0)*('2. The tape'!$C$5:$C$13*'2. The tape'!$D$5:$D$13*(1-'2. The tape'!$J$5:$J$13)^($A21/4)*(1+$AZ$5)^($A21/4)*((1-'3. Assumptions'!$B$13)/($AZ$6)-'2. The tape'!$H$5:$H$13/12-'3. Assumptions'!$B$16)-'2. The tape'!$C$5:$C$13*'2. The tape'!$I$5:$I$13*(1+$AZ$5)^($A21/4)))</f>
        <v>134743905.956103</v>
      </c>
    </row>
    <row r="22" customFormat="false" ht="15" hidden="false" customHeight="false" outlineLevel="0" collapsed="false">
      <c r="A22" s="20" t="n">
        <v>7</v>
      </c>
      <c r="B22" s="33" t="n">
        <f aca="false">'2. The tape'!$C$17*(1+MIN(MAX($B$5,'3. Assumptions'!$B$11),'3. Assumptions'!$B$10))^INT(($A22-1)/4)/4*(1-'3. Assumptions'!$B$13)</f>
        <v>3064049.2575</v>
      </c>
      <c r="C22" s="33" t="n">
        <f aca="false">(1-'3. Assumptions'!$B$15)*SUMPRODUCT((('2. The tape'!$C$5:$C$13*'2. The tape'!$D$5:$D$13*(1-'2. The tape'!$J$5:$J$13)^($A22/4)*(1+$B$5)^($A22/4)*((1-'3. Assumptions'!$B$13)/($B$6)-'2. The tape'!$H$5:$H$13/12-'3. Assumptions'!$B$16)-'2. The tape'!$C$5:$C$13*'2. The tape'!$I$5:$I$13*(1+$B$5)^($A22/4))&gt;0)*('2. The tape'!$C$5:$C$13*'2. The tape'!$D$5:$D$13*(1-'2. The tape'!$J$5:$J$13)^($A22/4)*(1+$B$5)^($A22/4)*((1-'3. Assumptions'!$B$13)/($B$6)-'2. The tape'!$H$5:$H$13/12-'3. Assumptions'!$B$16)-'2. The tape'!$C$5:$C$13*'2. The tape'!$I$5:$I$13*(1+$B$5)^($A22/4)))</f>
        <v>81273193.2040317</v>
      </c>
      <c r="D22" s="33" t="n">
        <f aca="false">'2. The tape'!$C$17*(1+MIN(MAX($D$5,'3. Assumptions'!$B$11),'3. Assumptions'!$B$10))^INT(($A22-1)/4)/4*(1-'3. Assumptions'!$B$13)</f>
        <v>3088033.9875</v>
      </c>
      <c r="E22" s="33" t="n">
        <f aca="false">(1-'3. Assumptions'!$B$15)*SUMPRODUCT((('2. The tape'!$C$5:$C$13*'2. The tape'!$D$5:$D$13*(1-'2. The tape'!$J$5:$J$13)^($A22/4)*(1+$D$5)^($A22/4)*((1-'3. Assumptions'!$B$13)/($D$6)-'2. The tape'!$H$5:$H$13/12-'3. Assumptions'!$B$16)-'2. The tape'!$C$5:$C$13*'2. The tape'!$I$5:$I$13*(1+$D$5)^($A22/4))&gt;0)*('2. The tape'!$C$5:$C$13*'2. The tape'!$D$5:$D$13*(1-'2. The tape'!$J$5:$J$13)^($A22/4)*(1+$D$5)^($A22/4)*((1-'3. Assumptions'!$B$13)/($D$6)-'2. The tape'!$H$5:$H$13/12-'3. Assumptions'!$B$16)-'2. The tape'!$C$5:$C$13*'2. The tape'!$I$5:$I$13*(1+$D$5)^($A22/4)))</f>
        <v>83090977.4561537</v>
      </c>
      <c r="F22" s="33" t="n">
        <f aca="false">'2. The tape'!$C$17*(1+MIN(MAX($F$5,'3. Assumptions'!$B$11),'3. Assumptions'!$B$10))^INT(($A22-1)/4)/4*(1-'3. Assumptions'!$B$13)</f>
        <v>3028072.1625</v>
      </c>
      <c r="G22" s="33" t="n">
        <f aca="false">(1-'3. Assumptions'!$B$15)*SUMPRODUCT((('2. The tape'!$C$5:$C$13*'2. The tape'!$D$5:$D$13*(1-'2. The tape'!$J$5:$J$13)^($A22/4)*(1+$F$5)^($A22/4)*((1-'3. Assumptions'!$B$13)/($F$6)-'2. The tape'!$H$5:$H$13/12-'3. Assumptions'!$B$16)-'2. The tape'!$C$5:$C$13*'2. The tape'!$I$5:$I$13*(1+$F$5)^($A22/4))&gt;0)*('2. The tape'!$C$5:$C$13*'2. The tape'!$D$5:$D$13*(1-'2. The tape'!$J$5:$J$13)^($A22/4)*(1+$F$5)^($A22/4)*((1-'3. Assumptions'!$B$13)/($F$6)-'2. The tape'!$H$5:$H$13/12-'3. Assumptions'!$B$16)-'2. The tape'!$C$5:$C$13*'2. The tape'!$I$5:$I$13*(1+$F$5)^($A22/4)))</f>
        <v>79610556.5211539</v>
      </c>
      <c r="H22" s="33" t="n">
        <f aca="false">'2. The tape'!$C$17*(1+MIN(MAX($H$5,'3. Assumptions'!$B$11),'3. Assumptions'!$B$10))^INT(($A22-1)/4)/4*(1-'3. Assumptions'!$B$13)</f>
        <v>3088033.9875</v>
      </c>
      <c r="I22" s="33" t="n">
        <f aca="false">(1-'3. Assumptions'!$B$15)*SUMPRODUCT((('2. The tape'!$C$5:$C$13*'2. The tape'!$D$5:$D$13*(1-'2. The tape'!$J$5:$J$13)^($A22/4)*(1+$H$5)^($A22/4)*((1-'3. Assumptions'!$B$13)/($H$6)-'2. The tape'!$H$5:$H$13/12-'3. Assumptions'!$B$16)-'2. The tape'!$C$5:$C$13*'2. The tape'!$I$5:$I$13*(1+$H$5)^($A22/4))&gt;0)*('2. The tape'!$C$5:$C$13*'2. The tape'!$D$5:$D$13*(1-'2. The tape'!$J$5:$J$13)^($A22/4)*(1+$H$5)^($A22/4)*((1-'3. Assumptions'!$B$13)/($H$6)-'2. The tape'!$H$5:$H$13/12-'3. Assumptions'!$B$16)-'2. The tape'!$C$5:$C$13*'2. The tape'!$I$5:$I$13*(1+$H$5)^($A22/4)))</f>
        <v>83090977.4561537</v>
      </c>
      <c r="J22" s="33" t="n">
        <f aca="false">'2. The tape'!$C$17*(1+MIN(MAX($J$5,'3. Assumptions'!$B$11),'3. Assumptions'!$B$10))^INT(($A22-1)/4)/4*(1-'3. Assumptions'!$B$13)</f>
        <v>3064049.2575</v>
      </c>
      <c r="K22" s="33" t="n">
        <f aca="false">(1-'3. Assumptions'!$B$15)*SUMPRODUCT((('2. The tape'!$C$5:$C$13*'2. The tape'!$D$5:$D$13*(1-'2. The tape'!$J$5:$J$13)^($A22/4)*(1+$J$5)^($A22/4)*((1-'3. Assumptions'!$B$13)/($J$6)-'2. The tape'!$H$5:$H$13/12-'3. Assumptions'!$B$16)-'2. The tape'!$C$5:$C$13*'2. The tape'!$I$5:$I$13*(1+$J$5)^($A22/4))&gt;0)*('2. The tape'!$C$5:$C$13*'2. The tape'!$D$5:$D$13*(1-'2. The tape'!$J$5:$J$13)^($A22/4)*(1+$J$5)^($A22/4)*((1-'3. Assumptions'!$B$13)/($J$6)-'2. The tape'!$H$5:$H$13/12-'3. Assumptions'!$B$16)-'2. The tape'!$C$5:$C$13*'2. The tape'!$I$5:$I$13*(1+$J$5)^($A22/4)))</f>
        <v>67161391.2738133</v>
      </c>
      <c r="L22" s="33" t="n">
        <f aca="false">'2. The tape'!$C$17*(1+MIN(MAX($L$5,'3. Assumptions'!$B$11),'3. Assumptions'!$B$10))^INT(($A22-1)/4)/4*(1-'3. Assumptions'!$B$13)</f>
        <v>3088033.9875</v>
      </c>
      <c r="M22" s="33" t="n">
        <f aca="false">(1-'3. Assumptions'!$B$15)*SUMPRODUCT((('2. The tape'!$C$5:$C$13*'2. The tape'!$D$5:$D$13*(1-'2. The tape'!$J$5:$J$13)^($A22/4)*(1+$L$5)^($A22/4)*((1-'3. Assumptions'!$B$13)/($L$6)-'2. The tape'!$H$5:$H$13/12-'3. Assumptions'!$B$16)-'2. The tape'!$C$5:$C$13*'2. The tape'!$I$5:$I$13*(1+$L$5)^($A22/4))&gt;0)*('2. The tape'!$C$5:$C$13*'2. The tape'!$D$5:$D$13*(1-'2. The tape'!$J$5:$J$13)^($A22/4)*(1+$L$5)^($A22/4)*((1-'3. Assumptions'!$B$13)/($L$6)-'2. The tape'!$H$5:$H$13/12-'3. Assumptions'!$B$16)-'2. The tape'!$C$5:$C$13*'2. The tape'!$I$5:$I$13*(1+$L$5)^($A22/4)))</f>
        <v>123825224.002152</v>
      </c>
      <c r="N22" s="33" t="n">
        <f aca="false">'2. The tape'!$C$17*(1+MIN(MAX($N$5,'3. Assumptions'!$B$11),'3. Assumptions'!$B$10))^INT(($A22-1)/4)/4*(1-'3. Assumptions'!$B$13)</f>
        <v>2998091.25</v>
      </c>
      <c r="O22" s="33" t="n">
        <f aca="false">(1-'3. Assumptions'!$B$15)*SUMPRODUCT((('2. The tape'!$C$5:$C$13*'2. The tape'!$D$5:$D$13*(1-'2. The tape'!$J$5:$J$13)^($A22/4)*(1+$N$5)^($A22/4)*((1-'3. Assumptions'!$B$13)/($N$6)-'2. The tape'!$H$5:$H$13/12-'3. Assumptions'!$B$16)-'2. The tape'!$C$5:$C$13*'2. The tape'!$I$5:$I$13*(1+$N$5)^($A22/4))&gt;0)*('2. The tape'!$C$5:$C$13*'2. The tape'!$D$5:$D$13*(1-'2. The tape'!$J$5:$J$13)^($A22/4)*(1+$N$5)^($A22/4)*((1-'3. Assumptions'!$B$13)/($N$6)-'2. The tape'!$H$5:$H$13/12-'3. Assumptions'!$B$16)-'2. The tape'!$C$5:$C$13*'2. The tape'!$I$5:$I$13*(1+$N$5)^($A22/4)))</f>
        <v>74175211.0579528</v>
      </c>
      <c r="P22" s="33" t="n">
        <f aca="false">'2. The tape'!$C$17*(1+MIN(MAX($P$5,'3. Assumptions'!$B$11),'3. Assumptions'!$B$10))^INT(($A22-1)/4)/4*(1-'3. Assumptions'!$B$13)</f>
        <v>2998091.25</v>
      </c>
      <c r="Q22" s="33" t="n">
        <f aca="false">(1-'3. Assumptions'!$B$15)*SUMPRODUCT((('2. The tape'!$C$5:$C$13*'2. The tape'!$D$5:$D$13*(1-'2. The tape'!$J$5:$J$13)^($A22/4)*(1+$P$5)^($A22/4)*((1-'3. Assumptions'!$B$13)/($P$6)-'2. The tape'!$H$5:$H$13/12-'3. Assumptions'!$B$16)-'2. The tape'!$C$5:$C$13*'2. The tape'!$I$5:$I$13*(1+$P$5)^($A22/4))&gt;0)*('2. The tape'!$C$5:$C$13*'2. The tape'!$D$5:$D$13*(1-'2. The tape'!$J$5:$J$13)^($A22/4)*(1+$P$5)^($A22/4)*((1-'3. Assumptions'!$B$13)/($P$6)-'2. The tape'!$H$5:$H$13/12-'3. Assumptions'!$B$16)-'2. The tape'!$C$5:$C$13*'2. The tape'!$I$5:$I$13*(1+$P$5)^($A22/4)))</f>
        <v>75518592.7004554</v>
      </c>
      <c r="R22" s="33" t="n">
        <f aca="false">'2. The tape'!$C$17*(1+MIN(MAX($R$5,'3. Assumptions'!$B$11),'3. Assumptions'!$B$10))^INT(($A22-1)/4)/4*(1-'3. Assumptions'!$B$13)</f>
        <v>2998091.25</v>
      </c>
      <c r="S22" s="33" t="n">
        <f aca="false">(1-'3. Assumptions'!$B$15)*SUMPRODUCT((('2. The tape'!$C$5:$C$13*'2. The tape'!$D$5:$D$13*(1-'2. The tape'!$J$5:$J$13)^($A22/4)*(1+$R$5)^($A22/4)*((1-'3. Assumptions'!$B$13)/($R$6)-'2. The tape'!$H$5:$H$13/12-'3. Assumptions'!$B$16)-'2. The tape'!$C$5:$C$13*'2. The tape'!$I$5:$I$13*(1+$R$5)^($A22/4))&gt;0)*('2. The tape'!$C$5:$C$13*'2. The tape'!$D$5:$D$13*(1-'2. The tape'!$J$5:$J$13)^($A22/4)*(1+$R$5)^($A22/4)*((1-'3. Assumptions'!$B$13)/($R$6)-'2. The tape'!$H$5:$H$13/12-'3. Assumptions'!$B$16)-'2. The tape'!$C$5:$C$13*'2. The tape'!$I$5:$I$13*(1+$R$5)^($A22/4)))</f>
        <v>74704141.4844261</v>
      </c>
      <c r="T22" s="33" t="n">
        <f aca="false">'2. The tape'!$C$17*(1+MIN(MAX($T$5,'3. Assumptions'!$B$11),'3. Assumptions'!$B$10))^INT(($A22-1)/4)/4*(1-'3. Assumptions'!$B$13)</f>
        <v>2998091.25</v>
      </c>
      <c r="U22" s="33" t="n">
        <f aca="false">(1-'3. Assumptions'!$B$15)*SUMPRODUCT((('2. The tape'!$C$5:$C$13*'2. The tape'!$D$5:$D$13*(1-'2. The tape'!$J$5:$J$13)^($A22/4)*(1+$T$5)^($A22/4)*((1-'3. Assumptions'!$B$13)/($T$6)-'2. The tape'!$H$5:$H$13/12-'3. Assumptions'!$B$16)-'2. The tape'!$C$5:$C$13*'2. The tape'!$I$5:$I$13*(1+$T$5)^($A22/4))&gt;0)*('2. The tape'!$C$5:$C$13*'2. The tape'!$D$5:$D$13*(1-'2. The tape'!$J$5:$J$13)^($A22/4)*(1+$T$5)^($A22/4)*((1-'3. Assumptions'!$B$13)/($T$6)-'2. The tape'!$H$5:$H$13/12-'3. Assumptions'!$B$16)-'2. The tape'!$C$5:$C$13*'2. The tape'!$I$5:$I$13*(1+$T$5)^($A22/4)))</f>
        <v>74682103.0527041</v>
      </c>
      <c r="V22" s="33" t="n">
        <f aca="false">'2. The tape'!$C$17*(1+MIN(MAX($V$5,'3. Assumptions'!$B$11),'3. Assumptions'!$B$10))^INT(($A22-1)/4)/4*(1-'3. Assumptions'!$B$13)</f>
        <v>2998091.25</v>
      </c>
      <c r="W22" s="33" t="n">
        <f aca="false">(1-'3. Assumptions'!$B$15)*SUMPRODUCT((('2. The tape'!$C$5:$C$13*'2. The tape'!$D$5:$D$13*(1-'2. The tape'!$J$5:$J$13)^($A22/4)*(1+$V$5)^($A22/4)*((1-'3. Assumptions'!$B$13)/($V$6)-'2. The tape'!$H$5:$H$13/12-'3. Assumptions'!$B$16)-'2. The tape'!$C$5:$C$13*'2. The tape'!$I$5:$I$13*(1+$V$5)^($A22/4))&gt;0)*('2. The tape'!$C$5:$C$13*'2. The tape'!$D$5:$D$13*(1-'2. The tape'!$J$5:$J$13)^($A22/4)*(1+$V$5)^($A22/4)*((1-'3. Assumptions'!$B$13)/($V$6)-'2. The tape'!$H$5:$H$13/12-'3. Assumptions'!$B$16)-'2. The tape'!$C$5:$C$13*'2. The tape'!$I$5:$I$13*(1+$V$5)^($A22/4)))</f>
        <v>74682988.4819825</v>
      </c>
      <c r="X22" s="33" t="n">
        <f aca="false">'2. The tape'!$C$17*(1+MIN(MAX($X$5,'3. Assumptions'!$B$11),'3. Assumptions'!$B$10))^INT(($A22-1)/4)/4*(1-'3. Assumptions'!$B$13)</f>
        <v>2998091.25</v>
      </c>
      <c r="Y22" s="33" t="n">
        <f aca="false">(1-'3. Assumptions'!$B$15)*SUMPRODUCT((('2. The tape'!$C$5:$C$13*'2. The tape'!$D$5:$D$13*(1-'2. The tape'!$J$5:$J$13)^($A22/4)*(1+$X$5)^($A22/4)*((1-'3. Assumptions'!$B$13)/($X$6)-'2. The tape'!$H$5:$H$13/12-'3. Assumptions'!$B$16)-'2. The tape'!$C$5:$C$13*'2. The tape'!$I$5:$I$13*(1+$X$5)^($A22/4))&gt;0)*('2. The tape'!$C$5:$C$13*'2. The tape'!$D$5:$D$13*(1-'2. The tape'!$J$5:$J$13)^($A22/4)*(1+$X$5)^($A22/4)*((1-'3. Assumptions'!$B$13)/($X$6)-'2. The tape'!$H$5:$H$13/12-'3. Assumptions'!$B$16)-'2. The tape'!$C$5:$C$13*'2. The tape'!$I$5:$I$13*(1+$X$5)^($A22/4)))</f>
        <v>74682987.5508962</v>
      </c>
      <c r="Z22" s="33" t="n">
        <f aca="false">'2. The tape'!$C$17*(1+MIN(MAX($Z$5,'3. Assumptions'!$B$11),'3. Assumptions'!$B$10))^INT(($A22-1)/4)/4*(1-'3. Assumptions'!$B$13)</f>
        <v>2998091.25</v>
      </c>
      <c r="AA22" s="33" t="n">
        <f aca="false">(1-'3. Assumptions'!$B$15)*SUMPRODUCT((('2. The tape'!$C$5:$C$13*'2. The tape'!$D$5:$D$13*(1-'2. The tape'!$J$5:$J$13)^($A22/4)*(1+$Z$5)^($A22/4)*((1-'3. Assumptions'!$B$13)/($Z$6)-'2. The tape'!$H$5:$H$13/12-'3. Assumptions'!$B$16)-'2. The tape'!$C$5:$C$13*'2. The tape'!$I$5:$I$13*(1+$Z$5)^($A22/4))&gt;0)*('2. The tape'!$C$5:$C$13*'2. The tape'!$D$5:$D$13*(1-'2. The tape'!$J$5:$J$13)^($A22/4)*(1+$Z$5)^($A22/4)*((1-'3. Assumptions'!$B$13)/($Z$6)-'2. The tape'!$H$5:$H$13/12-'3. Assumptions'!$B$16)-'2. The tape'!$C$5:$C$13*'2. The tape'!$I$5:$I$13*(1+$Z$5)^($A22/4)))</f>
        <v>74682987.5508552</v>
      </c>
      <c r="AB22" s="33" t="n">
        <f aca="false">'2. The tape'!$C$17*(1+MIN(MAX($AB$5,'3. Assumptions'!$B$11),'3. Assumptions'!$B$10))^INT(($A22-1)/4)/4*(1-'3. Assumptions'!$B$13)</f>
        <v>2998091.25</v>
      </c>
      <c r="AC22" s="33" t="n">
        <f aca="false">(1-'3. Assumptions'!$B$15)*SUMPRODUCT((('2. The tape'!$C$5:$C$13*'2. The tape'!$D$5:$D$13*(1-'2. The tape'!$J$5:$J$13)^($A22/4)*(1+$AB$5)^($A22/4)*((1-'3. Assumptions'!$B$13)/($AB$6)-'2. The tape'!$H$5:$H$13/12-'3. Assumptions'!$B$16)-'2. The tape'!$C$5:$C$13*'2. The tape'!$I$5:$I$13*(1+$AB$5)^($A22/4))&gt;0)*('2. The tape'!$C$5:$C$13*'2. The tape'!$D$5:$D$13*(1-'2. The tape'!$J$5:$J$13)^($A22/4)*(1+$AB$5)^($A22/4)*((1-'3. Assumptions'!$B$13)/($AB$6)-'2. The tape'!$H$5:$H$13/12-'3. Assumptions'!$B$16)-'2. The tape'!$C$5:$C$13*'2. The tape'!$I$5:$I$13*(1+$AB$5)^($A22/4)))</f>
        <v>74682987.5508552</v>
      </c>
      <c r="AD22" s="33" t="n">
        <f aca="false">'2. The tape'!$C$17*(1+MIN(MAX($AD$5,'3. Assumptions'!$B$11),'3. Assumptions'!$B$10))^INT(($A22-1)/4)/4*(1-'3. Assumptions'!$B$13)</f>
        <v>2998091.25</v>
      </c>
      <c r="AE22" s="33" t="n">
        <f aca="false">(1-'3. Assumptions'!$B$15)*SUMPRODUCT((('2. The tape'!$C$5:$C$13*'2. The tape'!$D$5:$D$13*(1-'2. The tape'!$J$5:$J$13)^($A22/4)*(1+$AD$5)^($A22/4)*((1-'3. Assumptions'!$B$13)/($AD$6)-'2. The tape'!$H$5:$H$13/12-'3. Assumptions'!$B$16)-'2. The tape'!$C$5:$C$13*'2. The tape'!$I$5:$I$13*(1+$AD$5)^($A22/4))&gt;0)*('2. The tape'!$C$5:$C$13*'2. The tape'!$D$5:$D$13*(1-'2. The tape'!$J$5:$J$13)^($A22/4)*(1+$AD$5)^($A22/4)*((1-'3. Assumptions'!$B$13)/($AD$6)-'2. The tape'!$H$5:$H$13/12-'3. Assumptions'!$B$16)-'2. The tape'!$C$5:$C$13*'2. The tape'!$I$5:$I$13*(1+$AD$5)^($A22/4)))</f>
        <v>74682987.5508552</v>
      </c>
      <c r="AF22" s="33" t="n">
        <f aca="false">'2. The tape'!$C$17*(1+MIN(MAX($AF$5,'3. Assumptions'!$B$11),'3. Assumptions'!$B$10))^INT(($A22-1)/4)/4*(1-'3. Assumptions'!$B$13)</f>
        <v>2998091.25</v>
      </c>
      <c r="AG22" s="33" t="n">
        <f aca="false">(1-'3. Assumptions'!$B$15)*SUMPRODUCT((('2. The tape'!$C$5:$C$13*'2. The tape'!$D$5:$D$13*(1-'2. The tape'!$J$5:$J$13)^($A22/4)*(1+$AF$5)^($A22/4)*((1-'3. Assumptions'!$B$13)/($AF$6)-'2. The tape'!$H$5:$H$13/12-'3. Assumptions'!$B$16)-'2. The tape'!$C$5:$C$13*'2. The tape'!$I$5:$I$13*(1+$AF$5)^($A22/4))&gt;0)*('2. The tape'!$C$5:$C$13*'2. The tape'!$D$5:$D$13*(1-'2. The tape'!$J$5:$J$13)^($A22/4)*(1+$AF$5)^($A22/4)*((1-'3. Assumptions'!$B$13)/($AF$6)-'2. The tape'!$H$5:$H$13/12-'3. Assumptions'!$B$16)-'2. The tape'!$C$5:$C$13*'2. The tape'!$I$5:$I$13*(1+$AF$5)^($A22/4)))</f>
        <v>74682987.5508552</v>
      </c>
      <c r="AH22" s="33" t="n">
        <f aca="false">'2. The tape'!$C$17*(1+MIN(MAX($AH$5,'3. Assumptions'!$B$11),'3. Assumptions'!$B$10))^INT(($A22-1)/4)/4*(1-'3. Assumptions'!$B$13)</f>
        <v>3064049.2575</v>
      </c>
      <c r="AI22" s="33" t="n">
        <f aca="false">(1-'3. Assumptions'!$B$15)*SUMPRODUCT((('2. The tape'!$C$5:$C$13*'2. The tape'!$D$5:$D$13*(1-'2. The tape'!$J$5:$J$13)^($A22/4)*(1+$AH$5)^($A22/4)*((1-'3. Assumptions'!$B$13)/($AH$6)-'2. The tape'!$H$5:$H$13/12-'3. Assumptions'!$B$16)-'2. The tape'!$C$5:$C$13*'2. The tape'!$I$5:$I$13*(1+$AH$5)^($A22/4))&gt;0)*('2. The tape'!$C$5:$C$13*'2. The tape'!$D$5:$D$13*(1-'2. The tape'!$J$5:$J$13)^($A22/4)*(1+$AH$5)^($A22/4)*((1-'3. Assumptions'!$B$13)/($AH$6)-'2. The tape'!$H$5:$H$13/12-'3. Assumptions'!$B$16)-'2. The tape'!$C$5:$C$13*'2. The tape'!$I$5:$I$13*(1+$AH$5)^($A22/4)))</f>
        <v>158323631.743024</v>
      </c>
      <c r="AJ22" s="33" t="n">
        <f aca="false">'2. The tape'!$C$17*(1+MIN(MAX($AJ$5,'3. Assumptions'!$B$11),'3. Assumptions'!$B$10))^INT(($A22-1)/4)/4*(1-'3. Assumptions'!$B$13)</f>
        <v>3064049.2575</v>
      </c>
      <c r="AK22" s="33" t="n">
        <f aca="false">(1-'3. Assumptions'!$B$15)*SUMPRODUCT((('2. The tape'!$C$5:$C$13*'2. The tape'!$D$5:$D$13*(1-'2. The tape'!$J$5:$J$13)^($A22/4)*(1+$AJ$5)^($A22/4)*((1-'3. Assumptions'!$B$13)/($AJ$6)-'2. The tape'!$H$5:$H$13/12-'3. Assumptions'!$B$16)-'2. The tape'!$C$5:$C$13*'2. The tape'!$I$5:$I$13*(1+$AJ$5)^($A22/4))&gt;0)*('2. The tape'!$C$5:$C$13*'2. The tape'!$D$5:$D$13*(1-'2. The tape'!$J$5:$J$13)^($A22/4)*(1+$AJ$5)^($A22/4)*((1-'3. Assumptions'!$B$13)/($AJ$6)-'2. The tape'!$H$5:$H$13/12-'3. Assumptions'!$B$16)-'2. The tape'!$C$5:$C$13*'2. The tape'!$I$5:$I$13*(1+$AJ$5)^($A22/4)))</f>
        <v>115141517.836556</v>
      </c>
      <c r="AL22" s="33" t="n">
        <f aca="false">'2. The tape'!$C$17*(1+MIN(MAX($AL$5,'3. Assumptions'!$B$11),'3. Assumptions'!$B$10))^INT(($A22-1)/4)/4*(1-'3. Assumptions'!$B$13)</f>
        <v>3064049.2575</v>
      </c>
      <c r="AM22" s="33" t="n">
        <f aca="false">(1-'3. Assumptions'!$B$15)*SUMPRODUCT((('2. The tape'!$C$5:$C$13*'2. The tape'!$D$5:$D$13*(1-'2. The tape'!$J$5:$J$13)^($A22/4)*(1+$AL$5)^($A22/4)*((1-'3. Assumptions'!$B$13)/($AL$6)-'2. The tape'!$H$5:$H$13/12-'3. Assumptions'!$B$16)-'2. The tape'!$C$5:$C$13*'2. The tape'!$I$5:$I$13*(1+$AL$5)^($A22/4))&gt;0)*('2. The tape'!$C$5:$C$13*'2. The tape'!$D$5:$D$13*(1-'2. The tape'!$J$5:$J$13)^($A22/4)*(1+$AL$5)^($A22/4)*((1-'3. Assumptions'!$B$13)/($AL$6)-'2. The tape'!$H$5:$H$13/12-'3. Assumptions'!$B$16)-'2. The tape'!$C$5:$C$13*'2. The tape'!$I$5:$I$13*(1+$AL$5)^($A22/4)))</f>
        <v>131889417.870207</v>
      </c>
      <c r="AN22" s="33" t="n">
        <f aca="false">'2. The tape'!$C$17*(1+MIN(MAX($AN$5,'3. Assumptions'!$B$11),'3. Assumptions'!$B$10))^INT(($A22-1)/4)/4*(1-'3. Assumptions'!$B$13)</f>
        <v>3064049.2575</v>
      </c>
      <c r="AO22" s="33" t="n">
        <f aca="false">(1-'3. Assumptions'!$B$15)*SUMPRODUCT((('2. The tape'!$C$5:$C$13*'2. The tape'!$D$5:$D$13*(1-'2. The tape'!$J$5:$J$13)^($A22/4)*(1+$AN$5)^($A22/4)*((1-'3. Assumptions'!$B$13)/($AN$6)-'2. The tape'!$H$5:$H$13/12-'3. Assumptions'!$B$16)-'2. The tape'!$C$5:$C$13*'2. The tape'!$I$5:$I$13*(1+$AN$5)^($A22/4))&gt;0)*('2. The tape'!$C$5:$C$13*'2. The tape'!$D$5:$D$13*(1-'2. The tape'!$J$5:$J$13)^($A22/4)*(1+$AN$5)^($A22/4)*((1-'3. Assumptions'!$B$13)/($AN$6)-'2. The tape'!$H$5:$H$13/12-'3. Assumptions'!$B$16)-'2. The tape'!$C$5:$C$13*'2. The tape'!$I$5:$I$13*(1+$AN$5)^($A22/4)))</f>
        <v>135025139.070437</v>
      </c>
      <c r="AP22" s="33" t="n">
        <f aca="false">'2. The tape'!$C$17*(1+MIN(MAX($AP$5,'3. Assumptions'!$B$11),'3. Assumptions'!$B$10))^INT(($A22-1)/4)/4*(1-'3. Assumptions'!$B$13)</f>
        <v>3064049.2575</v>
      </c>
      <c r="AQ22" s="33" t="n">
        <f aca="false">(1-'3. Assumptions'!$B$15)*SUMPRODUCT((('2. The tape'!$C$5:$C$13*'2. The tape'!$D$5:$D$13*(1-'2. The tape'!$J$5:$J$13)^($A22/4)*(1+$AP$5)^($A22/4)*((1-'3. Assumptions'!$B$13)/($AP$6)-'2. The tape'!$H$5:$H$13/12-'3. Assumptions'!$B$16)-'2. The tape'!$C$5:$C$13*'2. The tape'!$I$5:$I$13*(1+$AP$5)^($A22/4))&gt;0)*('2. The tape'!$C$5:$C$13*'2. The tape'!$D$5:$D$13*(1-'2. The tape'!$J$5:$J$13)^($A22/4)*(1+$AP$5)^($A22/4)*((1-'3. Assumptions'!$B$13)/($AP$6)-'2. The tape'!$H$5:$H$13/12-'3. Assumptions'!$B$16)-'2. The tape'!$C$5:$C$13*'2. The tape'!$I$5:$I$13*(1+$AP$5)^($A22/4)))</f>
        <v>134638040.722887</v>
      </c>
      <c r="AR22" s="33" t="n">
        <f aca="false">'2. The tape'!$C$17*(1+MIN(MAX($AR$5,'3. Assumptions'!$B$11),'3. Assumptions'!$B$10))^INT(($A22-1)/4)/4*(1-'3. Assumptions'!$B$13)</f>
        <v>3064049.2575</v>
      </c>
      <c r="AS22" s="33" t="n">
        <f aca="false">(1-'3. Assumptions'!$B$15)*SUMPRODUCT((('2. The tape'!$C$5:$C$13*'2. The tape'!$D$5:$D$13*(1-'2. The tape'!$J$5:$J$13)^($A22/4)*(1+$AR$5)^($A22/4)*((1-'3. Assumptions'!$B$13)/($AR$6)-'2. The tape'!$H$5:$H$13/12-'3. Assumptions'!$B$16)-'2. The tape'!$C$5:$C$13*'2. The tape'!$I$5:$I$13*(1+$AR$5)^($A22/4))&gt;0)*('2. The tape'!$C$5:$C$13*'2. The tape'!$D$5:$D$13*(1-'2. The tape'!$J$5:$J$13)^($A22/4)*(1+$AR$5)^($A22/4)*((1-'3. Assumptions'!$B$13)/($AR$6)-'2. The tape'!$H$5:$H$13/12-'3. Assumptions'!$B$16)-'2. The tape'!$C$5:$C$13*'2. The tape'!$I$5:$I$13*(1+$AR$5)^($A22/4)))</f>
        <v>134644535.678699</v>
      </c>
      <c r="AT22" s="33" t="n">
        <f aca="false">'2. The tape'!$C$17*(1+MIN(MAX($AT$5,'3. Assumptions'!$B$11),'3. Assumptions'!$B$10))^INT(($A22-1)/4)/4*(1-'3. Assumptions'!$B$13)</f>
        <v>3064049.2575</v>
      </c>
      <c r="AU22" s="33" t="n">
        <f aca="false">(1-'3. Assumptions'!$B$15)*SUMPRODUCT((('2. The tape'!$C$5:$C$13*'2. The tape'!$D$5:$D$13*(1-'2. The tape'!$J$5:$J$13)^($A22/4)*(1+$AT$5)^($A22/4)*((1-'3. Assumptions'!$B$13)/($AT$6)-'2. The tape'!$H$5:$H$13/12-'3. Assumptions'!$B$16)-'2. The tape'!$C$5:$C$13*'2. The tape'!$I$5:$I$13*(1+$AT$5)^($A22/4))&gt;0)*('2. The tape'!$C$5:$C$13*'2. The tape'!$D$5:$D$13*(1-'2. The tape'!$J$5:$J$13)^($A22/4)*(1+$AT$5)^($A22/4)*((1-'3. Assumptions'!$B$13)/($AT$6)-'2. The tape'!$H$5:$H$13/12-'3. Assumptions'!$B$16)-'2. The tape'!$C$5:$C$13*'2. The tape'!$I$5:$I$13*(1+$AT$5)^($A22/4)))</f>
        <v>134644550.803817</v>
      </c>
      <c r="AV22" s="33" t="n">
        <f aca="false">'2. The tape'!$C$17*(1+MIN(MAX($AV$5,'3. Assumptions'!$B$11),'3. Assumptions'!$B$10))^INT(($A22-1)/4)/4*(1-'3. Assumptions'!$B$13)</f>
        <v>3064049.2575</v>
      </c>
      <c r="AW22" s="33" t="n">
        <f aca="false">(1-'3. Assumptions'!$B$15)*SUMPRODUCT((('2. The tape'!$C$5:$C$13*'2. The tape'!$D$5:$D$13*(1-'2. The tape'!$J$5:$J$13)^($A22/4)*(1+$AV$5)^($A22/4)*((1-'3. Assumptions'!$B$13)/($AV$6)-'2. The tape'!$H$5:$H$13/12-'3. Assumptions'!$B$16)-'2. The tape'!$C$5:$C$13*'2. The tape'!$I$5:$I$13*(1+$AV$5)^($A22/4))&gt;0)*('2. The tape'!$C$5:$C$13*'2. The tape'!$D$5:$D$13*(1-'2. The tape'!$J$5:$J$13)^($A22/4)*(1+$AV$5)^($A22/4)*((1-'3. Assumptions'!$B$13)/($AV$6)-'2. The tape'!$H$5:$H$13/12-'3. Assumptions'!$B$16)-'2. The tape'!$C$5:$C$13*'2. The tape'!$I$5:$I$13*(1+$AV$5)^($A22/4)))</f>
        <v>134644550.803214</v>
      </c>
      <c r="AX22" s="33" t="n">
        <f aca="false">'2. The tape'!$C$17*(1+MIN(MAX($AX$5,'3. Assumptions'!$B$11),'3. Assumptions'!$B$10))^INT(($A22-1)/4)/4*(1-'3. Assumptions'!$B$13)</f>
        <v>3064049.2575</v>
      </c>
      <c r="AY22" s="33" t="n">
        <f aca="false">(1-'3. Assumptions'!$B$15)*SUMPRODUCT((('2. The tape'!$C$5:$C$13*'2. The tape'!$D$5:$D$13*(1-'2. The tape'!$J$5:$J$13)^($A22/4)*(1+$AX$5)^($A22/4)*((1-'3. Assumptions'!$B$13)/($AX$6)-'2. The tape'!$H$5:$H$13/12-'3. Assumptions'!$B$16)-'2. The tape'!$C$5:$C$13*'2. The tape'!$I$5:$I$13*(1+$AX$5)^($A22/4))&gt;0)*('2. The tape'!$C$5:$C$13*'2. The tape'!$D$5:$D$13*(1-'2. The tape'!$J$5:$J$13)^($A22/4)*(1+$AX$5)^($A22/4)*((1-'3. Assumptions'!$B$13)/($AX$6)-'2. The tape'!$H$5:$H$13/12-'3. Assumptions'!$B$16)-'2. The tape'!$C$5:$C$13*'2. The tape'!$I$5:$I$13*(1+$AX$5)^($A22/4)))</f>
        <v>134644550.803214</v>
      </c>
      <c r="AZ22" s="33" t="n">
        <f aca="false">'2. The tape'!$C$17*(1+MIN(MAX($AZ$5,'3. Assumptions'!$B$11),'3. Assumptions'!$B$10))^INT(($A22-1)/4)/4*(1-'3. Assumptions'!$B$13)</f>
        <v>3064049.2575</v>
      </c>
      <c r="BA22" s="33" t="n">
        <f aca="false">(1-'3. Assumptions'!$B$15)*SUMPRODUCT((('2. The tape'!$C$5:$C$13*'2. The tape'!$D$5:$D$13*(1-'2. The tape'!$J$5:$J$13)^($A22/4)*(1+$AZ$5)^($A22/4)*((1-'3. Assumptions'!$B$13)/($AZ$6)-'2. The tape'!$H$5:$H$13/12-'3. Assumptions'!$B$16)-'2. The tape'!$C$5:$C$13*'2. The tape'!$I$5:$I$13*(1+$AZ$5)^($A22/4))&gt;0)*('2. The tape'!$C$5:$C$13*'2. The tape'!$D$5:$D$13*(1-'2. The tape'!$J$5:$J$13)^($A22/4)*(1+$AZ$5)^($A22/4)*((1-'3. Assumptions'!$B$13)/($AZ$6)-'2. The tape'!$H$5:$H$13/12-'3. Assumptions'!$B$16)-'2. The tape'!$C$5:$C$13*'2. The tape'!$I$5:$I$13*(1+$AZ$5)^($A22/4)))</f>
        <v>134644550.803214</v>
      </c>
    </row>
    <row r="23" customFormat="false" ht="15" hidden="false" customHeight="false" outlineLevel="0" collapsed="false">
      <c r="A23" s="20" t="n">
        <v>8</v>
      </c>
      <c r="B23" s="33" t="n">
        <f aca="false">'2. The tape'!$C$17*(1+MIN(MAX($B$5,'3. Assumptions'!$B$11),'3. Assumptions'!$B$10))^INT(($A23-1)/4)/4*(1-'3. Assumptions'!$B$13)</f>
        <v>3064049.2575</v>
      </c>
      <c r="C23" s="33" t="n">
        <f aca="false">(1-'3. Assumptions'!$B$15)*SUMPRODUCT((('2. The tape'!$C$5:$C$13*'2. The tape'!$D$5:$D$13*(1-'2. The tape'!$J$5:$J$13)^($A23/4)*(1+$B$5)^($A23/4)*((1-'3. Assumptions'!$B$13)/($B$6)-'2. The tape'!$H$5:$H$13/12-'3. Assumptions'!$B$16)-'2. The tape'!$C$5:$C$13*'2. The tape'!$I$5:$I$13*(1+$B$5)^($A23/4))&gt;0)*('2. The tape'!$C$5:$C$13*'2. The tape'!$D$5:$D$13*(1-'2. The tape'!$J$5:$J$13)^($A23/4)*(1+$B$5)^($A23/4)*((1-'3. Assumptions'!$B$13)/($B$6)-'2. The tape'!$H$5:$H$13/12-'3. Assumptions'!$B$16)-'2. The tape'!$C$5:$C$13*'2. The tape'!$I$5:$I$13*(1+$B$5)^($A23/4)))</f>
        <v>81182291.6522595</v>
      </c>
      <c r="D23" s="33" t="n">
        <f aca="false">'2. The tape'!$C$17*(1+MIN(MAX($D$5,'3. Assumptions'!$B$11),'3. Assumptions'!$B$10))^INT(($A23-1)/4)/4*(1-'3. Assumptions'!$B$13)</f>
        <v>3088033.9875</v>
      </c>
      <c r="E23" s="33" t="n">
        <f aca="false">(1-'3. Assumptions'!$B$15)*SUMPRODUCT((('2. The tape'!$C$5:$C$13*'2. The tape'!$D$5:$D$13*(1-'2. The tape'!$J$5:$J$13)^($A23/4)*(1+$D$5)^($A23/4)*((1-'3. Assumptions'!$B$13)/($D$6)-'2. The tape'!$H$5:$H$13/12-'3. Assumptions'!$B$16)-'2. The tape'!$C$5:$C$13*'2. The tape'!$I$5:$I$13*(1+$D$5)^($A23/4))&gt;0)*('2. The tape'!$C$5:$C$13*'2. The tape'!$D$5:$D$13*(1-'2. The tape'!$J$5:$J$13)^($A23/4)*(1+$D$5)^($A23/4)*((1-'3. Assumptions'!$B$13)/($D$6)-'2. The tape'!$H$5:$H$13/12-'3. Assumptions'!$B$16)-'2. The tape'!$C$5:$C$13*'2. The tape'!$I$5:$I$13*(1+$D$5)^($A23/4)))</f>
        <v>83260730.0592366</v>
      </c>
      <c r="F23" s="33" t="n">
        <f aca="false">'2. The tape'!$C$17*(1+MIN(MAX($F$5,'3. Assumptions'!$B$11),'3. Assumptions'!$B$10))^INT(($A23-1)/4)/4*(1-'3. Assumptions'!$B$13)</f>
        <v>3028072.1625</v>
      </c>
      <c r="G23" s="33" t="n">
        <f aca="false">(1-'3. Assumptions'!$B$15)*SUMPRODUCT((('2. The tape'!$C$5:$C$13*'2. The tape'!$D$5:$D$13*(1-'2. The tape'!$J$5:$J$13)^($A23/4)*(1+$F$5)^($A23/4)*((1-'3. Assumptions'!$B$13)/($F$6)-'2. The tape'!$H$5:$H$13/12-'3. Assumptions'!$B$16)-'2. The tape'!$C$5:$C$13*'2. The tape'!$I$5:$I$13*(1+$F$5)^($A23/4))&gt;0)*('2. The tape'!$C$5:$C$13*'2. The tape'!$D$5:$D$13*(1-'2. The tape'!$J$5:$J$13)^($A23/4)*(1+$F$5)^($A23/4)*((1-'3. Assumptions'!$B$13)/($F$6)-'2. The tape'!$H$5:$H$13/12-'3. Assumptions'!$B$16)-'2. The tape'!$C$5:$C$13*'2. The tape'!$I$5:$I$13*(1+$F$5)^($A23/4)))</f>
        <v>79287050.5574713</v>
      </c>
      <c r="H23" s="33" t="n">
        <f aca="false">'2. The tape'!$C$17*(1+MIN(MAX($H$5,'3. Assumptions'!$B$11),'3. Assumptions'!$B$10))^INT(($A23-1)/4)/4*(1-'3. Assumptions'!$B$13)</f>
        <v>3088033.9875</v>
      </c>
      <c r="I23" s="33" t="n">
        <f aca="false">(1-'3. Assumptions'!$B$15)*SUMPRODUCT((('2. The tape'!$C$5:$C$13*'2. The tape'!$D$5:$D$13*(1-'2. The tape'!$J$5:$J$13)^($A23/4)*(1+$H$5)^($A23/4)*((1-'3. Assumptions'!$B$13)/($H$6)-'2. The tape'!$H$5:$H$13/12-'3. Assumptions'!$B$16)-'2. The tape'!$C$5:$C$13*'2. The tape'!$I$5:$I$13*(1+$H$5)^($A23/4))&gt;0)*('2. The tape'!$C$5:$C$13*'2. The tape'!$D$5:$D$13*(1-'2. The tape'!$J$5:$J$13)^($A23/4)*(1+$H$5)^($A23/4)*((1-'3. Assumptions'!$B$13)/($H$6)-'2. The tape'!$H$5:$H$13/12-'3. Assumptions'!$B$16)-'2. The tape'!$C$5:$C$13*'2. The tape'!$I$5:$I$13*(1+$H$5)^($A23/4)))</f>
        <v>83260730.0592366</v>
      </c>
      <c r="J23" s="33" t="n">
        <f aca="false">'2. The tape'!$C$17*(1+MIN(MAX($J$5,'3. Assumptions'!$B$11),'3. Assumptions'!$B$10))^INT(($A23-1)/4)/4*(1-'3. Assumptions'!$B$13)</f>
        <v>3064049.2575</v>
      </c>
      <c r="K23" s="33" t="n">
        <f aca="false">(1-'3. Assumptions'!$B$15)*SUMPRODUCT((('2. The tape'!$C$5:$C$13*'2. The tape'!$D$5:$D$13*(1-'2. The tape'!$J$5:$J$13)^($A23/4)*(1+$J$5)^($A23/4)*((1-'3. Assumptions'!$B$13)/($J$6)-'2. The tape'!$H$5:$H$13/12-'3. Assumptions'!$B$16)-'2. The tape'!$C$5:$C$13*'2. The tape'!$I$5:$I$13*(1+$J$5)^($A23/4))&gt;0)*('2. The tape'!$C$5:$C$13*'2. The tape'!$D$5:$D$13*(1-'2. The tape'!$J$5:$J$13)^($A23/4)*(1+$J$5)^($A23/4)*((1-'3. Assumptions'!$B$13)/($J$6)-'2. The tape'!$H$5:$H$13/12-'3. Assumptions'!$B$16)-'2. The tape'!$C$5:$C$13*'2. The tape'!$I$5:$I$13*(1+$J$5)^($A23/4)))</f>
        <v>67072732.2279319</v>
      </c>
      <c r="L23" s="33" t="n">
        <f aca="false">'2. The tape'!$C$17*(1+MIN(MAX($L$5,'3. Assumptions'!$B$11),'3. Assumptions'!$B$10))^INT(($A23-1)/4)/4*(1-'3. Assumptions'!$B$13)</f>
        <v>3088033.9875</v>
      </c>
      <c r="M23" s="33" t="n">
        <f aca="false">(1-'3. Assumptions'!$B$15)*SUMPRODUCT((('2. The tape'!$C$5:$C$13*'2. The tape'!$D$5:$D$13*(1-'2. The tape'!$J$5:$J$13)^($A23/4)*(1+$L$5)^($A23/4)*((1-'3. Assumptions'!$B$13)/($L$6)-'2. The tape'!$H$5:$H$13/12-'3. Assumptions'!$B$16)-'2. The tape'!$C$5:$C$13*'2. The tape'!$I$5:$I$13*(1+$L$5)^($A23/4))&gt;0)*('2. The tape'!$C$5:$C$13*'2. The tape'!$D$5:$D$13*(1-'2. The tape'!$J$5:$J$13)^($A23/4)*(1+$L$5)^($A23/4)*((1-'3. Assumptions'!$B$13)/($L$6)-'2. The tape'!$H$5:$H$13/12-'3. Assumptions'!$B$16)-'2. The tape'!$C$5:$C$13*'2. The tape'!$I$5:$I$13*(1+$L$5)^($A23/4)))</f>
        <v>131354882.307741</v>
      </c>
      <c r="N23" s="33" t="n">
        <f aca="false">'2. The tape'!$C$17*(1+MIN(MAX($N$5,'3. Assumptions'!$B$11),'3. Assumptions'!$B$10))^INT(($A23-1)/4)/4*(1-'3. Assumptions'!$B$13)</f>
        <v>2998091.25</v>
      </c>
      <c r="O23" s="33" t="n">
        <f aca="false">(1-'3. Assumptions'!$B$15)*SUMPRODUCT((('2. The tape'!$C$5:$C$13*'2. The tape'!$D$5:$D$13*(1-'2. The tape'!$J$5:$J$13)^($A23/4)*(1+$N$5)^($A23/4)*((1-'3. Assumptions'!$B$13)/($N$6)-'2. The tape'!$H$5:$H$13/12-'3. Assumptions'!$B$16)-'2. The tape'!$C$5:$C$13*'2. The tape'!$I$5:$I$13*(1+$N$5)^($A23/4))&gt;0)*('2. The tape'!$C$5:$C$13*'2. The tape'!$D$5:$D$13*(1-'2. The tape'!$J$5:$J$13)^($A23/4)*(1+$N$5)^($A23/4)*((1-'3. Assumptions'!$B$13)/($N$6)-'2. The tape'!$H$5:$H$13/12-'3. Assumptions'!$B$16)-'2. The tape'!$C$5:$C$13*'2. The tape'!$I$5:$I$13*(1+$N$5)^($A23/4)))</f>
        <v>73131247.7889666</v>
      </c>
      <c r="P23" s="33" t="n">
        <f aca="false">'2. The tape'!$C$17*(1+MIN(MAX($P$5,'3. Assumptions'!$B$11),'3. Assumptions'!$B$10))^INT(($A23-1)/4)/4*(1-'3. Assumptions'!$B$13)</f>
        <v>2998091.25</v>
      </c>
      <c r="Q23" s="33" t="n">
        <f aca="false">(1-'3. Assumptions'!$B$15)*SUMPRODUCT((('2. The tape'!$C$5:$C$13*'2. The tape'!$D$5:$D$13*(1-'2. The tape'!$J$5:$J$13)^($A23/4)*(1+$P$5)^($A23/4)*((1-'3. Assumptions'!$B$13)/($P$6)-'2. The tape'!$H$5:$H$13/12-'3. Assumptions'!$B$16)-'2. The tape'!$C$5:$C$13*'2. The tape'!$I$5:$I$13*(1+$P$5)^($A23/4))&gt;0)*('2. The tape'!$C$5:$C$13*'2. The tape'!$D$5:$D$13*(1-'2. The tape'!$J$5:$J$13)^($A23/4)*(1+$P$5)^($A23/4)*((1-'3. Assumptions'!$B$13)/($P$6)-'2. The tape'!$H$5:$H$13/12-'3. Assumptions'!$B$16)-'2. The tape'!$C$5:$C$13*'2. The tape'!$I$5:$I$13*(1+$P$5)^($A23/4)))</f>
        <v>74646881.0463636</v>
      </c>
      <c r="R23" s="33" t="n">
        <f aca="false">'2. The tape'!$C$17*(1+MIN(MAX($R$5,'3. Assumptions'!$B$11),'3. Assumptions'!$B$10))^INT(($A23-1)/4)/4*(1-'3. Assumptions'!$B$13)</f>
        <v>2998091.25</v>
      </c>
      <c r="S23" s="33" t="n">
        <f aca="false">(1-'3. Assumptions'!$B$15)*SUMPRODUCT((('2. The tape'!$C$5:$C$13*'2. The tape'!$D$5:$D$13*(1-'2. The tape'!$J$5:$J$13)^($A23/4)*(1+$R$5)^($A23/4)*((1-'3. Assumptions'!$B$13)/($R$6)-'2. The tape'!$H$5:$H$13/12-'3. Assumptions'!$B$16)-'2. The tape'!$C$5:$C$13*'2. The tape'!$I$5:$I$13*(1+$R$5)^($A23/4))&gt;0)*('2. The tape'!$C$5:$C$13*'2. The tape'!$D$5:$D$13*(1-'2. The tape'!$J$5:$J$13)^($A23/4)*(1+$R$5)^($A23/4)*((1-'3. Assumptions'!$B$13)/($R$6)-'2. The tape'!$H$5:$H$13/12-'3. Assumptions'!$B$16)-'2. The tape'!$C$5:$C$13*'2. The tape'!$I$5:$I$13*(1+$R$5)^($A23/4)))</f>
        <v>73727534.8566072</v>
      </c>
      <c r="T23" s="33" t="n">
        <f aca="false">'2. The tape'!$C$17*(1+MIN(MAX($T$5,'3. Assumptions'!$B$11),'3. Assumptions'!$B$10))^INT(($A23-1)/4)/4*(1-'3. Assumptions'!$B$13)</f>
        <v>2998091.25</v>
      </c>
      <c r="U23" s="33" t="n">
        <f aca="false">(1-'3. Assumptions'!$B$15)*SUMPRODUCT((('2. The tape'!$C$5:$C$13*'2. The tape'!$D$5:$D$13*(1-'2. The tape'!$J$5:$J$13)^($A23/4)*(1+$T$5)^($A23/4)*((1-'3. Assumptions'!$B$13)/($T$6)-'2. The tape'!$H$5:$H$13/12-'3. Assumptions'!$B$16)-'2. The tape'!$C$5:$C$13*'2. The tape'!$I$5:$I$13*(1+$T$5)^($A23/4))&gt;0)*('2. The tape'!$C$5:$C$13*'2. The tape'!$D$5:$D$13*(1-'2. The tape'!$J$5:$J$13)^($A23/4)*(1+$T$5)^($A23/4)*((1-'3. Assumptions'!$B$13)/($T$6)-'2. The tape'!$H$5:$H$13/12-'3. Assumptions'!$B$16)-'2. The tape'!$C$5:$C$13*'2. The tape'!$I$5:$I$13*(1+$T$5)^($A23/4)))</f>
        <v>73702677.8678972</v>
      </c>
      <c r="V23" s="33" t="n">
        <f aca="false">'2. The tape'!$C$17*(1+MIN(MAX($V$5,'3. Assumptions'!$B$11),'3. Assumptions'!$B$10))^INT(($A23-1)/4)/4*(1-'3. Assumptions'!$B$13)</f>
        <v>2998091.25</v>
      </c>
      <c r="W23" s="33" t="n">
        <f aca="false">(1-'3. Assumptions'!$B$15)*SUMPRODUCT((('2. The tape'!$C$5:$C$13*'2. The tape'!$D$5:$D$13*(1-'2. The tape'!$J$5:$J$13)^($A23/4)*(1+$V$5)^($A23/4)*((1-'3. Assumptions'!$B$13)/($V$6)-'2. The tape'!$H$5:$H$13/12-'3. Assumptions'!$B$16)-'2. The tape'!$C$5:$C$13*'2. The tape'!$I$5:$I$13*(1+$V$5)^($A23/4))&gt;0)*('2. The tape'!$C$5:$C$13*'2. The tape'!$D$5:$D$13*(1-'2. The tape'!$J$5:$J$13)^($A23/4)*(1+$V$5)^($A23/4)*((1-'3. Assumptions'!$B$13)/($V$6)-'2. The tape'!$H$5:$H$13/12-'3. Assumptions'!$B$16)-'2. The tape'!$C$5:$C$13*'2. The tape'!$I$5:$I$13*(1+$V$5)^($A23/4)))</f>
        <v>73703676.5170128</v>
      </c>
      <c r="X23" s="33" t="n">
        <f aca="false">'2. The tape'!$C$17*(1+MIN(MAX($X$5,'3. Assumptions'!$B$11),'3. Assumptions'!$B$10))^INT(($A23-1)/4)/4*(1-'3. Assumptions'!$B$13)</f>
        <v>2998091.25</v>
      </c>
      <c r="Y23" s="33" t="n">
        <f aca="false">(1-'3. Assumptions'!$B$15)*SUMPRODUCT((('2. The tape'!$C$5:$C$13*'2. The tape'!$D$5:$D$13*(1-'2. The tape'!$J$5:$J$13)^($A23/4)*(1+$X$5)^($A23/4)*((1-'3. Assumptions'!$B$13)/($X$6)-'2. The tape'!$H$5:$H$13/12-'3. Assumptions'!$B$16)-'2. The tape'!$C$5:$C$13*'2. The tape'!$I$5:$I$13*(1+$X$5)^($A23/4))&gt;0)*('2. The tape'!$C$5:$C$13*'2. The tape'!$D$5:$D$13*(1-'2. The tape'!$J$5:$J$13)^($A23/4)*(1+$X$5)^($A23/4)*((1-'3. Assumptions'!$B$13)/($X$6)-'2. The tape'!$H$5:$H$13/12-'3. Assumptions'!$B$16)-'2. The tape'!$C$5:$C$13*'2. The tape'!$I$5:$I$13*(1+$X$5)^($A23/4)))</f>
        <v>73703675.4668676</v>
      </c>
      <c r="Z23" s="33" t="n">
        <f aca="false">'2. The tape'!$C$17*(1+MIN(MAX($Z$5,'3. Assumptions'!$B$11),'3. Assumptions'!$B$10))^INT(($A23-1)/4)/4*(1-'3. Assumptions'!$B$13)</f>
        <v>2998091.25</v>
      </c>
      <c r="AA23" s="33" t="n">
        <f aca="false">(1-'3. Assumptions'!$B$15)*SUMPRODUCT((('2. The tape'!$C$5:$C$13*'2. The tape'!$D$5:$D$13*(1-'2. The tape'!$J$5:$J$13)^($A23/4)*(1+$Z$5)^($A23/4)*((1-'3. Assumptions'!$B$13)/($Z$6)-'2. The tape'!$H$5:$H$13/12-'3. Assumptions'!$B$16)-'2. The tape'!$C$5:$C$13*'2. The tape'!$I$5:$I$13*(1+$Z$5)^($A23/4))&gt;0)*('2. The tape'!$C$5:$C$13*'2. The tape'!$D$5:$D$13*(1-'2. The tape'!$J$5:$J$13)^($A23/4)*(1+$Z$5)^($A23/4)*((1-'3. Assumptions'!$B$13)/($Z$6)-'2. The tape'!$H$5:$H$13/12-'3. Assumptions'!$B$16)-'2. The tape'!$C$5:$C$13*'2. The tape'!$I$5:$I$13*(1+$Z$5)^($A23/4)))</f>
        <v>73703675.4668213</v>
      </c>
      <c r="AB23" s="33" t="n">
        <f aca="false">'2. The tape'!$C$17*(1+MIN(MAX($AB$5,'3. Assumptions'!$B$11),'3. Assumptions'!$B$10))^INT(($A23-1)/4)/4*(1-'3. Assumptions'!$B$13)</f>
        <v>2998091.25</v>
      </c>
      <c r="AC23" s="33" t="n">
        <f aca="false">(1-'3. Assumptions'!$B$15)*SUMPRODUCT((('2. The tape'!$C$5:$C$13*'2. The tape'!$D$5:$D$13*(1-'2. The tape'!$J$5:$J$13)^($A23/4)*(1+$AB$5)^($A23/4)*((1-'3. Assumptions'!$B$13)/($AB$6)-'2. The tape'!$H$5:$H$13/12-'3. Assumptions'!$B$16)-'2. The tape'!$C$5:$C$13*'2. The tape'!$I$5:$I$13*(1+$AB$5)^($A23/4))&gt;0)*('2. The tape'!$C$5:$C$13*'2. The tape'!$D$5:$D$13*(1-'2. The tape'!$J$5:$J$13)^($A23/4)*(1+$AB$5)^($A23/4)*((1-'3. Assumptions'!$B$13)/($AB$6)-'2. The tape'!$H$5:$H$13/12-'3. Assumptions'!$B$16)-'2. The tape'!$C$5:$C$13*'2. The tape'!$I$5:$I$13*(1+$AB$5)^($A23/4)))</f>
        <v>73703675.4668213</v>
      </c>
      <c r="AD23" s="33" t="n">
        <f aca="false">'2. The tape'!$C$17*(1+MIN(MAX($AD$5,'3. Assumptions'!$B$11),'3. Assumptions'!$B$10))^INT(($A23-1)/4)/4*(1-'3. Assumptions'!$B$13)</f>
        <v>2998091.25</v>
      </c>
      <c r="AE23" s="33" t="n">
        <f aca="false">(1-'3. Assumptions'!$B$15)*SUMPRODUCT((('2. The tape'!$C$5:$C$13*'2. The tape'!$D$5:$D$13*(1-'2. The tape'!$J$5:$J$13)^($A23/4)*(1+$AD$5)^($A23/4)*((1-'3. Assumptions'!$B$13)/($AD$6)-'2. The tape'!$H$5:$H$13/12-'3. Assumptions'!$B$16)-'2. The tape'!$C$5:$C$13*'2. The tape'!$I$5:$I$13*(1+$AD$5)^($A23/4))&gt;0)*('2. The tape'!$C$5:$C$13*'2. The tape'!$D$5:$D$13*(1-'2. The tape'!$J$5:$J$13)^($A23/4)*(1+$AD$5)^($A23/4)*((1-'3. Assumptions'!$B$13)/($AD$6)-'2. The tape'!$H$5:$H$13/12-'3. Assumptions'!$B$16)-'2. The tape'!$C$5:$C$13*'2. The tape'!$I$5:$I$13*(1+$AD$5)^($A23/4)))</f>
        <v>73703675.4668213</v>
      </c>
      <c r="AF23" s="33" t="n">
        <f aca="false">'2. The tape'!$C$17*(1+MIN(MAX($AF$5,'3. Assumptions'!$B$11),'3. Assumptions'!$B$10))^INT(($A23-1)/4)/4*(1-'3. Assumptions'!$B$13)</f>
        <v>2998091.25</v>
      </c>
      <c r="AG23" s="33" t="n">
        <f aca="false">(1-'3. Assumptions'!$B$15)*SUMPRODUCT((('2. The tape'!$C$5:$C$13*'2. The tape'!$D$5:$D$13*(1-'2. The tape'!$J$5:$J$13)^($A23/4)*(1+$AF$5)^($A23/4)*((1-'3. Assumptions'!$B$13)/($AF$6)-'2. The tape'!$H$5:$H$13/12-'3. Assumptions'!$B$16)-'2. The tape'!$C$5:$C$13*'2. The tape'!$I$5:$I$13*(1+$AF$5)^($A23/4))&gt;0)*('2. The tape'!$C$5:$C$13*'2. The tape'!$D$5:$D$13*(1-'2. The tape'!$J$5:$J$13)^($A23/4)*(1+$AF$5)^($A23/4)*((1-'3. Assumptions'!$B$13)/($AF$6)-'2. The tape'!$H$5:$H$13/12-'3. Assumptions'!$B$16)-'2. The tape'!$C$5:$C$13*'2. The tape'!$I$5:$I$13*(1+$AF$5)^($A23/4)))</f>
        <v>73703675.4668213</v>
      </c>
      <c r="AH23" s="33" t="n">
        <f aca="false">'2. The tape'!$C$17*(1+MIN(MAX($AH$5,'3. Assumptions'!$B$11),'3. Assumptions'!$B$10))^INT(($A23-1)/4)/4*(1-'3. Assumptions'!$B$13)</f>
        <v>3064049.2575</v>
      </c>
      <c r="AI23" s="33" t="n">
        <f aca="false">(1-'3. Assumptions'!$B$15)*SUMPRODUCT((('2. The tape'!$C$5:$C$13*'2. The tape'!$D$5:$D$13*(1-'2. The tape'!$J$5:$J$13)^($A23/4)*(1+$AH$5)^($A23/4)*((1-'3. Assumptions'!$B$13)/($AH$6)-'2. The tape'!$H$5:$H$13/12-'3. Assumptions'!$B$16)-'2. The tape'!$C$5:$C$13*'2. The tape'!$I$5:$I$13*(1+$AH$5)^($A23/4))&gt;0)*('2. The tape'!$C$5:$C$13*'2. The tape'!$D$5:$D$13*(1-'2. The tape'!$J$5:$J$13)^($A23/4)*(1+$AH$5)^($A23/4)*((1-'3. Assumptions'!$B$13)/($AH$6)-'2. The tape'!$H$5:$H$13/12-'3. Assumptions'!$B$16)-'2. The tape'!$C$5:$C$13*'2. The tape'!$I$5:$I$13*(1+$AH$5)^($A23/4)))</f>
        <v>158220486.109088</v>
      </c>
      <c r="AJ23" s="33" t="n">
        <f aca="false">'2. The tape'!$C$17*(1+MIN(MAX($AJ$5,'3. Assumptions'!$B$11),'3. Assumptions'!$B$10))^INT(($A23-1)/4)/4*(1-'3. Assumptions'!$B$13)</f>
        <v>3064049.2575</v>
      </c>
      <c r="AK23" s="33" t="n">
        <f aca="false">(1-'3. Assumptions'!$B$15)*SUMPRODUCT((('2. The tape'!$C$5:$C$13*'2. The tape'!$D$5:$D$13*(1-'2. The tape'!$J$5:$J$13)^($A23/4)*(1+$AJ$5)^($A23/4)*((1-'3. Assumptions'!$B$13)/($AJ$6)-'2. The tape'!$H$5:$H$13/12-'3. Assumptions'!$B$16)-'2. The tape'!$C$5:$C$13*'2. The tape'!$I$5:$I$13*(1+$AJ$5)^($A23/4))&gt;0)*('2. The tape'!$C$5:$C$13*'2. The tape'!$D$5:$D$13*(1-'2. The tape'!$J$5:$J$13)^($A23/4)*(1+$AJ$5)^($A23/4)*((1-'3. Assumptions'!$B$13)/($AJ$6)-'2. The tape'!$H$5:$H$13/12-'3. Assumptions'!$B$16)-'2. The tape'!$C$5:$C$13*'2. The tape'!$I$5:$I$13*(1+$AJ$5)^($A23/4)))</f>
        <v>115045234.270646</v>
      </c>
      <c r="AL23" s="33" t="n">
        <f aca="false">'2. The tape'!$C$17*(1+MIN(MAX($AL$5,'3. Assumptions'!$B$11),'3. Assumptions'!$B$10))^INT(($A23-1)/4)/4*(1-'3. Assumptions'!$B$13)</f>
        <v>3064049.2575</v>
      </c>
      <c r="AM23" s="33" t="n">
        <f aca="false">(1-'3. Assumptions'!$B$15)*SUMPRODUCT((('2. The tape'!$C$5:$C$13*'2. The tape'!$D$5:$D$13*(1-'2. The tape'!$J$5:$J$13)^($A23/4)*(1+$AL$5)^($A23/4)*((1-'3. Assumptions'!$B$13)/($AL$6)-'2. The tape'!$H$5:$H$13/12-'3. Assumptions'!$B$16)-'2. The tape'!$C$5:$C$13*'2. The tape'!$I$5:$I$13*(1+$AL$5)^($A23/4))&gt;0)*('2. The tape'!$C$5:$C$13*'2. The tape'!$D$5:$D$13*(1-'2. The tape'!$J$5:$J$13)^($A23/4)*(1+$AL$5)^($A23/4)*((1-'3. Assumptions'!$B$13)/($AL$6)-'2. The tape'!$H$5:$H$13/12-'3. Assumptions'!$B$16)-'2. The tape'!$C$5:$C$13*'2. The tape'!$I$5:$I$13*(1+$AL$5)^($A23/4)))</f>
        <v>131790472.89616</v>
      </c>
      <c r="AN23" s="33" t="n">
        <f aca="false">'2. The tape'!$C$17*(1+MIN(MAX($AN$5,'3. Assumptions'!$B$11),'3. Assumptions'!$B$10))^INT(($A23-1)/4)/4*(1-'3. Assumptions'!$B$13)</f>
        <v>3064049.2575</v>
      </c>
      <c r="AO23" s="33" t="n">
        <f aca="false">(1-'3. Assumptions'!$B$15)*SUMPRODUCT((('2. The tape'!$C$5:$C$13*'2. The tape'!$D$5:$D$13*(1-'2. The tape'!$J$5:$J$13)^($A23/4)*(1+$AN$5)^($A23/4)*((1-'3. Assumptions'!$B$13)/($AN$6)-'2. The tape'!$H$5:$H$13/12-'3. Assumptions'!$B$16)-'2. The tape'!$C$5:$C$13*'2. The tape'!$I$5:$I$13*(1+$AN$5)^($A23/4))&gt;0)*('2. The tape'!$C$5:$C$13*'2. The tape'!$D$5:$D$13*(1-'2. The tape'!$J$5:$J$13)^($A23/4)*(1+$AN$5)^($A23/4)*((1-'3. Assumptions'!$B$13)/($AN$6)-'2. The tape'!$H$5:$H$13/12-'3. Assumptions'!$B$16)-'2. The tape'!$C$5:$C$13*'2. The tape'!$I$5:$I$13*(1+$AN$5)^($A23/4)))</f>
        <v>134925695.799058</v>
      </c>
      <c r="AP23" s="33" t="n">
        <f aca="false">'2. The tape'!$C$17*(1+MIN(MAX($AP$5,'3. Assumptions'!$B$11),'3. Assumptions'!$B$10))^INT(($A23-1)/4)/4*(1-'3. Assumptions'!$B$13)</f>
        <v>3064049.2575</v>
      </c>
      <c r="AQ23" s="33" t="n">
        <f aca="false">(1-'3. Assumptions'!$B$15)*SUMPRODUCT((('2. The tape'!$C$5:$C$13*'2. The tape'!$D$5:$D$13*(1-'2. The tape'!$J$5:$J$13)^($A23/4)*(1+$AP$5)^($A23/4)*((1-'3. Assumptions'!$B$13)/($AP$6)-'2. The tape'!$H$5:$H$13/12-'3. Assumptions'!$B$16)-'2. The tape'!$C$5:$C$13*'2. The tape'!$I$5:$I$13*(1+$AP$5)^($A23/4))&gt;0)*('2. The tape'!$C$5:$C$13*'2. The tape'!$D$5:$D$13*(1-'2. The tape'!$J$5:$J$13)^($A23/4)*(1+$AP$5)^($A23/4)*((1-'3. Assumptions'!$B$13)/($AP$6)-'2. The tape'!$H$5:$H$13/12-'3. Assumptions'!$B$16)-'2. The tape'!$C$5:$C$13*'2. The tape'!$I$5:$I$13*(1+$AP$5)^($A23/4)))</f>
        <v>134538658.96529</v>
      </c>
      <c r="AR23" s="33" t="n">
        <f aca="false">'2. The tape'!$C$17*(1+MIN(MAX($AR$5,'3. Assumptions'!$B$11),'3. Assumptions'!$B$10))^INT(($A23-1)/4)/4*(1-'3. Assumptions'!$B$13)</f>
        <v>3064049.2575</v>
      </c>
      <c r="AS23" s="33" t="n">
        <f aca="false">(1-'3. Assumptions'!$B$15)*SUMPRODUCT((('2. The tape'!$C$5:$C$13*'2. The tape'!$D$5:$D$13*(1-'2. The tape'!$J$5:$J$13)^($A23/4)*(1+$AR$5)^($A23/4)*((1-'3. Assumptions'!$B$13)/($AR$6)-'2. The tape'!$H$5:$H$13/12-'3. Assumptions'!$B$16)-'2. The tape'!$C$5:$C$13*'2. The tape'!$I$5:$I$13*(1+$AR$5)^($A23/4))&gt;0)*('2. The tape'!$C$5:$C$13*'2. The tape'!$D$5:$D$13*(1-'2. The tape'!$J$5:$J$13)^($A23/4)*(1+$AR$5)^($A23/4)*((1-'3. Assumptions'!$B$13)/($AR$6)-'2. The tape'!$H$5:$H$13/12-'3. Assumptions'!$B$16)-'2. The tape'!$C$5:$C$13*'2. The tape'!$I$5:$I$13*(1+$AR$5)^($A23/4)))</f>
        <v>134545152.888989</v>
      </c>
      <c r="AT23" s="33" t="n">
        <f aca="false">'2. The tape'!$C$17*(1+MIN(MAX($AT$5,'3. Assumptions'!$B$11),'3. Assumptions'!$B$10))^INT(($A23-1)/4)/4*(1-'3. Assumptions'!$B$13)</f>
        <v>3064049.2575</v>
      </c>
      <c r="AU23" s="33" t="n">
        <f aca="false">(1-'3. Assumptions'!$B$15)*SUMPRODUCT((('2. The tape'!$C$5:$C$13*'2. The tape'!$D$5:$D$13*(1-'2. The tape'!$J$5:$J$13)^($A23/4)*(1+$AT$5)^($A23/4)*((1-'3. Assumptions'!$B$13)/($AT$6)-'2. The tape'!$H$5:$H$13/12-'3. Assumptions'!$B$16)-'2. The tape'!$C$5:$C$13*'2. The tape'!$I$5:$I$13*(1+$AT$5)^($A23/4))&gt;0)*('2. The tape'!$C$5:$C$13*'2. The tape'!$D$5:$D$13*(1-'2. The tape'!$J$5:$J$13)^($A23/4)*(1+$AT$5)^($A23/4)*((1-'3. Assumptions'!$B$13)/($AT$6)-'2. The tape'!$H$5:$H$13/12-'3. Assumptions'!$B$16)-'2. The tape'!$C$5:$C$13*'2. The tape'!$I$5:$I$13*(1+$AT$5)^($A23/4)))</f>
        <v>134545168.011704</v>
      </c>
      <c r="AV23" s="33" t="n">
        <f aca="false">'2. The tape'!$C$17*(1+MIN(MAX($AV$5,'3. Assumptions'!$B$11),'3. Assumptions'!$B$10))^INT(($A23-1)/4)/4*(1-'3. Assumptions'!$B$13)</f>
        <v>3064049.2575</v>
      </c>
      <c r="AW23" s="33" t="n">
        <f aca="false">(1-'3. Assumptions'!$B$15)*SUMPRODUCT((('2. The tape'!$C$5:$C$13*'2. The tape'!$D$5:$D$13*(1-'2. The tape'!$J$5:$J$13)^($A23/4)*(1+$AV$5)^($A23/4)*((1-'3. Assumptions'!$B$13)/($AV$6)-'2. The tape'!$H$5:$H$13/12-'3. Assumptions'!$B$16)-'2. The tape'!$C$5:$C$13*'2. The tape'!$I$5:$I$13*(1+$AV$5)^($A23/4))&gt;0)*('2. The tape'!$C$5:$C$13*'2. The tape'!$D$5:$D$13*(1-'2. The tape'!$J$5:$J$13)^($A23/4)*(1+$AV$5)^($A23/4)*((1-'3. Assumptions'!$B$13)/($AV$6)-'2. The tape'!$H$5:$H$13/12-'3. Assumptions'!$B$16)-'2. The tape'!$C$5:$C$13*'2. The tape'!$I$5:$I$13*(1+$AV$5)^($A23/4)))</f>
        <v>134545168.011101</v>
      </c>
      <c r="AX23" s="33" t="n">
        <f aca="false">'2. The tape'!$C$17*(1+MIN(MAX($AX$5,'3. Assumptions'!$B$11),'3. Assumptions'!$B$10))^INT(($A23-1)/4)/4*(1-'3. Assumptions'!$B$13)</f>
        <v>3064049.2575</v>
      </c>
      <c r="AY23" s="33" t="n">
        <f aca="false">(1-'3. Assumptions'!$B$15)*SUMPRODUCT((('2. The tape'!$C$5:$C$13*'2. The tape'!$D$5:$D$13*(1-'2. The tape'!$J$5:$J$13)^($A23/4)*(1+$AX$5)^($A23/4)*((1-'3. Assumptions'!$B$13)/($AX$6)-'2. The tape'!$H$5:$H$13/12-'3. Assumptions'!$B$16)-'2. The tape'!$C$5:$C$13*'2. The tape'!$I$5:$I$13*(1+$AX$5)^($A23/4))&gt;0)*('2. The tape'!$C$5:$C$13*'2. The tape'!$D$5:$D$13*(1-'2. The tape'!$J$5:$J$13)^($A23/4)*(1+$AX$5)^($A23/4)*((1-'3. Assumptions'!$B$13)/($AX$6)-'2. The tape'!$H$5:$H$13/12-'3. Assumptions'!$B$16)-'2. The tape'!$C$5:$C$13*'2. The tape'!$I$5:$I$13*(1+$AX$5)^($A23/4)))</f>
        <v>134545168.011101</v>
      </c>
      <c r="AZ23" s="33" t="n">
        <f aca="false">'2. The tape'!$C$17*(1+MIN(MAX($AZ$5,'3. Assumptions'!$B$11),'3. Assumptions'!$B$10))^INT(($A23-1)/4)/4*(1-'3. Assumptions'!$B$13)</f>
        <v>3064049.2575</v>
      </c>
      <c r="BA23" s="33" t="n">
        <f aca="false">(1-'3. Assumptions'!$B$15)*SUMPRODUCT((('2. The tape'!$C$5:$C$13*'2. The tape'!$D$5:$D$13*(1-'2. The tape'!$J$5:$J$13)^($A23/4)*(1+$AZ$5)^($A23/4)*((1-'3. Assumptions'!$B$13)/($AZ$6)-'2. The tape'!$H$5:$H$13/12-'3. Assumptions'!$B$16)-'2. The tape'!$C$5:$C$13*'2. The tape'!$I$5:$I$13*(1+$AZ$5)^($A23/4))&gt;0)*('2. The tape'!$C$5:$C$13*'2. The tape'!$D$5:$D$13*(1-'2. The tape'!$J$5:$J$13)^($A23/4)*(1+$AZ$5)^($A23/4)*((1-'3. Assumptions'!$B$13)/($AZ$6)-'2. The tape'!$H$5:$H$13/12-'3. Assumptions'!$B$16)-'2. The tape'!$C$5:$C$13*'2. The tape'!$I$5:$I$13*(1+$AZ$5)^($A23/4)))</f>
        <v>134545168.011101</v>
      </c>
    </row>
    <row r="24" customFormat="false" ht="15" hidden="false" customHeight="false" outlineLevel="0" collapsed="false">
      <c r="A24" s="20" t="n">
        <v>9</v>
      </c>
      <c r="B24" s="33" t="n">
        <f aca="false">'2. The tape'!$C$17*(1+MIN(MAX($B$5,'3. Assumptions'!$B$11),'3. Assumptions'!$B$10))^INT(($A24-1)/4)/4*(1-'3. Assumptions'!$B$13)</f>
        <v>3131458.341165</v>
      </c>
      <c r="C24" s="33" t="n">
        <f aca="false">(1-'3. Assumptions'!$B$15)*SUMPRODUCT((('2. The tape'!$C$5:$C$13*'2. The tape'!$D$5:$D$13*(1-'2. The tape'!$J$5:$J$13)^($A24/4)*(1+$B$5)^($A24/4)*((1-'3. Assumptions'!$B$13)/($B$6)-'2. The tape'!$H$5:$H$13/12-'3. Assumptions'!$B$16)-'2. The tape'!$C$5:$C$13*'2. The tape'!$I$5:$I$13*(1+$B$5)^($A24/4))&gt;0)*('2. The tape'!$C$5:$C$13*'2. The tape'!$D$5:$D$13*(1-'2. The tape'!$J$5:$J$13)^($A24/4)*(1+$B$5)^($A24/4)*((1-'3. Assumptions'!$B$13)/($B$6)-'2. The tape'!$H$5:$H$13/12-'3. Assumptions'!$B$16)-'2. The tape'!$C$5:$C$13*'2. The tape'!$I$5:$I$13*(1+$B$5)^($A24/4)))</f>
        <v>81091205.439703</v>
      </c>
      <c r="D24" s="33" t="n">
        <f aca="false">'2. The tape'!$C$17*(1+MIN(MAX($D$5,'3. Assumptions'!$B$11),'3. Assumptions'!$B$10))^INT(($A24-1)/4)/4*(1-'3. Assumptions'!$B$13)</f>
        <v>3180675.007125</v>
      </c>
      <c r="E24" s="33" t="n">
        <f aca="false">(1-'3. Assumptions'!$B$15)*SUMPRODUCT((('2. The tape'!$C$5:$C$13*'2. The tape'!$D$5:$D$13*(1-'2. The tape'!$J$5:$J$13)^($A24/4)*(1+$D$5)^($A24/4)*((1-'3. Assumptions'!$B$13)/($D$6)-'2. The tape'!$H$5:$H$13/12-'3. Assumptions'!$B$16)-'2. The tape'!$C$5:$C$13*'2. The tape'!$I$5:$I$13*(1+$D$5)^($A24/4))&gt;0)*('2. The tape'!$C$5:$C$13*'2. The tape'!$D$5:$D$13*(1-'2. The tape'!$J$5:$J$13)^($A24/4)*(1+$D$5)^($A24/4)*((1-'3. Assumptions'!$B$13)/($D$6)-'2. The tape'!$H$5:$H$13/12-'3. Assumptions'!$B$16)-'2. The tape'!$C$5:$C$13*'2. The tape'!$I$5:$I$13*(1+$D$5)^($A24/4)))</f>
        <v>83430534.8707819</v>
      </c>
      <c r="F24" s="33" t="n">
        <f aca="false">'2. The tape'!$C$17*(1+MIN(MAX($F$5,'3. Assumptions'!$B$11),'3. Assumptions'!$B$10))^INT(($A24-1)/4)/4*(1-'3. Assumptions'!$B$13)</f>
        <v>3058352.884125</v>
      </c>
      <c r="G24" s="33" t="n">
        <f aca="false">(1-'3. Assumptions'!$B$15)*SUMPRODUCT((('2. The tape'!$C$5:$C$13*'2. The tape'!$D$5:$D$13*(1-'2. The tape'!$J$5:$J$13)^($A24/4)*(1+$F$5)^($A24/4)*((1-'3. Assumptions'!$B$13)/($F$6)-'2. The tape'!$H$5:$H$13/12-'3. Assumptions'!$B$16)-'2. The tape'!$C$5:$C$13*'2. The tape'!$I$5:$I$13*(1+$F$5)^($A24/4))&gt;0)*('2. The tape'!$C$5:$C$13*'2. The tape'!$D$5:$D$13*(1-'2. The tape'!$J$5:$J$13)^($A24/4)*(1+$F$5)^($A24/4)*((1-'3. Assumptions'!$B$13)/($F$6)-'2. The tape'!$H$5:$H$13/12-'3. Assumptions'!$B$16)-'2. The tape'!$C$5:$C$13*'2. The tape'!$I$5:$I$13*(1+$F$5)^($A24/4)))</f>
        <v>78964580.3723915</v>
      </c>
      <c r="H24" s="33" t="n">
        <f aca="false">'2. The tape'!$C$17*(1+MIN(MAX($H$5,'3. Assumptions'!$B$11),'3. Assumptions'!$B$10))^INT(($A24-1)/4)/4*(1-'3. Assumptions'!$B$13)</f>
        <v>3180675.007125</v>
      </c>
      <c r="I24" s="33" t="n">
        <f aca="false">(1-'3. Assumptions'!$B$15)*SUMPRODUCT((('2. The tape'!$C$5:$C$13*'2. The tape'!$D$5:$D$13*(1-'2. The tape'!$J$5:$J$13)^($A24/4)*(1+$H$5)^($A24/4)*((1-'3. Assumptions'!$B$13)/($H$6)-'2. The tape'!$H$5:$H$13/12-'3. Assumptions'!$B$16)-'2. The tape'!$C$5:$C$13*'2. The tape'!$I$5:$I$13*(1+$H$5)^($A24/4))&gt;0)*('2. The tape'!$C$5:$C$13*'2. The tape'!$D$5:$D$13*(1-'2. The tape'!$J$5:$J$13)^($A24/4)*(1+$H$5)^($A24/4)*((1-'3. Assumptions'!$B$13)/($H$6)-'2. The tape'!$H$5:$H$13/12-'3. Assumptions'!$B$16)-'2. The tape'!$C$5:$C$13*'2. The tape'!$I$5:$I$13*(1+$H$5)^($A24/4)))</f>
        <v>83430534.8707819</v>
      </c>
      <c r="J24" s="33" t="n">
        <f aca="false">'2. The tape'!$C$17*(1+MIN(MAX($J$5,'3. Assumptions'!$B$11),'3. Assumptions'!$B$10))^INT(($A24-1)/4)/4*(1-'3. Assumptions'!$B$13)</f>
        <v>3131458.341165</v>
      </c>
      <c r="K24" s="33" t="n">
        <f aca="false">(1-'3. Assumptions'!$B$15)*SUMPRODUCT((('2. The tape'!$C$5:$C$13*'2. The tape'!$D$5:$D$13*(1-'2. The tape'!$J$5:$J$13)^($A24/4)*(1+$J$5)^($A24/4)*((1-'3. Assumptions'!$B$13)/($J$6)-'2. The tape'!$H$5:$H$13/12-'3. Assumptions'!$B$16)-'2. The tape'!$C$5:$C$13*'2. The tape'!$I$5:$I$13*(1+$J$5)^($A24/4))&gt;0)*('2. The tape'!$C$5:$C$13*'2. The tape'!$D$5:$D$13*(1-'2. The tape'!$J$5:$J$13)^($A24/4)*(1+$J$5)^($A24/4)*((1-'3. Assumptions'!$B$13)/($J$6)-'2. The tape'!$H$5:$H$13/12-'3. Assumptions'!$B$16)-'2. The tape'!$C$5:$C$13*'2. The tape'!$I$5:$I$13*(1+$J$5)^($A24/4)))</f>
        <v>66983847.7235986</v>
      </c>
      <c r="L24" s="33" t="n">
        <f aca="false">'2. The tape'!$C$17*(1+MIN(MAX($L$5,'3. Assumptions'!$B$11),'3. Assumptions'!$B$10))^INT(($A24-1)/4)/4*(1-'3. Assumptions'!$B$13)</f>
        <v>3180675.007125</v>
      </c>
      <c r="M24" s="33" t="n">
        <f aca="false">(1-'3. Assumptions'!$B$15)*SUMPRODUCT((('2. The tape'!$C$5:$C$13*'2. The tape'!$D$5:$D$13*(1-'2. The tape'!$J$5:$J$13)^($A24/4)*(1+$L$5)^($A24/4)*((1-'3. Assumptions'!$B$13)/($L$6)-'2. The tape'!$H$5:$H$13/12-'3. Assumptions'!$B$16)-'2. The tape'!$C$5:$C$13*'2. The tape'!$I$5:$I$13*(1+$L$5)^($A24/4))&gt;0)*('2. The tape'!$C$5:$C$13*'2. The tape'!$D$5:$D$13*(1-'2. The tape'!$J$5:$J$13)^($A24/4)*(1+$L$5)^($A24/4)*((1-'3. Assumptions'!$B$13)/($L$6)-'2. The tape'!$H$5:$H$13/12-'3. Assumptions'!$B$16)-'2. The tape'!$C$5:$C$13*'2. The tape'!$I$5:$I$13*(1+$L$5)^($A24/4)))</f>
        <v>139341917.783327</v>
      </c>
      <c r="N24" s="33" t="n">
        <f aca="false">'2. The tape'!$C$17*(1+MIN(MAX($N$5,'3. Assumptions'!$B$11),'3. Assumptions'!$B$10))^INT(($A24-1)/4)/4*(1-'3. Assumptions'!$B$13)</f>
        <v>2998091.25</v>
      </c>
      <c r="O24" s="33" t="n">
        <f aca="false">(1-'3. Assumptions'!$B$15)*SUMPRODUCT((('2. The tape'!$C$5:$C$13*'2. The tape'!$D$5:$D$13*(1-'2. The tape'!$J$5:$J$13)^($A24/4)*(1+$N$5)^($A24/4)*((1-'3. Assumptions'!$B$13)/($N$6)-'2. The tape'!$H$5:$H$13/12-'3. Assumptions'!$B$16)-'2. The tape'!$C$5:$C$13*'2. The tape'!$I$5:$I$13*(1+$N$5)^($A24/4))&gt;0)*('2. The tape'!$C$5:$C$13*'2. The tape'!$D$5:$D$13*(1-'2. The tape'!$J$5:$J$13)^($A24/4)*(1+$N$5)^($A24/4)*((1-'3. Assumptions'!$B$13)/($N$6)-'2. The tape'!$H$5:$H$13/12-'3. Assumptions'!$B$16)-'2. The tape'!$C$5:$C$13*'2. The tape'!$I$5:$I$13*(1+$N$5)^($A24/4)))</f>
        <v>72101722.9698119</v>
      </c>
      <c r="P24" s="33" t="n">
        <f aca="false">'2. The tape'!$C$17*(1+MIN(MAX($P$5,'3. Assumptions'!$B$11),'3. Assumptions'!$B$10))^INT(($A24-1)/4)/4*(1-'3. Assumptions'!$B$13)</f>
        <v>2998091.25</v>
      </c>
      <c r="Q24" s="33" t="n">
        <f aca="false">(1-'3. Assumptions'!$B$15)*SUMPRODUCT((('2. The tape'!$C$5:$C$13*'2. The tape'!$D$5:$D$13*(1-'2. The tape'!$J$5:$J$13)^($A24/4)*(1+$P$5)^($A24/4)*((1-'3. Assumptions'!$B$13)/($P$6)-'2. The tape'!$H$5:$H$13/12-'3. Assumptions'!$B$16)-'2. The tape'!$C$5:$C$13*'2. The tape'!$I$5:$I$13*(1+$P$5)^($A24/4))&gt;0)*('2. The tape'!$C$5:$C$13*'2. The tape'!$D$5:$D$13*(1-'2. The tape'!$J$5:$J$13)^($A24/4)*(1+$P$5)^($A24/4)*((1-'3. Assumptions'!$B$13)/($P$6)-'2. The tape'!$H$5:$H$13/12-'3. Assumptions'!$B$16)-'2. The tape'!$C$5:$C$13*'2. The tape'!$I$5:$I$13*(1+$P$5)^($A24/4)))</f>
        <v>73784971.0329157</v>
      </c>
      <c r="R24" s="33" t="n">
        <f aca="false">'2. The tape'!$C$17*(1+MIN(MAX($R$5,'3. Assumptions'!$B$11),'3. Assumptions'!$B$10))^INT(($A24-1)/4)/4*(1-'3. Assumptions'!$B$13)</f>
        <v>2998091.25</v>
      </c>
      <c r="S24" s="33" t="n">
        <f aca="false">(1-'3. Assumptions'!$B$15)*SUMPRODUCT((('2. The tape'!$C$5:$C$13*'2. The tape'!$D$5:$D$13*(1-'2. The tape'!$J$5:$J$13)^($A24/4)*(1+$R$5)^($A24/4)*((1-'3. Assumptions'!$B$13)/($R$6)-'2. The tape'!$H$5:$H$13/12-'3. Assumptions'!$B$16)-'2. The tape'!$C$5:$C$13*'2. The tape'!$I$5:$I$13*(1+$R$5)^($A24/4))&gt;0)*('2. The tape'!$C$5:$C$13*'2. The tape'!$D$5:$D$13*(1-'2. The tape'!$J$5:$J$13)^($A24/4)*(1+$R$5)^($A24/4)*((1-'3. Assumptions'!$B$13)/($R$6)-'2. The tape'!$H$5:$H$13/12-'3. Assumptions'!$B$16)-'2. The tape'!$C$5:$C$13*'2. The tape'!$I$5:$I$13*(1+$R$5)^($A24/4)))</f>
        <v>72763438.4730241</v>
      </c>
      <c r="T24" s="33" t="n">
        <f aca="false">'2. The tape'!$C$17*(1+MIN(MAX($T$5,'3. Assumptions'!$B$11),'3. Assumptions'!$B$10))^INT(($A24-1)/4)/4*(1-'3. Assumptions'!$B$13)</f>
        <v>2998091.25</v>
      </c>
      <c r="U24" s="33" t="n">
        <f aca="false">(1-'3. Assumptions'!$B$15)*SUMPRODUCT((('2. The tape'!$C$5:$C$13*'2. The tape'!$D$5:$D$13*(1-'2. The tape'!$J$5:$J$13)^($A24/4)*(1+$T$5)^($A24/4)*((1-'3. Assumptions'!$B$13)/($T$6)-'2. The tape'!$H$5:$H$13/12-'3. Assumptions'!$B$16)-'2. The tape'!$C$5:$C$13*'2. The tape'!$I$5:$I$13*(1+$T$5)^($A24/4))&gt;0)*('2. The tape'!$C$5:$C$13*'2. The tape'!$D$5:$D$13*(1-'2. The tape'!$J$5:$J$13)^($A24/4)*(1+$T$5)^($A24/4)*((1-'3. Assumptions'!$B$13)/($T$6)-'2. The tape'!$H$5:$H$13/12-'3. Assumptions'!$B$16)-'2. The tape'!$C$5:$C$13*'2. The tape'!$I$5:$I$13*(1+$T$5)^($A24/4)))</f>
        <v>72735840.6143873</v>
      </c>
      <c r="V24" s="33" t="n">
        <f aca="false">'2. The tape'!$C$17*(1+MIN(MAX($V$5,'3. Assumptions'!$B$11),'3. Assumptions'!$B$10))^INT(($A24-1)/4)/4*(1-'3. Assumptions'!$B$13)</f>
        <v>2998091.25</v>
      </c>
      <c r="W24" s="33" t="n">
        <f aca="false">(1-'3. Assumptions'!$B$15)*SUMPRODUCT((('2. The tape'!$C$5:$C$13*'2. The tape'!$D$5:$D$13*(1-'2. The tape'!$J$5:$J$13)^($A24/4)*(1+$V$5)^($A24/4)*((1-'3. Assumptions'!$B$13)/($V$6)-'2. The tape'!$H$5:$H$13/12-'3. Assumptions'!$B$16)-'2. The tape'!$C$5:$C$13*'2. The tape'!$I$5:$I$13*(1+$V$5)^($A24/4))&gt;0)*('2. The tape'!$C$5:$C$13*'2. The tape'!$D$5:$D$13*(1-'2. The tape'!$J$5:$J$13)^($A24/4)*(1+$V$5)^($A24/4)*((1-'3. Assumptions'!$B$13)/($V$6)-'2. The tape'!$H$5:$H$13/12-'3. Assumptions'!$B$16)-'2. The tape'!$C$5:$C$13*'2. The tape'!$I$5:$I$13*(1+$V$5)^($A24/4)))</f>
        <v>72736949.3576831</v>
      </c>
      <c r="X24" s="33" t="n">
        <f aca="false">'2. The tape'!$C$17*(1+MIN(MAX($X$5,'3. Assumptions'!$B$11),'3. Assumptions'!$B$10))^INT(($A24-1)/4)/4*(1-'3. Assumptions'!$B$13)</f>
        <v>2998091.25</v>
      </c>
      <c r="Y24" s="33" t="n">
        <f aca="false">(1-'3. Assumptions'!$B$15)*SUMPRODUCT((('2. The tape'!$C$5:$C$13*'2. The tape'!$D$5:$D$13*(1-'2. The tape'!$J$5:$J$13)^($A24/4)*(1+$X$5)^($A24/4)*((1-'3. Assumptions'!$B$13)/($X$6)-'2. The tape'!$H$5:$H$13/12-'3. Assumptions'!$B$16)-'2. The tape'!$C$5:$C$13*'2. The tape'!$I$5:$I$13*(1+$X$5)^($A24/4))&gt;0)*('2. The tape'!$C$5:$C$13*'2. The tape'!$D$5:$D$13*(1-'2. The tape'!$J$5:$J$13)^($A24/4)*(1+$X$5)^($A24/4)*((1-'3. Assumptions'!$B$13)/($X$6)-'2. The tape'!$H$5:$H$13/12-'3. Assumptions'!$B$16)-'2. The tape'!$C$5:$C$13*'2. The tape'!$I$5:$I$13*(1+$X$5)^($A24/4)))</f>
        <v>72736948.1917657</v>
      </c>
      <c r="Z24" s="33" t="n">
        <f aca="false">'2. The tape'!$C$17*(1+MIN(MAX($Z$5,'3. Assumptions'!$B$11),'3. Assumptions'!$B$10))^INT(($A24-1)/4)/4*(1-'3. Assumptions'!$B$13)</f>
        <v>2998091.25</v>
      </c>
      <c r="AA24" s="33" t="n">
        <f aca="false">(1-'3. Assumptions'!$B$15)*SUMPRODUCT((('2. The tape'!$C$5:$C$13*'2. The tape'!$D$5:$D$13*(1-'2. The tape'!$J$5:$J$13)^($A24/4)*(1+$Z$5)^($A24/4)*((1-'3. Assumptions'!$B$13)/($Z$6)-'2. The tape'!$H$5:$H$13/12-'3. Assumptions'!$B$16)-'2. The tape'!$C$5:$C$13*'2. The tape'!$I$5:$I$13*(1+$Z$5)^($A24/4))&gt;0)*('2. The tape'!$C$5:$C$13*'2. The tape'!$D$5:$D$13*(1-'2. The tape'!$J$5:$J$13)^($A24/4)*(1+$Z$5)^($A24/4)*((1-'3. Assumptions'!$B$13)/($Z$6)-'2. The tape'!$H$5:$H$13/12-'3. Assumptions'!$B$16)-'2. The tape'!$C$5:$C$13*'2. The tape'!$I$5:$I$13*(1+$Z$5)^($A24/4)))</f>
        <v>72736948.1917143</v>
      </c>
      <c r="AB24" s="33" t="n">
        <f aca="false">'2. The tape'!$C$17*(1+MIN(MAX($AB$5,'3. Assumptions'!$B$11),'3. Assumptions'!$B$10))^INT(($A24-1)/4)/4*(1-'3. Assumptions'!$B$13)</f>
        <v>2998091.25</v>
      </c>
      <c r="AC24" s="33" t="n">
        <f aca="false">(1-'3. Assumptions'!$B$15)*SUMPRODUCT((('2. The tape'!$C$5:$C$13*'2. The tape'!$D$5:$D$13*(1-'2. The tape'!$J$5:$J$13)^($A24/4)*(1+$AB$5)^($A24/4)*((1-'3. Assumptions'!$B$13)/($AB$6)-'2. The tape'!$H$5:$H$13/12-'3. Assumptions'!$B$16)-'2. The tape'!$C$5:$C$13*'2. The tape'!$I$5:$I$13*(1+$AB$5)^($A24/4))&gt;0)*('2. The tape'!$C$5:$C$13*'2. The tape'!$D$5:$D$13*(1-'2. The tape'!$J$5:$J$13)^($A24/4)*(1+$AB$5)^($A24/4)*((1-'3. Assumptions'!$B$13)/($AB$6)-'2. The tape'!$H$5:$H$13/12-'3. Assumptions'!$B$16)-'2. The tape'!$C$5:$C$13*'2. The tape'!$I$5:$I$13*(1+$AB$5)^($A24/4)))</f>
        <v>72736948.1917143</v>
      </c>
      <c r="AD24" s="33" t="n">
        <f aca="false">'2. The tape'!$C$17*(1+MIN(MAX($AD$5,'3. Assumptions'!$B$11),'3. Assumptions'!$B$10))^INT(($A24-1)/4)/4*(1-'3. Assumptions'!$B$13)</f>
        <v>2998091.25</v>
      </c>
      <c r="AE24" s="33" t="n">
        <f aca="false">(1-'3. Assumptions'!$B$15)*SUMPRODUCT((('2. The tape'!$C$5:$C$13*'2. The tape'!$D$5:$D$13*(1-'2. The tape'!$J$5:$J$13)^($A24/4)*(1+$AD$5)^($A24/4)*((1-'3. Assumptions'!$B$13)/($AD$6)-'2. The tape'!$H$5:$H$13/12-'3. Assumptions'!$B$16)-'2. The tape'!$C$5:$C$13*'2. The tape'!$I$5:$I$13*(1+$AD$5)^($A24/4))&gt;0)*('2. The tape'!$C$5:$C$13*'2. The tape'!$D$5:$D$13*(1-'2. The tape'!$J$5:$J$13)^($A24/4)*(1+$AD$5)^($A24/4)*((1-'3. Assumptions'!$B$13)/($AD$6)-'2. The tape'!$H$5:$H$13/12-'3. Assumptions'!$B$16)-'2. The tape'!$C$5:$C$13*'2. The tape'!$I$5:$I$13*(1+$AD$5)^($A24/4)))</f>
        <v>72736948.1917143</v>
      </c>
      <c r="AF24" s="33" t="n">
        <f aca="false">'2. The tape'!$C$17*(1+MIN(MAX($AF$5,'3. Assumptions'!$B$11),'3. Assumptions'!$B$10))^INT(($A24-1)/4)/4*(1-'3. Assumptions'!$B$13)</f>
        <v>2998091.25</v>
      </c>
      <c r="AG24" s="33" t="n">
        <f aca="false">(1-'3. Assumptions'!$B$15)*SUMPRODUCT((('2. The tape'!$C$5:$C$13*'2. The tape'!$D$5:$D$13*(1-'2. The tape'!$J$5:$J$13)^($A24/4)*(1+$AF$5)^($A24/4)*((1-'3. Assumptions'!$B$13)/($AF$6)-'2. The tape'!$H$5:$H$13/12-'3. Assumptions'!$B$16)-'2. The tape'!$C$5:$C$13*'2. The tape'!$I$5:$I$13*(1+$AF$5)^($A24/4))&gt;0)*('2. The tape'!$C$5:$C$13*'2. The tape'!$D$5:$D$13*(1-'2. The tape'!$J$5:$J$13)^($A24/4)*(1+$AF$5)^($A24/4)*((1-'3. Assumptions'!$B$13)/($AF$6)-'2. The tape'!$H$5:$H$13/12-'3. Assumptions'!$B$16)-'2. The tape'!$C$5:$C$13*'2. The tape'!$I$5:$I$13*(1+$AF$5)^($A24/4)))</f>
        <v>72736948.1917143</v>
      </c>
      <c r="AH24" s="33" t="n">
        <f aca="false">'2. The tape'!$C$17*(1+MIN(MAX($AH$5,'3. Assumptions'!$B$11),'3. Assumptions'!$B$10))^INT(($A24-1)/4)/4*(1-'3. Assumptions'!$B$13)</f>
        <v>3131458.341165</v>
      </c>
      <c r="AI24" s="33" t="n">
        <f aca="false">(1-'3. Assumptions'!$B$15)*SUMPRODUCT((('2. The tape'!$C$5:$C$13*'2. The tape'!$D$5:$D$13*(1-'2. The tape'!$J$5:$J$13)^($A24/4)*(1+$AH$5)^($A24/4)*((1-'3. Assumptions'!$B$13)/($AH$6)-'2. The tape'!$H$5:$H$13/12-'3. Assumptions'!$B$16)-'2. The tape'!$C$5:$C$13*'2. The tape'!$I$5:$I$13*(1+$AH$5)^($A24/4))&gt;0)*('2. The tape'!$C$5:$C$13*'2. The tape'!$D$5:$D$13*(1-'2. The tape'!$J$5:$J$13)^($A24/4)*(1+$AH$5)^($A24/4)*((1-'3. Assumptions'!$B$13)/($AH$6)-'2. The tape'!$H$5:$H$13/12-'3. Assumptions'!$B$16)-'2. The tape'!$C$5:$C$13*'2. The tape'!$I$5:$I$13*(1+$AH$5)^($A24/4)))</f>
        <v>158117378.569633</v>
      </c>
      <c r="AJ24" s="33" t="n">
        <f aca="false">'2. The tape'!$C$17*(1+MIN(MAX($AJ$5,'3. Assumptions'!$B$11),'3. Assumptions'!$B$10))^INT(($A24-1)/4)/4*(1-'3. Assumptions'!$B$13)</f>
        <v>3131458.341165</v>
      </c>
      <c r="AK24" s="33" t="n">
        <f aca="false">(1-'3. Assumptions'!$B$15)*SUMPRODUCT((('2. The tape'!$C$5:$C$13*'2. The tape'!$D$5:$D$13*(1-'2. The tape'!$J$5:$J$13)^($A24/4)*(1+$AJ$5)^($A24/4)*((1-'3. Assumptions'!$B$13)/($AJ$6)-'2. The tape'!$H$5:$H$13/12-'3. Assumptions'!$B$16)-'2. The tape'!$C$5:$C$13*'2. The tape'!$I$5:$I$13*(1+$AJ$5)^($A24/4))&gt;0)*('2. The tape'!$C$5:$C$13*'2. The tape'!$D$5:$D$13*(1-'2. The tape'!$J$5:$J$13)^($A24/4)*(1+$AJ$5)^($A24/4)*((1-'3. Assumptions'!$B$13)/($AJ$6)-'2. The tape'!$H$5:$H$13/12-'3. Assumptions'!$B$16)-'2. The tape'!$C$5:$C$13*'2. The tape'!$I$5:$I$13*(1+$AJ$5)^($A24/4)))</f>
        <v>114948863.958354</v>
      </c>
      <c r="AL24" s="33" t="n">
        <f aca="false">'2. The tape'!$C$17*(1+MIN(MAX($AL$5,'3. Assumptions'!$B$11),'3. Assumptions'!$B$10))^INT(($A24-1)/4)/4*(1-'3. Assumptions'!$B$13)</f>
        <v>3131458.341165</v>
      </c>
      <c r="AM24" s="33" t="n">
        <f aca="false">(1-'3. Assumptions'!$B$15)*SUMPRODUCT((('2. The tape'!$C$5:$C$13*'2. The tape'!$D$5:$D$13*(1-'2. The tape'!$J$5:$J$13)^($A24/4)*(1+$AL$5)^($A24/4)*((1-'3. Assumptions'!$B$13)/($AL$6)-'2. The tape'!$H$5:$H$13/12-'3. Assumptions'!$B$16)-'2. The tape'!$C$5:$C$13*'2. The tape'!$I$5:$I$13*(1+$AL$5)^($A24/4))&gt;0)*('2. The tape'!$C$5:$C$13*'2. The tape'!$D$5:$D$13*(1-'2. The tape'!$J$5:$J$13)^($A24/4)*(1+$AL$5)^($A24/4)*((1-'3. Assumptions'!$B$13)/($AL$6)-'2. The tape'!$H$5:$H$13/12-'3. Assumptions'!$B$16)-'2. The tape'!$C$5:$C$13*'2. The tape'!$I$5:$I$13*(1+$AL$5)^($A24/4)))</f>
        <v>131691489.594442</v>
      </c>
      <c r="AN24" s="33" t="n">
        <f aca="false">'2. The tape'!$C$17*(1+MIN(MAX($AN$5,'3. Assumptions'!$B$11),'3. Assumptions'!$B$10))^INT(($A24-1)/4)/4*(1-'3. Assumptions'!$B$13)</f>
        <v>3131458.341165</v>
      </c>
      <c r="AO24" s="33" t="n">
        <f aca="false">(1-'3. Assumptions'!$B$15)*SUMPRODUCT((('2. The tape'!$C$5:$C$13*'2. The tape'!$D$5:$D$13*(1-'2. The tape'!$J$5:$J$13)^($A24/4)*(1+$AN$5)^($A24/4)*((1-'3. Assumptions'!$B$13)/($AN$6)-'2. The tape'!$H$5:$H$13/12-'3. Assumptions'!$B$16)-'2. The tape'!$C$5:$C$13*'2. The tape'!$I$5:$I$13*(1+$AN$5)^($A24/4))&gt;0)*('2. The tape'!$C$5:$C$13*'2. The tape'!$D$5:$D$13*(1-'2. The tape'!$J$5:$J$13)^($A24/4)*(1+$AN$5)^($A24/4)*((1-'3. Assumptions'!$B$13)/($AN$6)-'2. The tape'!$H$5:$H$13/12-'3. Assumptions'!$B$16)-'2. The tape'!$C$5:$C$13*'2. The tape'!$I$5:$I$13*(1+$AN$5)^($A24/4)))</f>
        <v>134826223.265476</v>
      </c>
      <c r="AP24" s="33" t="n">
        <f aca="false">'2. The tape'!$C$17*(1+MIN(MAX($AP$5,'3. Assumptions'!$B$11),'3. Assumptions'!$B$10))^INT(($A24-1)/4)/4*(1-'3. Assumptions'!$B$13)</f>
        <v>3131458.341165</v>
      </c>
      <c r="AQ24" s="33" t="n">
        <f aca="false">(1-'3. Assumptions'!$B$15)*SUMPRODUCT((('2. The tape'!$C$5:$C$13*'2. The tape'!$D$5:$D$13*(1-'2. The tape'!$J$5:$J$13)^($A24/4)*(1+$AP$5)^($A24/4)*((1-'3. Assumptions'!$B$13)/($AP$6)-'2. The tape'!$H$5:$H$13/12-'3. Assumptions'!$B$16)-'2. The tape'!$C$5:$C$13*'2. The tape'!$I$5:$I$13*(1+$AP$5)^($A24/4))&gt;0)*('2. The tape'!$C$5:$C$13*'2. The tape'!$D$5:$D$13*(1-'2. The tape'!$J$5:$J$13)^($A24/4)*(1+$AP$5)^($A24/4)*((1-'3. Assumptions'!$B$13)/($AP$6)-'2. The tape'!$H$5:$H$13/12-'3. Assumptions'!$B$16)-'2. The tape'!$C$5:$C$13*'2. The tape'!$I$5:$I$13*(1+$AP$5)^($A24/4)))</f>
        <v>134439246.826378</v>
      </c>
      <c r="AR24" s="33" t="n">
        <f aca="false">'2. The tape'!$C$17*(1+MIN(MAX($AR$5,'3. Assumptions'!$B$11),'3. Assumptions'!$B$10))^INT(($A24-1)/4)/4*(1-'3. Assumptions'!$B$13)</f>
        <v>3131458.341165</v>
      </c>
      <c r="AS24" s="33" t="n">
        <f aca="false">(1-'3. Assumptions'!$B$15)*SUMPRODUCT((('2. The tape'!$C$5:$C$13*'2. The tape'!$D$5:$D$13*(1-'2. The tape'!$J$5:$J$13)^($A24/4)*(1+$AR$5)^($A24/4)*((1-'3. Assumptions'!$B$13)/($AR$6)-'2. The tape'!$H$5:$H$13/12-'3. Assumptions'!$B$16)-'2. The tape'!$C$5:$C$13*'2. The tape'!$I$5:$I$13*(1+$AR$5)^($A24/4))&gt;0)*('2. The tape'!$C$5:$C$13*'2. The tape'!$D$5:$D$13*(1-'2. The tape'!$J$5:$J$13)^($A24/4)*(1+$AR$5)^($A24/4)*((1-'3. Assumptions'!$B$13)/($AR$6)-'2. The tape'!$H$5:$H$13/12-'3. Assumptions'!$B$16)-'2. The tape'!$C$5:$C$13*'2. The tape'!$I$5:$I$13*(1+$AR$5)^($A24/4)))</f>
        <v>134445739.736741</v>
      </c>
      <c r="AT24" s="33" t="n">
        <f aca="false">'2. The tape'!$C$17*(1+MIN(MAX($AT$5,'3. Assumptions'!$B$11),'3. Assumptions'!$B$10))^INT(($A24-1)/4)/4*(1-'3. Assumptions'!$B$13)</f>
        <v>3131458.341165</v>
      </c>
      <c r="AU24" s="33" t="n">
        <f aca="false">(1-'3. Assumptions'!$B$15)*SUMPRODUCT((('2. The tape'!$C$5:$C$13*'2. The tape'!$D$5:$D$13*(1-'2. The tape'!$J$5:$J$13)^($A24/4)*(1+$AT$5)^($A24/4)*((1-'3. Assumptions'!$B$13)/($AT$6)-'2. The tape'!$H$5:$H$13/12-'3. Assumptions'!$B$16)-'2. The tape'!$C$5:$C$13*'2. The tape'!$I$5:$I$13*(1+$AT$5)^($A24/4))&gt;0)*('2. The tape'!$C$5:$C$13*'2. The tape'!$D$5:$D$13*(1-'2. The tape'!$J$5:$J$13)^($A24/4)*(1+$AT$5)^($A24/4)*((1-'3. Assumptions'!$B$13)/($AT$6)-'2. The tape'!$H$5:$H$13/12-'3. Assumptions'!$B$16)-'2. The tape'!$C$5:$C$13*'2. The tape'!$I$5:$I$13*(1+$AT$5)^($A24/4)))</f>
        <v>134445754.857096</v>
      </c>
      <c r="AV24" s="33" t="n">
        <f aca="false">'2. The tape'!$C$17*(1+MIN(MAX($AV$5,'3. Assumptions'!$B$11),'3. Assumptions'!$B$10))^INT(($A24-1)/4)/4*(1-'3. Assumptions'!$B$13)</f>
        <v>3131458.341165</v>
      </c>
      <c r="AW24" s="33" t="n">
        <f aca="false">(1-'3. Assumptions'!$B$15)*SUMPRODUCT((('2. The tape'!$C$5:$C$13*'2. The tape'!$D$5:$D$13*(1-'2. The tape'!$J$5:$J$13)^($A24/4)*(1+$AV$5)^($A24/4)*((1-'3. Assumptions'!$B$13)/($AV$6)-'2. The tape'!$H$5:$H$13/12-'3. Assumptions'!$B$16)-'2. The tape'!$C$5:$C$13*'2. The tape'!$I$5:$I$13*(1+$AV$5)^($A24/4))&gt;0)*('2. The tape'!$C$5:$C$13*'2. The tape'!$D$5:$D$13*(1-'2. The tape'!$J$5:$J$13)^($A24/4)*(1+$AV$5)^($A24/4)*((1-'3. Assumptions'!$B$13)/($AV$6)-'2. The tape'!$H$5:$H$13/12-'3. Assumptions'!$B$16)-'2. The tape'!$C$5:$C$13*'2. The tape'!$I$5:$I$13*(1+$AV$5)^($A24/4)))</f>
        <v>134445754.856494</v>
      </c>
      <c r="AX24" s="33" t="n">
        <f aca="false">'2. The tape'!$C$17*(1+MIN(MAX($AX$5,'3. Assumptions'!$B$11),'3. Assumptions'!$B$10))^INT(($A24-1)/4)/4*(1-'3. Assumptions'!$B$13)</f>
        <v>3131458.341165</v>
      </c>
      <c r="AY24" s="33" t="n">
        <f aca="false">(1-'3. Assumptions'!$B$15)*SUMPRODUCT((('2. The tape'!$C$5:$C$13*'2. The tape'!$D$5:$D$13*(1-'2. The tape'!$J$5:$J$13)^($A24/4)*(1+$AX$5)^($A24/4)*((1-'3. Assumptions'!$B$13)/($AX$6)-'2. The tape'!$H$5:$H$13/12-'3. Assumptions'!$B$16)-'2. The tape'!$C$5:$C$13*'2. The tape'!$I$5:$I$13*(1+$AX$5)^($A24/4))&gt;0)*('2. The tape'!$C$5:$C$13*'2. The tape'!$D$5:$D$13*(1-'2. The tape'!$J$5:$J$13)^($A24/4)*(1+$AX$5)^($A24/4)*((1-'3. Assumptions'!$B$13)/($AX$6)-'2. The tape'!$H$5:$H$13/12-'3. Assumptions'!$B$16)-'2. The tape'!$C$5:$C$13*'2. The tape'!$I$5:$I$13*(1+$AX$5)^($A24/4)))</f>
        <v>134445754.856494</v>
      </c>
      <c r="AZ24" s="33" t="n">
        <f aca="false">'2. The tape'!$C$17*(1+MIN(MAX($AZ$5,'3. Assumptions'!$B$11),'3. Assumptions'!$B$10))^INT(($A24-1)/4)/4*(1-'3. Assumptions'!$B$13)</f>
        <v>3131458.341165</v>
      </c>
      <c r="BA24" s="33" t="n">
        <f aca="false">(1-'3. Assumptions'!$B$15)*SUMPRODUCT((('2. The tape'!$C$5:$C$13*'2. The tape'!$D$5:$D$13*(1-'2. The tape'!$J$5:$J$13)^($A24/4)*(1+$AZ$5)^($A24/4)*((1-'3. Assumptions'!$B$13)/($AZ$6)-'2. The tape'!$H$5:$H$13/12-'3. Assumptions'!$B$16)-'2. The tape'!$C$5:$C$13*'2. The tape'!$I$5:$I$13*(1+$AZ$5)^($A24/4))&gt;0)*('2. The tape'!$C$5:$C$13*'2. The tape'!$D$5:$D$13*(1-'2. The tape'!$J$5:$J$13)^($A24/4)*(1+$AZ$5)^($A24/4)*((1-'3. Assumptions'!$B$13)/($AZ$6)-'2. The tape'!$H$5:$H$13/12-'3. Assumptions'!$B$16)-'2. The tape'!$C$5:$C$13*'2. The tape'!$I$5:$I$13*(1+$AZ$5)^($A24/4)))</f>
        <v>134445754.856494</v>
      </c>
    </row>
    <row r="25" customFormat="false" ht="15" hidden="false" customHeight="false" outlineLevel="0" collapsed="false">
      <c r="A25" s="20" t="n">
        <v>10</v>
      </c>
      <c r="B25" s="33" t="n">
        <f aca="false">'2. The tape'!$C$17*(1+MIN(MAX($B$5,'3. Assumptions'!$B$11),'3. Assumptions'!$B$10))^INT(($A25-1)/4)/4*(1-'3. Assumptions'!$B$13)</f>
        <v>3131458.341165</v>
      </c>
      <c r="C25" s="33" t="n">
        <f aca="false">(1-'3. Assumptions'!$B$15)*SUMPRODUCT((('2. The tape'!$C$5:$C$13*'2. The tape'!$D$5:$D$13*(1-'2. The tape'!$J$5:$J$13)^($A25/4)*(1+$B$5)^($A25/4)*((1-'3. Assumptions'!$B$13)/($B$6)-'2. The tape'!$H$5:$H$13/12-'3. Assumptions'!$B$16)-'2. The tape'!$C$5:$C$13*'2. The tape'!$I$5:$I$13*(1+$B$5)^($A25/4))&gt;0)*('2. The tape'!$C$5:$C$13*'2. The tape'!$D$5:$D$13*(1-'2. The tape'!$J$5:$J$13)^($A25/4)*(1+$B$5)^($A25/4)*((1-'3. Assumptions'!$B$13)/($B$6)-'2. The tape'!$H$5:$H$13/12-'3. Assumptions'!$B$16)-'2. The tape'!$C$5:$C$13*'2. The tape'!$I$5:$I$13*(1+$B$5)^($A25/4)))</f>
        <v>80999931.923516</v>
      </c>
      <c r="D25" s="33" t="n">
        <f aca="false">'2. The tape'!$C$17*(1+MIN(MAX($D$5,'3. Assumptions'!$B$11),'3. Assumptions'!$B$10))^INT(($A25-1)/4)/4*(1-'3. Assumptions'!$B$13)</f>
        <v>3180675.007125</v>
      </c>
      <c r="E25" s="33" t="n">
        <f aca="false">(1-'3. Assumptions'!$B$15)*SUMPRODUCT((('2. The tape'!$C$5:$C$13*'2. The tape'!$D$5:$D$13*(1-'2. The tape'!$J$5:$J$13)^($A25/4)*(1+$D$5)^($A25/4)*((1-'3. Assumptions'!$B$13)/($D$6)-'2. The tape'!$H$5:$H$13/12-'3. Assumptions'!$B$16)-'2. The tape'!$C$5:$C$13*'2. The tape'!$I$5:$I$13*(1+$D$5)^($A25/4))&gt;0)*('2. The tape'!$C$5:$C$13*'2. The tape'!$D$5:$D$13*(1-'2. The tape'!$J$5:$J$13)^($A25/4)*(1+$D$5)^($A25/4)*((1-'3. Assumptions'!$B$13)/($D$6)-'2. The tape'!$H$5:$H$13/12-'3. Assumptions'!$B$16)-'2. The tape'!$C$5:$C$13*'2. The tape'!$I$5:$I$13*(1+$D$5)^($A25/4)))</f>
        <v>83600387.1918354</v>
      </c>
      <c r="F25" s="33" t="n">
        <f aca="false">'2. The tape'!$C$17*(1+MIN(MAX($F$5,'3. Assumptions'!$B$11),'3. Assumptions'!$B$10))^INT(($A25-1)/4)/4*(1-'3. Assumptions'!$B$13)</f>
        <v>3058352.884125</v>
      </c>
      <c r="G25" s="33" t="n">
        <f aca="false">(1-'3. Assumptions'!$B$15)*SUMPRODUCT((('2. The tape'!$C$5:$C$13*'2. The tape'!$D$5:$D$13*(1-'2. The tape'!$J$5:$J$13)^($A25/4)*(1+$F$5)^($A25/4)*((1-'3. Assumptions'!$B$13)/($F$6)-'2. The tape'!$H$5:$H$13/12-'3. Assumptions'!$B$16)-'2. The tape'!$C$5:$C$13*'2. The tape'!$I$5:$I$13*(1+$F$5)^($A25/4))&gt;0)*('2. The tape'!$C$5:$C$13*'2. The tape'!$D$5:$D$13*(1-'2. The tape'!$J$5:$J$13)^($A25/4)*(1+$F$5)^($A25/4)*((1-'3. Assumptions'!$B$13)/($F$6)-'2. The tape'!$H$5:$H$13/12-'3. Assumptions'!$B$16)-'2. The tape'!$C$5:$C$13*'2. The tape'!$I$5:$I$13*(1+$F$5)^($A25/4)))</f>
        <v>78643140.6346192</v>
      </c>
      <c r="H25" s="33" t="n">
        <f aca="false">'2. The tape'!$C$17*(1+MIN(MAX($H$5,'3. Assumptions'!$B$11),'3. Assumptions'!$B$10))^INT(($A25-1)/4)/4*(1-'3. Assumptions'!$B$13)</f>
        <v>3180675.007125</v>
      </c>
      <c r="I25" s="33" t="n">
        <f aca="false">(1-'3. Assumptions'!$B$15)*SUMPRODUCT((('2. The tape'!$C$5:$C$13*'2. The tape'!$D$5:$D$13*(1-'2. The tape'!$J$5:$J$13)^($A25/4)*(1+$H$5)^($A25/4)*((1-'3. Assumptions'!$B$13)/($H$6)-'2. The tape'!$H$5:$H$13/12-'3. Assumptions'!$B$16)-'2. The tape'!$C$5:$C$13*'2. The tape'!$I$5:$I$13*(1+$H$5)^($A25/4))&gt;0)*('2. The tape'!$C$5:$C$13*'2. The tape'!$D$5:$D$13*(1-'2. The tape'!$J$5:$J$13)^($A25/4)*(1+$H$5)^($A25/4)*((1-'3. Assumptions'!$B$13)/($H$6)-'2. The tape'!$H$5:$H$13/12-'3. Assumptions'!$B$16)-'2. The tape'!$C$5:$C$13*'2. The tape'!$I$5:$I$13*(1+$H$5)^($A25/4)))</f>
        <v>83600387.1918354</v>
      </c>
      <c r="J25" s="33" t="n">
        <f aca="false">'2. The tape'!$C$17*(1+MIN(MAX($J$5,'3. Assumptions'!$B$11),'3. Assumptions'!$B$10))^INT(($A25-1)/4)/4*(1-'3. Assumptions'!$B$13)</f>
        <v>3131458.341165</v>
      </c>
      <c r="K25" s="33" t="n">
        <f aca="false">(1-'3. Assumptions'!$B$15)*SUMPRODUCT((('2. The tape'!$C$5:$C$13*'2. The tape'!$D$5:$D$13*(1-'2. The tape'!$J$5:$J$13)^($A25/4)*(1+$J$5)^($A25/4)*((1-'3. Assumptions'!$B$13)/($J$6)-'2. The tape'!$H$5:$H$13/12-'3. Assumptions'!$B$16)-'2. The tape'!$C$5:$C$13*'2. The tape'!$I$5:$I$13*(1+$J$5)^($A25/4))&gt;0)*('2. The tape'!$C$5:$C$13*'2. The tape'!$D$5:$D$13*(1-'2. The tape'!$J$5:$J$13)^($A25/4)*(1+$J$5)^($A25/4)*((1-'3. Assumptions'!$B$13)/($J$6)-'2. The tape'!$H$5:$H$13/12-'3. Assumptions'!$B$16)-'2. The tape'!$C$5:$C$13*'2. The tape'!$I$5:$I$13*(1+$J$5)^($A25/4)))</f>
        <v>66894735.1424116</v>
      </c>
      <c r="L25" s="33" t="n">
        <f aca="false">'2. The tape'!$C$17*(1+MIN(MAX($L$5,'3. Assumptions'!$B$11),'3. Assumptions'!$B$10))^INT(($A25-1)/4)/4*(1-'3. Assumptions'!$B$13)</f>
        <v>3180675.007125</v>
      </c>
      <c r="M25" s="33" t="n">
        <f aca="false">(1-'3. Assumptions'!$B$15)*SUMPRODUCT((('2. The tape'!$C$5:$C$13*'2. The tape'!$D$5:$D$13*(1-'2. The tape'!$J$5:$J$13)^($A25/4)*(1+$L$5)^($A25/4)*((1-'3. Assumptions'!$B$13)/($L$6)-'2. The tape'!$H$5:$H$13/12-'3. Assumptions'!$B$16)-'2. The tape'!$C$5:$C$13*'2. The tape'!$I$5:$I$13*(1+$L$5)^($A25/4))&gt;0)*('2. The tape'!$C$5:$C$13*'2. The tape'!$D$5:$D$13*(1-'2. The tape'!$J$5:$J$13)^($A25/4)*(1+$L$5)^($A25/4)*((1-'3. Assumptions'!$B$13)/($L$6)-'2. The tape'!$H$5:$H$13/12-'3. Assumptions'!$B$16)-'2. The tape'!$C$5:$C$13*'2. The tape'!$I$5:$I$13*(1+$L$5)^($A25/4)))</f>
        <v>147814076.761354</v>
      </c>
      <c r="N25" s="33" t="n">
        <f aca="false">'2. The tape'!$C$17*(1+MIN(MAX($N$5,'3. Assumptions'!$B$11),'3. Assumptions'!$B$10))^INT(($A25-1)/4)/4*(1-'3. Assumptions'!$B$13)</f>
        <v>2998091.25</v>
      </c>
      <c r="O25" s="33" t="n">
        <f aca="false">(1-'3. Assumptions'!$B$15)*SUMPRODUCT((('2. The tape'!$C$5:$C$13*'2. The tape'!$D$5:$D$13*(1-'2. The tape'!$J$5:$J$13)^($A25/4)*(1+$N$5)^($A25/4)*((1-'3. Assumptions'!$B$13)/($N$6)-'2. The tape'!$H$5:$H$13/12-'3. Assumptions'!$B$16)-'2. The tape'!$C$5:$C$13*'2. The tape'!$I$5:$I$13*(1+$N$5)^($A25/4))&gt;0)*('2. The tape'!$C$5:$C$13*'2. The tape'!$D$5:$D$13*(1-'2. The tape'!$J$5:$J$13)^($A25/4)*(1+$N$5)^($A25/4)*((1-'3. Assumptions'!$B$13)/($N$6)-'2. The tape'!$H$5:$H$13/12-'3. Assumptions'!$B$16)-'2. The tape'!$C$5:$C$13*'2. The tape'!$I$5:$I$13*(1+$N$5)^($A25/4)))</f>
        <v>71086437.4931618</v>
      </c>
      <c r="P25" s="33" t="n">
        <f aca="false">'2. The tape'!$C$17*(1+MIN(MAX($P$5,'3. Assumptions'!$B$11),'3. Assumptions'!$B$10))^INT(($A25-1)/4)/4*(1-'3. Assumptions'!$B$13)</f>
        <v>2998091.25</v>
      </c>
      <c r="Q25" s="33" t="n">
        <f aca="false">(1-'3. Assumptions'!$B$15)*SUMPRODUCT((('2. The tape'!$C$5:$C$13*'2. The tape'!$D$5:$D$13*(1-'2. The tape'!$J$5:$J$13)^($A25/4)*(1+$P$5)^($A25/4)*((1-'3. Assumptions'!$B$13)/($P$6)-'2. The tape'!$H$5:$H$13/12-'3. Assumptions'!$B$16)-'2. The tape'!$C$5:$C$13*'2. The tape'!$I$5:$I$13*(1+$P$5)^($A25/4))&gt;0)*('2. The tape'!$C$5:$C$13*'2. The tape'!$D$5:$D$13*(1-'2. The tape'!$J$5:$J$13)^($A25/4)*(1+$P$5)^($A25/4)*((1-'3. Assumptions'!$B$13)/($P$6)-'2. The tape'!$H$5:$H$13/12-'3. Assumptions'!$B$16)-'2. The tape'!$C$5:$C$13*'2. The tape'!$I$5:$I$13*(1+$P$5)^($A25/4)))</f>
        <v>72932752.392063</v>
      </c>
      <c r="R25" s="33" t="n">
        <f aca="false">'2. The tape'!$C$17*(1+MIN(MAX($R$5,'3. Assumptions'!$B$11),'3. Assumptions'!$B$10))^INT(($A25-1)/4)/4*(1-'3. Assumptions'!$B$13)</f>
        <v>2998091.25</v>
      </c>
      <c r="S25" s="33" t="n">
        <f aca="false">(1-'3. Assumptions'!$B$15)*SUMPRODUCT((('2. The tape'!$C$5:$C$13*'2. The tape'!$D$5:$D$13*(1-'2. The tape'!$J$5:$J$13)^($A25/4)*(1+$R$5)^($A25/4)*((1-'3. Assumptions'!$B$13)/($R$6)-'2. The tape'!$H$5:$H$13/12-'3. Assumptions'!$B$16)-'2. The tape'!$C$5:$C$13*'2. The tape'!$I$5:$I$13*(1+$R$5)^($A25/4))&gt;0)*('2. The tape'!$C$5:$C$13*'2. The tape'!$D$5:$D$13*(1-'2. The tape'!$J$5:$J$13)^($A25/4)*(1+$R$5)^($A25/4)*((1-'3. Assumptions'!$B$13)/($R$6)-'2. The tape'!$H$5:$H$13/12-'3. Assumptions'!$B$16)-'2. The tape'!$C$5:$C$13*'2. The tape'!$I$5:$I$13*(1+$R$5)^($A25/4)))</f>
        <v>71811692.4109313</v>
      </c>
      <c r="T25" s="33" t="n">
        <f aca="false">'2. The tape'!$C$17*(1+MIN(MAX($T$5,'3. Assumptions'!$B$11),'3. Assumptions'!$B$10))^INT(($A25-1)/4)/4*(1-'3. Assumptions'!$B$13)</f>
        <v>2998091.25</v>
      </c>
      <c r="U25" s="33" t="n">
        <f aca="false">(1-'3. Assumptions'!$B$15)*SUMPRODUCT((('2. The tape'!$C$5:$C$13*'2. The tape'!$D$5:$D$13*(1-'2. The tape'!$J$5:$J$13)^($A25/4)*(1+$T$5)^($A25/4)*((1-'3. Assumptions'!$B$13)/($T$6)-'2. The tape'!$H$5:$H$13/12-'3. Assumptions'!$B$16)-'2. The tape'!$C$5:$C$13*'2. The tape'!$I$5:$I$13*(1+$T$5)^($A25/4))&gt;0)*('2. The tape'!$C$5:$C$13*'2. The tape'!$D$5:$D$13*(1-'2. The tape'!$J$5:$J$13)^($A25/4)*(1+$T$5)^($A25/4)*((1-'3. Assumptions'!$B$13)/($T$6)-'2. The tape'!$H$5:$H$13/12-'3. Assumptions'!$B$16)-'2. The tape'!$C$5:$C$13*'2. The tape'!$I$5:$I$13*(1+$T$5)^($A25/4)))</f>
        <v>71781429.850311</v>
      </c>
      <c r="V25" s="33" t="n">
        <f aca="false">'2. The tape'!$C$17*(1+MIN(MAX($V$5,'3. Assumptions'!$B$11),'3. Assumptions'!$B$10))^INT(($A25-1)/4)/4*(1-'3. Assumptions'!$B$13)</f>
        <v>2998091.25</v>
      </c>
      <c r="W25" s="33" t="n">
        <f aca="false">(1-'3. Assumptions'!$B$15)*SUMPRODUCT((('2. The tape'!$C$5:$C$13*'2. The tape'!$D$5:$D$13*(1-'2. The tape'!$J$5:$J$13)^($A25/4)*(1+$V$5)^($A25/4)*((1-'3. Assumptions'!$B$13)/($V$6)-'2. The tape'!$H$5:$H$13/12-'3. Assumptions'!$B$16)-'2. The tape'!$C$5:$C$13*'2. The tape'!$I$5:$I$13*(1+$V$5)^($A25/4))&gt;0)*('2. The tape'!$C$5:$C$13*'2. The tape'!$D$5:$D$13*(1-'2. The tape'!$J$5:$J$13)^($A25/4)*(1+$V$5)^($A25/4)*((1-'3. Assumptions'!$B$13)/($V$6)-'2. The tape'!$H$5:$H$13/12-'3. Assumptions'!$B$16)-'2. The tape'!$C$5:$C$13*'2. The tape'!$I$5:$I$13*(1+$V$5)^($A25/4)))</f>
        <v>71782645.6233488</v>
      </c>
      <c r="X25" s="33" t="n">
        <f aca="false">'2. The tape'!$C$17*(1+MIN(MAX($X$5,'3. Assumptions'!$B$11),'3. Assumptions'!$B$10))^INT(($A25-1)/4)/4*(1-'3. Assumptions'!$B$13)</f>
        <v>2998091.25</v>
      </c>
      <c r="Y25" s="33" t="n">
        <f aca="false">(1-'3. Assumptions'!$B$15)*SUMPRODUCT((('2. The tape'!$C$5:$C$13*'2. The tape'!$D$5:$D$13*(1-'2. The tape'!$J$5:$J$13)^($A25/4)*(1+$X$5)^($A25/4)*((1-'3. Assumptions'!$B$13)/($X$6)-'2. The tape'!$H$5:$H$13/12-'3. Assumptions'!$B$16)-'2. The tape'!$C$5:$C$13*'2. The tape'!$I$5:$I$13*(1+$X$5)^($A25/4))&gt;0)*('2. The tape'!$C$5:$C$13*'2. The tape'!$D$5:$D$13*(1-'2. The tape'!$J$5:$J$13)^($A25/4)*(1+$X$5)^($A25/4)*((1-'3. Assumptions'!$B$13)/($X$6)-'2. The tape'!$H$5:$H$13/12-'3. Assumptions'!$B$16)-'2. The tape'!$C$5:$C$13*'2. The tape'!$I$5:$I$13*(1+$X$5)^($A25/4)))</f>
        <v>71782644.3448813</v>
      </c>
      <c r="Z25" s="33" t="n">
        <f aca="false">'2. The tape'!$C$17*(1+MIN(MAX($Z$5,'3. Assumptions'!$B$11),'3. Assumptions'!$B$10))^INT(($A25-1)/4)/4*(1-'3. Assumptions'!$B$13)</f>
        <v>2998091.25</v>
      </c>
      <c r="AA25" s="33" t="n">
        <f aca="false">(1-'3. Assumptions'!$B$15)*SUMPRODUCT((('2. The tape'!$C$5:$C$13*'2. The tape'!$D$5:$D$13*(1-'2. The tape'!$J$5:$J$13)^($A25/4)*(1+$Z$5)^($A25/4)*((1-'3. Assumptions'!$B$13)/($Z$6)-'2. The tape'!$H$5:$H$13/12-'3. Assumptions'!$B$16)-'2. The tape'!$C$5:$C$13*'2. The tape'!$I$5:$I$13*(1+$Z$5)^($A25/4))&gt;0)*('2. The tape'!$C$5:$C$13*'2. The tape'!$D$5:$D$13*(1-'2. The tape'!$J$5:$J$13)^($A25/4)*(1+$Z$5)^($A25/4)*((1-'3. Assumptions'!$B$13)/($Z$6)-'2. The tape'!$H$5:$H$13/12-'3. Assumptions'!$B$16)-'2. The tape'!$C$5:$C$13*'2. The tape'!$I$5:$I$13*(1+$Z$5)^($A25/4)))</f>
        <v>71782644.344825</v>
      </c>
      <c r="AB25" s="33" t="n">
        <f aca="false">'2. The tape'!$C$17*(1+MIN(MAX($AB$5,'3. Assumptions'!$B$11),'3. Assumptions'!$B$10))^INT(($A25-1)/4)/4*(1-'3. Assumptions'!$B$13)</f>
        <v>2998091.25</v>
      </c>
      <c r="AC25" s="33" t="n">
        <f aca="false">(1-'3. Assumptions'!$B$15)*SUMPRODUCT((('2. The tape'!$C$5:$C$13*'2. The tape'!$D$5:$D$13*(1-'2. The tape'!$J$5:$J$13)^($A25/4)*(1+$AB$5)^($A25/4)*((1-'3. Assumptions'!$B$13)/($AB$6)-'2. The tape'!$H$5:$H$13/12-'3. Assumptions'!$B$16)-'2. The tape'!$C$5:$C$13*'2. The tape'!$I$5:$I$13*(1+$AB$5)^($A25/4))&gt;0)*('2. The tape'!$C$5:$C$13*'2. The tape'!$D$5:$D$13*(1-'2. The tape'!$J$5:$J$13)^($A25/4)*(1+$AB$5)^($A25/4)*((1-'3. Assumptions'!$B$13)/($AB$6)-'2. The tape'!$H$5:$H$13/12-'3. Assumptions'!$B$16)-'2. The tape'!$C$5:$C$13*'2. The tape'!$I$5:$I$13*(1+$AB$5)^($A25/4)))</f>
        <v>71782644.344825</v>
      </c>
      <c r="AD25" s="33" t="n">
        <f aca="false">'2. The tape'!$C$17*(1+MIN(MAX($AD$5,'3. Assumptions'!$B$11),'3. Assumptions'!$B$10))^INT(($A25-1)/4)/4*(1-'3. Assumptions'!$B$13)</f>
        <v>2998091.25</v>
      </c>
      <c r="AE25" s="33" t="n">
        <f aca="false">(1-'3. Assumptions'!$B$15)*SUMPRODUCT((('2. The tape'!$C$5:$C$13*'2. The tape'!$D$5:$D$13*(1-'2. The tape'!$J$5:$J$13)^($A25/4)*(1+$AD$5)^($A25/4)*((1-'3. Assumptions'!$B$13)/($AD$6)-'2. The tape'!$H$5:$H$13/12-'3. Assumptions'!$B$16)-'2. The tape'!$C$5:$C$13*'2. The tape'!$I$5:$I$13*(1+$AD$5)^($A25/4))&gt;0)*('2. The tape'!$C$5:$C$13*'2. The tape'!$D$5:$D$13*(1-'2. The tape'!$J$5:$J$13)^($A25/4)*(1+$AD$5)^($A25/4)*((1-'3. Assumptions'!$B$13)/($AD$6)-'2. The tape'!$H$5:$H$13/12-'3. Assumptions'!$B$16)-'2. The tape'!$C$5:$C$13*'2. The tape'!$I$5:$I$13*(1+$AD$5)^($A25/4)))</f>
        <v>71782644.344825</v>
      </c>
      <c r="AF25" s="33" t="n">
        <f aca="false">'2. The tape'!$C$17*(1+MIN(MAX($AF$5,'3. Assumptions'!$B$11),'3. Assumptions'!$B$10))^INT(($A25-1)/4)/4*(1-'3. Assumptions'!$B$13)</f>
        <v>2998091.25</v>
      </c>
      <c r="AG25" s="33" t="n">
        <f aca="false">(1-'3. Assumptions'!$B$15)*SUMPRODUCT((('2. The tape'!$C$5:$C$13*'2. The tape'!$D$5:$D$13*(1-'2. The tape'!$J$5:$J$13)^($A25/4)*(1+$AF$5)^($A25/4)*((1-'3. Assumptions'!$B$13)/($AF$6)-'2. The tape'!$H$5:$H$13/12-'3. Assumptions'!$B$16)-'2. The tape'!$C$5:$C$13*'2. The tape'!$I$5:$I$13*(1+$AF$5)^($A25/4))&gt;0)*('2. The tape'!$C$5:$C$13*'2. The tape'!$D$5:$D$13*(1-'2. The tape'!$J$5:$J$13)^($A25/4)*(1+$AF$5)^($A25/4)*((1-'3. Assumptions'!$B$13)/($AF$6)-'2. The tape'!$H$5:$H$13/12-'3. Assumptions'!$B$16)-'2. The tape'!$C$5:$C$13*'2. The tape'!$I$5:$I$13*(1+$AF$5)^($A25/4)))</f>
        <v>71782644.344825</v>
      </c>
      <c r="AH25" s="33" t="n">
        <f aca="false">'2. The tape'!$C$17*(1+MIN(MAX($AH$5,'3. Assumptions'!$B$11),'3. Assumptions'!$B$10))^INT(($A25-1)/4)/4*(1-'3. Assumptions'!$B$13)</f>
        <v>3131458.341165</v>
      </c>
      <c r="AI25" s="33" t="n">
        <f aca="false">(1-'3. Assumptions'!$B$15)*SUMPRODUCT((('2. The tape'!$C$5:$C$13*'2. The tape'!$D$5:$D$13*(1-'2. The tape'!$J$5:$J$13)^($A25/4)*(1+$AH$5)^($A25/4)*((1-'3. Assumptions'!$B$13)/($AH$6)-'2. The tape'!$H$5:$H$13/12-'3. Assumptions'!$B$16)-'2. The tape'!$C$5:$C$13*'2. The tape'!$I$5:$I$13*(1+$AH$5)^($A25/4))&gt;0)*('2. The tape'!$C$5:$C$13*'2. The tape'!$D$5:$D$13*(1-'2. The tape'!$J$5:$J$13)^($A25/4)*(1+$AH$5)^($A25/4)*((1-'3. Assumptions'!$B$13)/($AH$6)-'2. The tape'!$H$5:$H$13/12-'3. Assumptions'!$B$16)-'2. The tape'!$C$5:$C$13*'2. The tape'!$I$5:$I$13*(1+$AH$5)^($A25/4)))</f>
        <v>158014306.348346</v>
      </c>
      <c r="AJ25" s="33" t="n">
        <f aca="false">'2. The tape'!$C$17*(1+MIN(MAX($AJ$5,'3. Assumptions'!$B$11),'3. Assumptions'!$B$10))^INT(($A25-1)/4)/4*(1-'3. Assumptions'!$B$13)</f>
        <v>3131458.341165</v>
      </c>
      <c r="AK25" s="33" t="n">
        <f aca="false">(1-'3. Assumptions'!$B$15)*SUMPRODUCT((('2. The tape'!$C$5:$C$13*'2. The tape'!$D$5:$D$13*(1-'2. The tape'!$J$5:$J$13)^($A25/4)*(1+$AJ$5)^($A25/4)*((1-'3. Assumptions'!$B$13)/($AJ$6)-'2. The tape'!$H$5:$H$13/12-'3. Assumptions'!$B$16)-'2. The tape'!$C$5:$C$13*'2. The tape'!$I$5:$I$13*(1+$AJ$5)^($A25/4))&gt;0)*('2. The tape'!$C$5:$C$13*'2. The tape'!$D$5:$D$13*(1-'2. The tape'!$J$5:$J$13)^($A25/4)*(1+$AJ$5)^($A25/4)*((1-'3. Assumptions'!$B$13)/($AJ$6)-'2. The tape'!$H$5:$H$13/12-'3. Assumptions'!$B$16)-'2. The tape'!$C$5:$C$13*'2. The tape'!$I$5:$I$13*(1+$AJ$5)^($A25/4)))</f>
        <v>114852404.198166</v>
      </c>
      <c r="AL25" s="33" t="n">
        <f aca="false">'2. The tape'!$C$17*(1+MIN(MAX($AL$5,'3. Assumptions'!$B$11),'3. Assumptions'!$B$10))^INT(($A25-1)/4)/4*(1-'3. Assumptions'!$B$13)</f>
        <v>3131458.341165</v>
      </c>
      <c r="AM25" s="33" t="n">
        <f aca="false">(1-'3. Assumptions'!$B$15)*SUMPRODUCT((('2. The tape'!$C$5:$C$13*'2. The tape'!$D$5:$D$13*(1-'2. The tape'!$J$5:$J$13)^($A25/4)*(1+$AL$5)^($A25/4)*((1-'3. Assumptions'!$B$13)/($AL$6)-'2. The tape'!$H$5:$H$13/12-'3. Assumptions'!$B$16)-'2. The tape'!$C$5:$C$13*'2. The tape'!$I$5:$I$13*(1+$AL$5)^($A25/4))&gt;0)*('2. The tape'!$C$5:$C$13*'2. The tape'!$D$5:$D$13*(1-'2. The tape'!$J$5:$J$13)^($A25/4)*(1+$AL$5)^($A25/4)*((1-'3. Assumptions'!$B$13)/($AL$6)-'2. The tape'!$H$5:$H$13/12-'3. Assumptions'!$B$16)-'2. The tape'!$C$5:$C$13*'2. The tape'!$I$5:$I$13*(1+$AL$5)^($A25/4)))</f>
        <v>131592465.234529</v>
      </c>
      <c r="AN25" s="33" t="n">
        <f aca="false">'2. The tape'!$C$17*(1+MIN(MAX($AN$5,'3. Assumptions'!$B$11),'3. Assumptions'!$B$10))^INT(($A25-1)/4)/4*(1-'3. Assumptions'!$B$13)</f>
        <v>3131458.341165</v>
      </c>
      <c r="AO25" s="33" t="n">
        <f aca="false">(1-'3. Assumptions'!$B$15)*SUMPRODUCT((('2. The tape'!$C$5:$C$13*'2. The tape'!$D$5:$D$13*(1-'2. The tape'!$J$5:$J$13)^($A25/4)*(1+$AN$5)^($A25/4)*((1-'3. Assumptions'!$B$13)/($AN$6)-'2. The tape'!$H$5:$H$13/12-'3. Assumptions'!$B$16)-'2. The tape'!$C$5:$C$13*'2. The tape'!$I$5:$I$13*(1+$AN$5)^($A25/4))&gt;0)*('2. The tape'!$C$5:$C$13*'2. The tape'!$D$5:$D$13*(1-'2. The tape'!$J$5:$J$13)^($A25/4)*(1+$AN$5)^($A25/4)*((1-'3. Assumptions'!$B$13)/($AN$6)-'2. The tape'!$H$5:$H$13/12-'3. Assumptions'!$B$16)-'2. The tape'!$C$5:$C$13*'2. The tape'!$I$5:$I$13*(1+$AN$5)^($A25/4)))</f>
        <v>134726718.733738</v>
      </c>
      <c r="AP25" s="33" t="n">
        <f aca="false">'2. The tape'!$C$17*(1+MIN(MAX($AP$5,'3. Assumptions'!$B$11),'3. Assumptions'!$B$10))^INT(($A25-1)/4)/4*(1-'3. Assumptions'!$B$13)</f>
        <v>3131458.341165</v>
      </c>
      <c r="AQ25" s="33" t="n">
        <f aca="false">(1-'3. Assumptions'!$B$15)*SUMPRODUCT((('2. The tape'!$C$5:$C$13*'2. The tape'!$D$5:$D$13*(1-'2. The tape'!$J$5:$J$13)^($A25/4)*(1+$AP$5)^($A25/4)*((1-'3. Assumptions'!$B$13)/($AP$6)-'2. The tape'!$H$5:$H$13/12-'3. Assumptions'!$B$16)-'2. The tape'!$C$5:$C$13*'2. The tape'!$I$5:$I$13*(1+$AP$5)^($A25/4))&gt;0)*('2. The tape'!$C$5:$C$13*'2. The tape'!$D$5:$D$13*(1-'2. The tape'!$J$5:$J$13)^($A25/4)*(1+$AP$5)^($A25/4)*((1-'3. Assumptions'!$B$13)/($AP$6)-'2. The tape'!$H$5:$H$13/12-'3. Assumptions'!$B$16)-'2. The tape'!$C$5:$C$13*'2. The tape'!$I$5:$I$13*(1+$AP$5)^($A25/4)))</f>
        <v>134339801.570867</v>
      </c>
      <c r="AR25" s="33" t="n">
        <f aca="false">'2. The tape'!$C$17*(1+MIN(MAX($AR$5,'3. Assumptions'!$B$11),'3. Assumptions'!$B$10))^INT(($A25-1)/4)/4*(1-'3. Assumptions'!$B$13)</f>
        <v>3131458.341165</v>
      </c>
      <c r="AS25" s="33" t="n">
        <f aca="false">(1-'3. Assumptions'!$B$15)*SUMPRODUCT((('2. The tape'!$C$5:$C$13*'2. The tape'!$D$5:$D$13*(1-'2. The tape'!$J$5:$J$13)^($A25/4)*(1+$AR$5)^($A25/4)*((1-'3. Assumptions'!$B$13)/($AR$6)-'2. The tape'!$H$5:$H$13/12-'3. Assumptions'!$B$16)-'2. The tape'!$C$5:$C$13*'2. The tape'!$I$5:$I$13*(1+$AR$5)^($A25/4))&gt;0)*('2. The tape'!$C$5:$C$13*'2. The tape'!$D$5:$D$13*(1-'2. The tape'!$J$5:$J$13)^($A25/4)*(1+$AR$5)^($A25/4)*((1-'3. Assumptions'!$B$13)/($AR$6)-'2. The tape'!$H$5:$H$13/12-'3. Assumptions'!$B$16)-'2. The tape'!$C$5:$C$13*'2. The tape'!$I$5:$I$13*(1+$AR$5)^($A25/4)))</f>
        <v>134346293.48666</v>
      </c>
      <c r="AT25" s="33" t="n">
        <f aca="false">'2. The tape'!$C$17*(1+MIN(MAX($AT$5,'3. Assumptions'!$B$11),'3. Assumptions'!$B$10))^INT(($A25-1)/4)/4*(1-'3. Assumptions'!$B$13)</f>
        <v>3131458.341165</v>
      </c>
      <c r="AU25" s="33" t="n">
        <f aca="false">(1-'3. Assumptions'!$B$15)*SUMPRODUCT((('2. The tape'!$C$5:$C$13*'2. The tape'!$D$5:$D$13*(1-'2. The tape'!$J$5:$J$13)^($A25/4)*(1+$AT$5)^($A25/4)*((1-'3. Assumptions'!$B$13)/($AT$6)-'2. The tape'!$H$5:$H$13/12-'3. Assumptions'!$B$16)-'2. The tape'!$C$5:$C$13*'2. The tape'!$I$5:$I$13*(1+$AT$5)^($A25/4))&gt;0)*('2. The tape'!$C$5:$C$13*'2. The tape'!$D$5:$D$13*(1-'2. The tape'!$J$5:$J$13)^($A25/4)*(1+$AT$5)^($A25/4)*((1-'3. Assumptions'!$B$13)/($AT$6)-'2. The tape'!$H$5:$H$13/12-'3. Assumptions'!$B$16)-'2. The tape'!$C$5:$C$13*'2. The tape'!$I$5:$I$13*(1+$AT$5)^($A25/4)))</f>
        <v>134346308.604698</v>
      </c>
      <c r="AV25" s="33" t="n">
        <f aca="false">'2. The tape'!$C$17*(1+MIN(MAX($AV$5,'3. Assumptions'!$B$11),'3. Assumptions'!$B$10))^INT(($A25-1)/4)/4*(1-'3. Assumptions'!$B$13)</f>
        <v>3131458.341165</v>
      </c>
      <c r="AW25" s="33" t="n">
        <f aca="false">(1-'3. Assumptions'!$B$15)*SUMPRODUCT((('2. The tape'!$C$5:$C$13*'2. The tape'!$D$5:$D$13*(1-'2. The tape'!$J$5:$J$13)^($A25/4)*(1+$AV$5)^($A25/4)*((1-'3. Assumptions'!$B$13)/($AV$6)-'2. The tape'!$H$5:$H$13/12-'3. Assumptions'!$B$16)-'2. The tape'!$C$5:$C$13*'2. The tape'!$I$5:$I$13*(1+$AV$5)^($A25/4))&gt;0)*('2. The tape'!$C$5:$C$13*'2. The tape'!$D$5:$D$13*(1-'2. The tape'!$J$5:$J$13)^($A25/4)*(1+$AV$5)^($A25/4)*((1-'3. Assumptions'!$B$13)/($AV$6)-'2. The tape'!$H$5:$H$13/12-'3. Assumptions'!$B$16)-'2. The tape'!$C$5:$C$13*'2. The tape'!$I$5:$I$13*(1+$AV$5)^($A25/4)))</f>
        <v>134346308.604096</v>
      </c>
      <c r="AX25" s="33" t="n">
        <f aca="false">'2. The tape'!$C$17*(1+MIN(MAX($AX$5,'3. Assumptions'!$B$11),'3. Assumptions'!$B$10))^INT(($A25-1)/4)/4*(1-'3. Assumptions'!$B$13)</f>
        <v>3131458.341165</v>
      </c>
      <c r="AY25" s="33" t="n">
        <f aca="false">(1-'3. Assumptions'!$B$15)*SUMPRODUCT((('2. The tape'!$C$5:$C$13*'2. The tape'!$D$5:$D$13*(1-'2. The tape'!$J$5:$J$13)^($A25/4)*(1+$AX$5)^($A25/4)*((1-'3. Assumptions'!$B$13)/($AX$6)-'2. The tape'!$H$5:$H$13/12-'3. Assumptions'!$B$16)-'2. The tape'!$C$5:$C$13*'2. The tape'!$I$5:$I$13*(1+$AX$5)^($A25/4))&gt;0)*('2. The tape'!$C$5:$C$13*'2. The tape'!$D$5:$D$13*(1-'2. The tape'!$J$5:$J$13)^($A25/4)*(1+$AX$5)^($A25/4)*((1-'3. Assumptions'!$B$13)/($AX$6)-'2. The tape'!$H$5:$H$13/12-'3. Assumptions'!$B$16)-'2. The tape'!$C$5:$C$13*'2. The tape'!$I$5:$I$13*(1+$AX$5)^($A25/4)))</f>
        <v>134346308.604096</v>
      </c>
      <c r="AZ25" s="33" t="n">
        <f aca="false">'2. The tape'!$C$17*(1+MIN(MAX($AZ$5,'3. Assumptions'!$B$11),'3. Assumptions'!$B$10))^INT(($A25-1)/4)/4*(1-'3. Assumptions'!$B$13)</f>
        <v>3131458.341165</v>
      </c>
      <c r="BA25" s="33" t="n">
        <f aca="false">(1-'3. Assumptions'!$B$15)*SUMPRODUCT((('2. The tape'!$C$5:$C$13*'2. The tape'!$D$5:$D$13*(1-'2. The tape'!$J$5:$J$13)^($A25/4)*(1+$AZ$5)^($A25/4)*((1-'3. Assumptions'!$B$13)/($AZ$6)-'2. The tape'!$H$5:$H$13/12-'3. Assumptions'!$B$16)-'2. The tape'!$C$5:$C$13*'2. The tape'!$I$5:$I$13*(1+$AZ$5)^($A25/4))&gt;0)*('2. The tape'!$C$5:$C$13*'2. The tape'!$D$5:$D$13*(1-'2. The tape'!$J$5:$J$13)^($A25/4)*(1+$AZ$5)^($A25/4)*((1-'3. Assumptions'!$B$13)/($AZ$6)-'2. The tape'!$H$5:$H$13/12-'3. Assumptions'!$B$16)-'2. The tape'!$C$5:$C$13*'2. The tape'!$I$5:$I$13*(1+$AZ$5)^($A25/4)))</f>
        <v>134346308.604096</v>
      </c>
    </row>
    <row r="26" customFormat="false" ht="15" hidden="false" customHeight="false" outlineLevel="0" collapsed="false">
      <c r="A26" s="20" t="n">
        <v>11</v>
      </c>
      <c r="B26" s="33" t="n">
        <f aca="false">'2. The tape'!$C$17*(1+MIN(MAX($B$5,'3. Assumptions'!$B$11),'3. Assumptions'!$B$10))^INT(($A26-1)/4)/4*(1-'3. Assumptions'!$B$13)</f>
        <v>3131458.341165</v>
      </c>
      <c r="C26" s="33" t="n">
        <f aca="false">(1-'3. Assumptions'!$B$15)*SUMPRODUCT((('2. The tape'!$C$5:$C$13*'2. The tape'!$D$5:$D$13*(1-'2. The tape'!$J$5:$J$13)^($A26/4)*(1+$B$5)^($A26/4)*((1-'3. Assumptions'!$B$13)/($B$6)-'2. The tape'!$H$5:$H$13/12-'3. Assumptions'!$B$16)-'2. The tape'!$C$5:$C$13*'2. The tape'!$I$5:$I$13*(1+$B$5)^($A26/4))&gt;0)*('2. The tape'!$C$5:$C$13*'2. The tape'!$D$5:$D$13*(1-'2. The tape'!$J$5:$J$13)^($A26/4)*(1+$B$5)^($A26/4)*((1-'3. Assumptions'!$B$13)/($B$6)-'2. The tape'!$H$5:$H$13/12-'3. Assumptions'!$B$16)-'2. The tape'!$C$5:$C$13*'2. The tape'!$I$5:$I$13*(1+$B$5)^($A26/4)))</f>
        <v>80908468.4481768</v>
      </c>
      <c r="D26" s="33" t="n">
        <f aca="false">'2. The tape'!$C$17*(1+MIN(MAX($D$5,'3. Assumptions'!$B$11),'3. Assumptions'!$B$10))^INT(($A26-1)/4)/4*(1-'3. Assumptions'!$B$13)</f>
        <v>3180675.007125</v>
      </c>
      <c r="E26" s="33" t="n">
        <f aca="false">(1-'3. Assumptions'!$B$15)*SUMPRODUCT((('2. The tape'!$C$5:$C$13*'2. The tape'!$D$5:$D$13*(1-'2. The tape'!$J$5:$J$13)^($A26/4)*(1+$D$5)^($A26/4)*((1-'3. Assumptions'!$B$13)/($D$6)-'2. The tape'!$H$5:$H$13/12-'3. Assumptions'!$B$16)-'2. The tape'!$C$5:$C$13*'2. The tape'!$I$5:$I$13*(1+$D$5)^($A26/4))&gt;0)*('2. The tape'!$C$5:$C$13*'2. The tape'!$D$5:$D$13*(1-'2. The tape'!$J$5:$J$13)^($A26/4)*(1+$D$5)^($A26/4)*((1-'3. Assumptions'!$B$13)/($D$6)-'2. The tape'!$H$5:$H$13/12-'3. Assumptions'!$B$16)-'2. The tape'!$C$5:$C$13*'2. The tape'!$I$5:$I$13*(1+$D$5)^($A26/4)))</f>
        <v>83770282.2608825</v>
      </c>
      <c r="F26" s="33" t="n">
        <f aca="false">'2. The tape'!$C$17*(1+MIN(MAX($F$5,'3. Assumptions'!$B$11),'3. Assumptions'!$B$10))^INT(($A26-1)/4)/4*(1-'3. Assumptions'!$B$13)</f>
        <v>3058352.884125</v>
      </c>
      <c r="G26" s="33" t="n">
        <f aca="false">(1-'3. Assumptions'!$B$15)*SUMPRODUCT((('2. The tape'!$C$5:$C$13*'2. The tape'!$D$5:$D$13*(1-'2. The tape'!$J$5:$J$13)^($A26/4)*(1+$F$5)^($A26/4)*((1-'3. Assumptions'!$B$13)/($F$6)-'2. The tape'!$H$5:$H$13/12-'3. Assumptions'!$B$16)-'2. The tape'!$C$5:$C$13*'2. The tape'!$I$5:$I$13*(1+$F$5)^($A26/4))&gt;0)*('2. The tape'!$C$5:$C$13*'2. The tape'!$D$5:$D$13*(1-'2. The tape'!$J$5:$J$13)^($A26/4)*(1+$F$5)^($A26/4)*((1-'3. Assumptions'!$B$13)/($F$6)-'2. The tape'!$H$5:$H$13/12-'3. Assumptions'!$B$16)-'2. The tape'!$C$5:$C$13*'2. The tape'!$I$5:$I$13*(1+$F$5)^($A26/4)))</f>
        <v>78322726.0365906</v>
      </c>
      <c r="H26" s="33" t="n">
        <f aca="false">'2. The tape'!$C$17*(1+MIN(MAX($H$5,'3. Assumptions'!$B$11),'3. Assumptions'!$B$10))^INT(($A26-1)/4)/4*(1-'3. Assumptions'!$B$13)</f>
        <v>3180675.007125</v>
      </c>
      <c r="I26" s="33" t="n">
        <f aca="false">(1-'3. Assumptions'!$B$15)*SUMPRODUCT((('2. The tape'!$C$5:$C$13*'2. The tape'!$D$5:$D$13*(1-'2. The tape'!$J$5:$J$13)^($A26/4)*(1+$H$5)^($A26/4)*((1-'3. Assumptions'!$B$13)/($H$6)-'2. The tape'!$H$5:$H$13/12-'3. Assumptions'!$B$16)-'2. The tape'!$C$5:$C$13*'2. The tape'!$I$5:$I$13*(1+$H$5)^($A26/4))&gt;0)*('2. The tape'!$C$5:$C$13*'2. The tape'!$D$5:$D$13*(1-'2. The tape'!$J$5:$J$13)^($A26/4)*(1+$H$5)^($A26/4)*((1-'3. Assumptions'!$B$13)/($H$6)-'2. The tape'!$H$5:$H$13/12-'3. Assumptions'!$B$16)-'2. The tape'!$C$5:$C$13*'2. The tape'!$I$5:$I$13*(1+$H$5)^($A26/4)))</f>
        <v>83770282.2608825</v>
      </c>
      <c r="J26" s="33" t="n">
        <f aca="false">'2. The tape'!$C$17*(1+MIN(MAX($J$5,'3. Assumptions'!$B$11),'3. Assumptions'!$B$10))^INT(($A26-1)/4)/4*(1-'3. Assumptions'!$B$13)</f>
        <v>3131458.341165</v>
      </c>
      <c r="K26" s="33" t="n">
        <f aca="false">(1-'3. Assumptions'!$B$15)*SUMPRODUCT((('2. The tape'!$C$5:$C$13*'2. The tape'!$D$5:$D$13*(1-'2. The tape'!$J$5:$J$13)^($A26/4)*(1+$J$5)^($A26/4)*((1-'3. Assumptions'!$B$13)/($J$6)-'2. The tape'!$H$5:$H$13/12-'3. Assumptions'!$B$16)-'2. The tape'!$C$5:$C$13*'2. The tape'!$I$5:$I$13*(1+$J$5)^($A26/4))&gt;0)*('2. The tape'!$C$5:$C$13*'2. The tape'!$D$5:$D$13*(1-'2. The tape'!$J$5:$J$13)^($A26/4)*(1+$J$5)^($A26/4)*((1-'3. Assumptions'!$B$13)/($J$6)-'2. The tape'!$H$5:$H$13/12-'3. Assumptions'!$B$16)-'2. The tape'!$C$5:$C$13*'2. The tape'!$I$5:$I$13*(1+$J$5)^($A26/4)))</f>
        <v>66805391.8531419</v>
      </c>
      <c r="L26" s="33" t="n">
        <f aca="false">'2. The tape'!$C$17*(1+MIN(MAX($L$5,'3. Assumptions'!$B$11),'3. Assumptions'!$B$10))^INT(($A26-1)/4)/4*(1-'3. Assumptions'!$B$13)</f>
        <v>3180675.007125</v>
      </c>
      <c r="M26" s="33" t="n">
        <f aca="false">(1-'3. Assumptions'!$B$15)*SUMPRODUCT((('2. The tape'!$C$5:$C$13*'2. The tape'!$D$5:$D$13*(1-'2. The tape'!$J$5:$J$13)^($A26/4)*(1+$L$5)^($A26/4)*((1-'3. Assumptions'!$B$13)/($L$6)-'2. The tape'!$H$5:$H$13/12-'3. Assumptions'!$B$16)-'2. The tape'!$C$5:$C$13*'2. The tape'!$I$5:$I$13*(1+$L$5)^($A26/4))&gt;0)*('2. The tape'!$C$5:$C$13*'2. The tape'!$D$5:$D$13*(1-'2. The tape'!$J$5:$J$13)^($A26/4)*(1+$L$5)^($A26/4)*((1-'3. Assumptions'!$B$13)/($L$6)-'2. The tape'!$H$5:$H$13/12-'3. Assumptions'!$B$16)-'2. The tape'!$C$5:$C$13*'2. The tape'!$I$5:$I$13*(1+$L$5)^($A26/4)))</f>
        <v>156800786.123665</v>
      </c>
      <c r="N26" s="33" t="n">
        <f aca="false">'2. The tape'!$C$17*(1+MIN(MAX($N$5,'3. Assumptions'!$B$11),'3. Assumptions'!$B$10))^INT(($A26-1)/4)/4*(1-'3. Assumptions'!$B$13)</f>
        <v>2998091.25</v>
      </c>
      <c r="O26" s="33" t="n">
        <f aca="false">(1-'3. Assumptions'!$B$15)*SUMPRODUCT((('2. The tape'!$C$5:$C$13*'2. The tape'!$D$5:$D$13*(1-'2. The tape'!$J$5:$J$13)^($A26/4)*(1+$N$5)^($A26/4)*((1-'3. Assumptions'!$B$13)/($N$6)-'2. The tape'!$H$5:$H$13/12-'3. Assumptions'!$B$16)-'2. The tape'!$C$5:$C$13*'2. The tape'!$I$5:$I$13*(1+$N$5)^($A26/4))&gt;0)*('2. The tape'!$C$5:$C$13*'2. The tape'!$D$5:$D$13*(1-'2. The tape'!$J$5:$J$13)^($A26/4)*(1+$N$5)^($A26/4)*((1-'3. Assumptions'!$B$13)/($N$6)-'2. The tape'!$H$5:$H$13/12-'3. Assumptions'!$B$16)-'2. The tape'!$C$5:$C$13*'2. The tape'!$I$5:$I$13*(1+$N$5)^($A26/4)))</f>
        <v>70085195.0092573</v>
      </c>
      <c r="P26" s="33" t="n">
        <f aca="false">'2. The tape'!$C$17*(1+MIN(MAX($P$5,'3. Assumptions'!$B$11),'3. Assumptions'!$B$10))^INT(($A26-1)/4)/4*(1-'3. Assumptions'!$B$13)</f>
        <v>2998091.25</v>
      </c>
      <c r="Q26" s="33" t="n">
        <f aca="false">(1-'3. Assumptions'!$B$15)*SUMPRODUCT((('2. The tape'!$C$5:$C$13*'2. The tape'!$D$5:$D$13*(1-'2. The tape'!$J$5:$J$13)^($A26/4)*(1+$P$5)^($A26/4)*((1-'3. Assumptions'!$B$13)/($P$6)-'2. The tape'!$H$5:$H$13/12-'3. Assumptions'!$B$16)-'2. The tape'!$C$5:$C$13*'2. The tape'!$I$5:$I$13*(1+$P$5)^($A26/4))&gt;0)*('2. The tape'!$C$5:$C$13*'2. The tape'!$D$5:$D$13*(1-'2. The tape'!$J$5:$J$13)^($A26/4)*(1+$P$5)^($A26/4)*((1-'3. Assumptions'!$B$13)/($P$6)-'2. The tape'!$H$5:$H$13/12-'3. Assumptions'!$B$16)-'2. The tape'!$C$5:$C$13*'2. The tape'!$I$5:$I$13*(1+$P$5)^($A26/4)))</f>
        <v>72090116.1098519</v>
      </c>
      <c r="R26" s="33" t="n">
        <f aca="false">'2. The tape'!$C$17*(1+MIN(MAX($R$5,'3. Assumptions'!$B$11),'3. Assumptions'!$B$10))^INT(($A26-1)/4)/4*(1-'3. Assumptions'!$B$13)</f>
        <v>2998091.25</v>
      </c>
      <c r="S26" s="33" t="n">
        <f aca="false">(1-'3. Assumptions'!$B$15)*SUMPRODUCT((('2. The tape'!$C$5:$C$13*'2. The tape'!$D$5:$D$13*(1-'2. The tape'!$J$5:$J$13)^($A26/4)*(1+$R$5)^($A26/4)*((1-'3. Assumptions'!$B$13)/($R$6)-'2. The tape'!$H$5:$H$13/12-'3. Assumptions'!$B$16)-'2. The tape'!$C$5:$C$13*'2. The tape'!$I$5:$I$13*(1+$R$5)^($A26/4))&gt;0)*('2. The tape'!$C$5:$C$13*'2. The tape'!$D$5:$D$13*(1-'2. The tape'!$J$5:$J$13)^($A26/4)*(1+$R$5)^($A26/4)*((1-'3. Assumptions'!$B$13)/($R$6)-'2. The tape'!$H$5:$H$13/12-'3. Assumptions'!$B$16)-'2. The tape'!$C$5:$C$13*'2. The tape'!$I$5:$I$13*(1+$R$5)^($A26/4)))</f>
        <v>70872138.8048593</v>
      </c>
      <c r="T26" s="33" t="n">
        <f aca="false">'2. The tape'!$C$17*(1+MIN(MAX($T$5,'3. Assumptions'!$B$11),'3. Assumptions'!$B$10))^INT(($A26-1)/4)/4*(1-'3. Assumptions'!$B$13)</f>
        <v>2998091.25</v>
      </c>
      <c r="U26" s="33" t="n">
        <f aca="false">(1-'3. Assumptions'!$B$15)*SUMPRODUCT((('2. The tape'!$C$5:$C$13*'2. The tape'!$D$5:$D$13*(1-'2. The tape'!$J$5:$J$13)^($A26/4)*(1+$T$5)^($A26/4)*((1-'3. Assumptions'!$B$13)/($T$6)-'2. The tape'!$H$5:$H$13/12-'3. Assumptions'!$B$16)-'2. The tape'!$C$5:$C$13*'2. The tape'!$I$5:$I$13*(1+$T$5)^($A26/4))&gt;0)*('2. The tape'!$C$5:$C$13*'2. The tape'!$D$5:$D$13*(1-'2. The tape'!$J$5:$J$13)^($A26/4)*(1+$T$5)^($A26/4)*((1-'3. Assumptions'!$B$13)/($T$6)-'2. The tape'!$H$5:$H$13/12-'3. Assumptions'!$B$16)-'2. The tape'!$C$5:$C$13*'2. The tape'!$I$5:$I$13*(1+$T$5)^($A26/4)))</f>
        <v>70839286.2172117</v>
      </c>
      <c r="V26" s="33" t="n">
        <f aca="false">'2. The tape'!$C$17*(1+MIN(MAX($V$5,'3. Assumptions'!$B$11),'3. Assumptions'!$B$10))^INT(($A26-1)/4)/4*(1-'3. Assumptions'!$B$13)</f>
        <v>2998091.25</v>
      </c>
      <c r="W26" s="33" t="n">
        <f aca="false">(1-'3. Assumptions'!$B$15)*SUMPRODUCT((('2. The tape'!$C$5:$C$13*'2. The tape'!$D$5:$D$13*(1-'2. The tape'!$J$5:$J$13)^($A26/4)*(1+$V$5)^($A26/4)*((1-'3. Assumptions'!$B$13)/($V$6)-'2. The tape'!$H$5:$H$13/12-'3. Assumptions'!$B$16)-'2. The tape'!$C$5:$C$13*'2. The tape'!$I$5:$I$13*(1+$V$5)^($A26/4))&gt;0)*('2. The tape'!$C$5:$C$13*'2. The tape'!$D$5:$D$13*(1-'2. The tape'!$J$5:$J$13)^($A26/4)*(1+$V$5)^($A26/4)*((1-'3. Assumptions'!$B$13)/($V$6)-'2. The tape'!$H$5:$H$13/12-'3. Assumptions'!$B$16)-'2. The tape'!$C$5:$C$13*'2. The tape'!$I$5:$I$13*(1+$V$5)^($A26/4)))</f>
        <v>70840606.0157173</v>
      </c>
      <c r="X26" s="33" t="n">
        <f aca="false">'2. The tape'!$C$17*(1+MIN(MAX($X$5,'3. Assumptions'!$B$11),'3. Assumptions'!$B$10))^INT(($A26-1)/4)/4*(1-'3. Assumptions'!$B$13)</f>
        <v>2998091.25</v>
      </c>
      <c r="Y26" s="33" t="n">
        <f aca="false">(1-'3. Assumptions'!$B$15)*SUMPRODUCT((('2. The tape'!$C$5:$C$13*'2. The tape'!$D$5:$D$13*(1-'2. The tape'!$J$5:$J$13)^($A26/4)*(1+$X$5)^($A26/4)*((1-'3. Assumptions'!$B$13)/($X$6)-'2. The tape'!$H$5:$H$13/12-'3. Assumptions'!$B$16)-'2. The tape'!$C$5:$C$13*'2. The tape'!$I$5:$I$13*(1+$X$5)^($A26/4))&gt;0)*('2. The tape'!$C$5:$C$13*'2. The tape'!$D$5:$D$13*(1-'2. The tape'!$J$5:$J$13)^($A26/4)*(1+$X$5)^($A26/4)*((1-'3. Assumptions'!$B$13)/($X$6)-'2. The tape'!$H$5:$H$13/12-'3. Assumptions'!$B$16)-'2. The tape'!$C$5:$C$13*'2. The tape'!$I$5:$I$13*(1+$X$5)^($A26/4)))</f>
        <v>70840604.6278589</v>
      </c>
      <c r="Z26" s="33" t="n">
        <f aca="false">'2. The tape'!$C$17*(1+MIN(MAX($Z$5,'3. Assumptions'!$B$11),'3. Assumptions'!$B$10))^INT(($A26-1)/4)/4*(1-'3. Assumptions'!$B$13)</f>
        <v>2998091.25</v>
      </c>
      <c r="AA26" s="33" t="n">
        <f aca="false">(1-'3. Assumptions'!$B$15)*SUMPRODUCT((('2. The tape'!$C$5:$C$13*'2. The tape'!$D$5:$D$13*(1-'2. The tape'!$J$5:$J$13)^($A26/4)*(1+$Z$5)^($A26/4)*((1-'3. Assumptions'!$B$13)/($Z$6)-'2. The tape'!$H$5:$H$13/12-'3. Assumptions'!$B$16)-'2. The tape'!$C$5:$C$13*'2. The tape'!$I$5:$I$13*(1+$Z$5)^($A26/4))&gt;0)*('2. The tape'!$C$5:$C$13*'2. The tape'!$D$5:$D$13*(1-'2. The tape'!$J$5:$J$13)^($A26/4)*(1+$Z$5)^($A26/4)*((1-'3. Assumptions'!$B$13)/($Z$6)-'2. The tape'!$H$5:$H$13/12-'3. Assumptions'!$B$16)-'2. The tape'!$C$5:$C$13*'2. The tape'!$I$5:$I$13*(1+$Z$5)^($A26/4)))</f>
        <v>70840604.6277978</v>
      </c>
      <c r="AB26" s="33" t="n">
        <f aca="false">'2. The tape'!$C$17*(1+MIN(MAX($AB$5,'3. Assumptions'!$B$11),'3. Assumptions'!$B$10))^INT(($A26-1)/4)/4*(1-'3. Assumptions'!$B$13)</f>
        <v>2998091.25</v>
      </c>
      <c r="AC26" s="33" t="n">
        <f aca="false">(1-'3. Assumptions'!$B$15)*SUMPRODUCT((('2. The tape'!$C$5:$C$13*'2. The tape'!$D$5:$D$13*(1-'2. The tape'!$J$5:$J$13)^($A26/4)*(1+$AB$5)^($A26/4)*((1-'3. Assumptions'!$B$13)/($AB$6)-'2. The tape'!$H$5:$H$13/12-'3. Assumptions'!$B$16)-'2. The tape'!$C$5:$C$13*'2. The tape'!$I$5:$I$13*(1+$AB$5)^($A26/4))&gt;0)*('2. The tape'!$C$5:$C$13*'2. The tape'!$D$5:$D$13*(1-'2. The tape'!$J$5:$J$13)^($A26/4)*(1+$AB$5)^($A26/4)*((1-'3. Assumptions'!$B$13)/($AB$6)-'2. The tape'!$H$5:$H$13/12-'3. Assumptions'!$B$16)-'2. The tape'!$C$5:$C$13*'2. The tape'!$I$5:$I$13*(1+$AB$5)^($A26/4)))</f>
        <v>70840604.6277978</v>
      </c>
      <c r="AD26" s="33" t="n">
        <f aca="false">'2. The tape'!$C$17*(1+MIN(MAX($AD$5,'3. Assumptions'!$B$11),'3. Assumptions'!$B$10))^INT(($A26-1)/4)/4*(1-'3. Assumptions'!$B$13)</f>
        <v>2998091.25</v>
      </c>
      <c r="AE26" s="33" t="n">
        <f aca="false">(1-'3. Assumptions'!$B$15)*SUMPRODUCT((('2. The tape'!$C$5:$C$13*'2. The tape'!$D$5:$D$13*(1-'2. The tape'!$J$5:$J$13)^($A26/4)*(1+$AD$5)^($A26/4)*((1-'3. Assumptions'!$B$13)/($AD$6)-'2. The tape'!$H$5:$H$13/12-'3. Assumptions'!$B$16)-'2. The tape'!$C$5:$C$13*'2. The tape'!$I$5:$I$13*(1+$AD$5)^($A26/4))&gt;0)*('2. The tape'!$C$5:$C$13*'2. The tape'!$D$5:$D$13*(1-'2. The tape'!$J$5:$J$13)^($A26/4)*(1+$AD$5)^($A26/4)*((1-'3. Assumptions'!$B$13)/($AD$6)-'2. The tape'!$H$5:$H$13/12-'3. Assumptions'!$B$16)-'2. The tape'!$C$5:$C$13*'2. The tape'!$I$5:$I$13*(1+$AD$5)^($A26/4)))</f>
        <v>70840604.6277978</v>
      </c>
      <c r="AF26" s="33" t="n">
        <f aca="false">'2. The tape'!$C$17*(1+MIN(MAX($AF$5,'3. Assumptions'!$B$11),'3. Assumptions'!$B$10))^INT(($A26-1)/4)/4*(1-'3. Assumptions'!$B$13)</f>
        <v>2998091.25</v>
      </c>
      <c r="AG26" s="33" t="n">
        <f aca="false">(1-'3. Assumptions'!$B$15)*SUMPRODUCT((('2. The tape'!$C$5:$C$13*'2. The tape'!$D$5:$D$13*(1-'2. The tape'!$J$5:$J$13)^($A26/4)*(1+$AF$5)^($A26/4)*((1-'3. Assumptions'!$B$13)/($AF$6)-'2. The tape'!$H$5:$H$13/12-'3. Assumptions'!$B$16)-'2. The tape'!$C$5:$C$13*'2. The tape'!$I$5:$I$13*(1+$AF$5)^($A26/4))&gt;0)*('2. The tape'!$C$5:$C$13*'2. The tape'!$D$5:$D$13*(1-'2. The tape'!$J$5:$J$13)^($A26/4)*(1+$AF$5)^($A26/4)*((1-'3. Assumptions'!$B$13)/($AF$6)-'2. The tape'!$H$5:$H$13/12-'3. Assumptions'!$B$16)-'2. The tape'!$C$5:$C$13*'2. The tape'!$I$5:$I$13*(1+$AF$5)^($A26/4)))</f>
        <v>70840604.6277978</v>
      </c>
      <c r="AH26" s="33" t="n">
        <f aca="false">'2. The tape'!$C$17*(1+MIN(MAX($AH$5,'3. Assumptions'!$B$11),'3. Assumptions'!$B$10))^INT(($A26-1)/4)/4*(1-'3. Assumptions'!$B$13)</f>
        <v>3131458.341165</v>
      </c>
      <c r="AI26" s="33" t="n">
        <f aca="false">(1-'3. Assumptions'!$B$15)*SUMPRODUCT((('2. The tape'!$C$5:$C$13*'2. The tape'!$D$5:$D$13*(1-'2. The tape'!$J$5:$J$13)^($A26/4)*(1+$AH$5)^($A26/4)*((1-'3. Assumptions'!$B$13)/($AH$6)-'2. The tape'!$H$5:$H$13/12-'3. Assumptions'!$B$16)-'2. The tape'!$C$5:$C$13*'2. The tape'!$I$5:$I$13*(1+$AH$5)^($A26/4))&gt;0)*('2. The tape'!$C$5:$C$13*'2. The tape'!$D$5:$D$13*(1-'2. The tape'!$J$5:$J$13)^($A26/4)*(1+$AH$5)^($A26/4)*((1-'3. Assumptions'!$B$13)/($AH$6)-'2. The tape'!$H$5:$H$13/12-'3. Assumptions'!$B$16)-'2. The tape'!$C$5:$C$13*'2. The tape'!$I$5:$I$13*(1+$AH$5)^($A26/4)))</f>
        <v>157911266.657067</v>
      </c>
      <c r="AJ26" s="33" t="n">
        <f aca="false">'2. The tape'!$C$17*(1+MIN(MAX($AJ$5,'3. Assumptions'!$B$11),'3. Assumptions'!$B$10))^INT(($A26-1)/4)/4*(1-'3. Assumptions'!$B$13)</f>
        <v>3131458.341165</v>
      </c>
      <c r="AK26" s="33" t="n">
        <f aca="false">(1-'3. Assumptions'!$B$15)*SUMPRODUCT((('2. The tape'!$C$5:$C$13*'2. The tape'!$D$5:$D$13*(1-'2. The tape'!$J$5:$J$13)^($A26/4)*(1+$AJ$5)^($A26/4)*((1-'3. Assumptions'!$B$13)/($AJ$6)-'2. The tape'!$H$5:$H$13/12-'3. Assumptions'!$B$16)-'2. The tape'!$C$5:$C$13*'2. The tape'!$I$5:$I$13*(1+$AJ$5)^($A26/4))&gt;0)*('2. The tape'!$C$5:$C$13*'2. The tape'!$D$5:$D$13*(1-'2. The tape'!$J$5:$J$13)^($A26/4)*(1+$AJ$5)^($A26/4)*((1-'3. Assumptions'!$B$13)/($AJ$6)-'2. The tape'!$H$5:$H$13/12-'3. Assumptions'!$B$16)-'2. The tape'!$C$5:$C$13*'2. The tape'!$I$5:$I$13*(1+$AJ$5)^($A26/4)))</f>
        <v>114755852.27626</v>
      </c>
      <c r="AL26" s="33" t="n">
        <f aca="false">'2. The tape'!$C$17*(1+MIN(MAX($AL$5,'3. Assumptions'!$B$11),'3. Assumptions'!$B$10))^INT(($A26-1)/4)/4*(1-'3. Assumptions'!$B$13)</f>
        <v>3131458.341165</v>
      </c>
      <c r="AM26" s="33" t="n">
        <f aca="false">(1-'3. Assumptions'!$B$15)*SUMPRODUCT((('2. The tape'!$C$5:$C$13*'2. The tape'!$D$5:$D$13*(1-'2. The tape'!$J$5:$J$13)^($A26/4)*(1+$AL$5)^($A26/4)*((1-'3. Assumptions'!$B$13)/($AL$6)-'2. The tape'!$H$5:$H$13/12-'3. Assumptions'!$B$16)-'2. The tape'!$C$5:$C$13*'2. The tape'!$I$5:$I$13*(1+$AL$5)^($A26/4))&gt;0)*('2. The tape'!$C$5:$C$13*'2. The tape'!$D$5:$D$13*(1-'2. The tape'!$J$5:$J$13)^($A26/4)*(1+$AL$5)^($A26/4)*((1-'3. Assumptions'!$B$13)/($AL$6)-'2. The tape'!$H$5:$H$13/12-'3. Assumptions'!$B$16)-'2. The tape'!$C$5:$C$13*'2. The tape'!$I$5:$I$13*(1+$AL$5)^($A26/4)))</f>
        <v>131493397.073767</v>
      </c>
      <c r="AN26" s="33" t="n">
        <f aca="false">'2. The tape'!$C$17*(1+MIN(MAX($AN$5,'3. Assumptions'!$B$11),'3. Assumptions'!$B$10))^INT(($A26-1)/4)/4*(1-'3. Assumptions'!$B$13)</f>
        <v>3131458.341165</v>
      </c>
      <c r="AO26" s="33" t="n">
        <f aca="false">(1-'3. Assumptions'!$B$15)*SUMPRODUCT((('2. The tape'!$C$5:$C$13*'2. The tape'!$D$5:$D$13*(1-'2. The tape'!$J$5:$J$13)^($A26/4)*(1+$AN$5)^($A26/4)*((1-'3. Assumptions'!$B$13)/($AN$6)-'2. The tape'!$H$5:$H$13/12-'3. Assumptions'!$B$16)-'2. The tape'!$C$5:$C$13*'2. The tape'!$I$5:$I$13*(1+$AN$5)^($A26/4))&gt;0)*('2. The tape'!$C$5:$C$13*'2. The tape'!$D$5:$D$13*(1-'2. The tape'!$J$5:$J$13)^($A26/4)*(1+$AN$5)^($A26/4)*((1-'3. Assumptions'!$B$13)/($AN$6)-'2. The tape'!$H$5:$H$13/12-'3. Assumptions'!$B$16)-'2. The tape'!$C$5:$C$13*'2. The tape'!$I$5:$I$13*(1+$AN$5)^($A26/4)))</f>
        <v>134627179.455791</v>
      </c>
      <c r="AP26" s="33" t="n">
        <f aca="false">'2. The tape'!$C$17*(1+MIN(MAX($AP$5,'3. Assumptions'!$B$11),'3. Assumptions'!$B$10))^INT(($A26-1)/4)/4*(1-'3. Assumptions'!$B$13)</f>
        <v>3131458.341165</v>
      </c>
      <c r="AQ26" s="33" t="n">
        <f aca="false">(1-'3. Assumptions'!$B$15)*SUMPRODUCT((('2. The tape'!$C$5:$C$13*'2. The tape'!$D$5:$D$13*(1-'2. The tape'!$J$5:$J$13)^($A26/4)*(1+$AP$5)^($A26/4)*((1-'3. Assumptions'!$B$13)/($AP$6)-'2. The tape'!$H$5:$H$13/12-'3. Assumptions'!$B$16)-'2. The tape'!$C$5:$C$13*'2. The tape'!$I$5:$I$13*(1+$AP$5)^($A26/4))&gt;0)*('2. The tape'!$C$5:$C$13*'2. The tape'!$D$5:$D$13*(1-'2. The tape'!$J$5:$J$13)^($A26/4)*(1+$AP$5)^($A26/4)*((1-'3. Assumptions'!$B$13)/($AP$6)-'2. The tape'!$H$5:$H$13/12-'3. Assumptions'!$B$16)-'2. The tape'!$C$5:$C$13*'2. The tape'!$I$5:$I$13*(1+$AP$5)^($A26/4)))</f>
        <v>134240320.451369</v>
      </c>
      <c r="AR26" s="33" t="n">
        <f aca="false">'2. The tape'!$C$17*(1+MIN(MAX($AR$5,'3. Assumptions'!$B$11),'3. Assumptions'!$B$10))^INT(($A26-1)/4)/4*(1-'3. Assumptions'!$B$13)</f>
        <v>3131458.341165</v>
      </c>
      <c r="AS26" s="33" t="n">
        <f aca="false">(1-'3. Assumptions'!$B$15)*SUMPRODUCT((('2. The tape'!$C$5:$C$13*'2. The tape'!$D$5:$D$13*(1-'2. The tape'!$J$5:$J$13)^($A26/4)*(1+$AR$5)^($A26/4)*((1-'3. Assumptions'!$B$13)/($AR$6)-'2. The tape'!$H$5:$H$13/12-'3. Assumptions'!$B$16)-'2. The tape'!$C$5:$C$13*'2. The tape'!$I$5:$I$13*(1+$AR$5)^($A26/4))&gt;0)*('2. The tape'!$C$5:$C$13*'2. The tape'!$D$5:$D$13*(1-'2. The tape'!$J$5:$J$13)^($A26/4)*(1+$AR$5)^($A26/4)*((1-'3. Assumptions'!$B$13)/($AR$6)-'2. The tape'!$H$5:$H$13/12-'3. Assumptions'!$B$16)-'2. The tape'!$C$5:$C$13*'2. The tape'!$I$5:$I$13*(1+$AR$5)^($A26/4)))</f>
        <v>134246811.391346</v>
      </c>
      <c r="AT26" s="33" t="n">
        <f aca="false">'2. The tape'!$C$17*(1+MIN(MAX($AT$5,'3. Assumptions'!$B$11),'3. Assumptions'!$B$10))^INT(($A26-1)/4)/4*(1-'3. Assumptions'!$B$13)</f>
        <v>3131458.341165</v>
      </c>
      <c r="AU26" s="33" t="n">
        <f aca="false">(1-'3. Assumptions'!$B$15)*SUMPRODUCT((('2. The tape'!$C$5:$C$13*'2. The tape'!$D$5:$D$13*(1-'2. The tape'!$J$5:$J$13)^($A26/4)*(1+$AT$5)^($A26/4)*((1-'3. Assumptions'!$B$13)/($AT$6)-'2. The tape'!$H$5:$H$13/12-'3. Assumptions'!$B$16)-'2. The tape'!$C$5:$C$13*'2. The tape'!$I$5:$I$13*(1+$AT$5)^($A26/4))&gt;0)*('2. The tape'!$C$5:$C$13*'2. The tape'!$D$5:$D$13*(1-'2. The tape'!$J$5:$J$13)^($A26/4)*(1+$AT$5)^($A26/4)*((1-'3. Assumptions'!$B$13)/($AT$6)-'2. The tape'!$H$5:$H$13/12-'3. Assumptions'!$B$16)-'2. The tape'!$C$5:$C$13*'2. The tape'!$I$5:$I$13*(1+$AT$5)^($A26/4)))</f>
        <v>134246826.507113</v>
      </c>
      <c r="AV26" s="33" t="n">
        <f aca="false">'2. The tape'!$C$17*(1+MIN(MAX($AV$5,'3. Assumptions'!$B$11),'3. Assumptions'!$B$10))^INT(($A26-1)/4)/4*(1-'3. Assumptions'!$B$13)</f>
        <v>3131458.341165</v>
      </c>
      <c r="AW26" s="33" t="n">
        <f aca="false">(1-'3. Assumptions'!$B$15)*SUMPRODUCT((('2. The tape'!$C$5:$C$13*'2. The tape'!$D$5:$D$13*(1-'2. The tape'!$J$5:$J$13)^($A26/4)*(1+$AV$5)^($A26/4)*((1-'3. Assumptions'!$B$13)/($AV$6)-'2. The tape'!$H$5:$H$13/12-'3. Assumptions'!$B$16)-'2. The tape'!$C$5:$C$13*'2. The tape'!$I$5:$I$13*(1+$AV$5)^($A26/4))&gt;0)*('2. The tape'!$C$5:$C$13*'2. The tape'!$D$5:$D$13*(1-'2. The tape'!$J$5:$J$13)^($A26/4)*(1+$AV$5)^($A26/4)*((1-'3. Assumptions'!$B$13)/($AV$6)-'2. The tape'!$H$5:$H$13/12-'3. Assumptions'!$B$16)-'2. The tape'!$C$5:$C$13*'2. The tape'!$I$5:$I$13*(1+$AV$5)^($A26/4)))</f>
        <v>134246826.506511</v>
      </c>
      <c r="AX26" s="33" t="n">
        <f aca="false">'2. The tape'!$C$17*(1+MIN(MAX($AX$5,'3. Assumptions'!$B$11),'3. Assumptions'!$B$10))^INT(($A26-1)/4)/4*(1-'3. Assumptions'!$B$13)</f>
        <v>3131458.341165</v>
      </c>
      <c r="AY26" s="33" t="n">
        <f aca="false">(1-'3. Assumptions'!$B$15)*SUMPRODUCT((('2. The tape'!$C$5:$C$13*'2. The tape'!$D$5:$D$13*(1-'2. The tape'!$J$5:$J$13)^($A26/4)*(1+$AX$5)^($A26/4)*((1-'3. Assumptions'!$B$13)/($AX$6)-'2. The tape'!$H$5:$H$13/12-'3. Assumptions'!$B$16)-'2. The tape'!$C$5:$C$13*'2. The tape'!$I$5:$I$13*(1+$AX$5)^($A26/4))&gt;0)*('2. The tape'!$C$5:$C$13*'2. The tape'!$D$5:$D$13*(1-'2. The tape'!$J$5:$J$13)^($A26/4)*(1+$AX$5)^($A26/4)*((1-'3. Assumptions'!$B$13)/($AX$6)-'2. The tape'!$H$5:$H$13/12-'3. Assumptions'!$B$16)-'2. The tape'!$C$5:$C$13*'2. The tape'!$I$5:$I$13*(1+$AX$5)^($A26/4)))</f>
        <v>134246826.506511</v>
      </c>
      <c r="AZ26" s="33" t="n">
        <f aca="false">'2. The tape'!$C$17*(1+MIN(MAX($AZ$5,'3. Assumptions'!$B$11),'3. Assumptions'!$B$10))^INT(($A26-1)/4)/4*(1-'3. Assumptions'!$B$13)</f>
        <v>3131458.341165</v>
      </c>
      <c r="BA26" s="33" t="n">
        <f aca="false">(1-'3. Assumptions'!$B$15)*SUMPRODUCT((('2. The tape'!$C$5:$C$13*'2. The tape'!$D$5:$D$13*(1-'2. The tape'!$J$5:$J$13)^($A26/4)*(1+$AZ$5)^($A26/4)*((1-'3. Assumptions'!$B$13)/($AZ$6)-'2. The tape'!$H$5:$H$13/12-'3. Assumptions'!$B$16)-'2. The tape'!$C$5:$C$13*'2. The tape'!$I$5:$I$13*(1+$AZ$5)^($A26/4))&gt;0)*('2. The tape'!$C$5:$C$13*'2. The tape'!$D$5:$D$13*(1-'2. The tape'!$J$5:$J$13)^($A26/4)*(1+$AZ$5)^($A26/4)*((1-'3. Assumptions'!$B$13)/($AZ$6)-'2. The tape'!$H$5:$H$13/12-'3. Assumptions'!$B$16)-'2. The tape'!$C$5:$C$13*'2. The tape'!$I$5:$I$13*(1+$AZ$5)^($A26/4)))</f>
        <v>134246826.506511</v>
      </c>
    </row>
    <row r="27" customFormat="false" ht="15" hidden="false" customHeight="false" outlineLevel="0" collapsed="false">
      <c r="A27" s="20" t="n">
        <v>12</v>
      </c>
      <c r="B27" s="33" t="n">
        <f aca="false">'2. The tape'!$C$17*(1+MIN(MAX($B$5,'3. Assumptions'!$B$11),'3. Assumptions'!$B$10))^INT(($A27-1)/4)/4*(1-'3. Assumptions'!$B$13)</f>
        <v>3131458.341165</v>
      </c>
      <c r="C27" s="33" t="n">
        <f aca="false">(1-'3. Assumptions'!$B$15)*SUMPRODUCT((('2. The tape'!$C$5:$C$13*'2. The tape'!$D$5:$D$13*(1-'2. The tape'!$J$5:$J$13)^($A27/4)*(1+$B$5)^($A27/4)*((1-'3. Assumptions'!$B$13)/($B$6)-'2. The tape'!$H$5:$H$13/12-'3. Assumptions'!$B$16)-'2. The tape'!$C$5:$C$13*'2. The tape'!$I$5:$I$13*(1+$B$5)^($A27/4))&gt;0)*('2. The tape'!$C$5:$C$13*'2. The tape'!$D$5:$D$13*(1-'2. The tape'!$J$5:$J$13)^($A27/4)*(1+$B$5)^($A27/4)*((1-'3. Assumptions'!$B$13)/($B$6)-'2. The tape'!$H$5:$H$13/12-'3. Assumptions'!$B$16)-'2. The tape'!$C$5:$C$13*'2. The tape'!$I$5:$I$13*(1+$B$5)^($A27/4)))</f>
        <v>80816812.3454128</v>
      </c>
      <c r="D27" s="33" t="n">
        <f aca="false">'2. The tape'!$C$17*(1+MIN(MAX($D$5,'3. Assumptions'!$B$11),'3. Assumptions'!$B$10))^INT(($A27-1)/4)/4*(1-'3. Assumptions'!$B$13)</f>
        <v>3180675.007125</v>
      </c>
      <c r="E27" s="33" t="n">
        <f aca="false">(1-'3. Assumptions'!$B$15)*SUMPRODUCT((('2. The tape'!$C$5:$C$13*'2. The tape'!$D$5:$D$13*(1-'2. The tape'!$J$5:$J$13)^($A27/4)*(1+$D$5)^($A27/4)*((1-'3. Assumptions'!$B$13)/($D$6)-'2. The tape'!$H$5:$H$13/12-'3. Assumptions'!$B$16)-'2. The tape'!$C$5:$C$13*'2. The tape'!$I$5:$I$13*(1+$D$5)^($A27/4))&gt;0)*('2. The tape'!$C$5:$C$13*'2. The tape'!$D$5:$D$13*(1-'2. The tape'!$J$5:$J$13)^($A27/4)*(1+$D$5)^($A27/4)*((1-'3. Assumptions'!$B$13)/($D$6)-'2. The tape'!$H$5:$H$13/12-'3. Assumptions'!$B$16)-'2. The tape'!$C$5:$C$13*'2. The tape'!$I$5:$I$13*(1+$D$5)^($A27/4)))</f>
        <v>83940215.2532084</v>
      </c>
      <c r="F27" s="33" t="n">
        <f aca="false">'2. The tape'!$C$17*(1+MIN(MAX($F$5,'3. Assumptions'!$B$11),'3. Assumptions'!$B$10))^INT(($A27-1)/4)/4*(1-'3. Assumptions'!$B$13)</f>
        <v>3058352.884125</v>
      </c>
      <c r="G27" s="33" t="n">
        <f aca="false">(1-'3. Assumptions'!$B$15)*SUMPRODUCT((('2. The tape'!$C$5:$C$13*'2. The tape'!$D$5:$D$13*(1-'2. The tape'!$J$5:$J$13)^($A27/4)*(1+$F$5)^($A27/4)*((1-'3. Assumptions'!$B$13)/($F$6)-'2. The tape'!$H$5:$H$13/12-'3. Assumptions'!$B$16)-'2. The tape'!$C$5:$C$13*'2. The tape'!$I$5:$I$13*(1+$F$5)^($A27/4))&gt;0)*('2. The tape'!$C$5:$C$13*'2. The tape'!$D$5:$D$13*(1-'2. The tape'!$J$5:$J$13)^($A27/4)*(1+$F$5)^($A27/4)*((1-'3. Assumptions'!$B$13)/($F$6)-'2. The tape'!$H$5:$H$13/12-'3. Assumptions'!$B$16)-'2. The tape'!$C$5:$C$13*'2. The tape'!$I$5:$I$13*(1+$F$5)^($A27/4)))</f>
        <v>78003331.2943529</v>
      </c>
      <c r="H27" s="33" t="n">
        <f aca="false">'2. The tape'!$C$17*(1+MIN(MAX($H$5,'3. Assumptions'!$B$11),'3. Assumptions'!$B$10))^INT(($A27-1)/4)/4*(1-'3. Assumptions'!$B$13)</f>
        <v>3180675.007125</v>
      </c>
      <c r="I27" s="33" t="n">
        <f aca="false">(1-'3. Assumptions'!$B$15)*SUMPRODUCT((('2. The tape'!$C$5:$C$13*'2. The tape'!$D$5:$D$13*(1-'2. The tape'!$J$5:$J$13)^($A27/4)*(1+$H$5)^($A27/4)*((1-'3. Assumptions'!$B$13)/($H$6)-'2. The tape'!$H$5:$H$13/12-'3. Assumptions'!$B$16)-'2. The tape'!$C$5:$C$13*'2. The tape'!$I$5:$I$13*(1+$H$5)^($A27/4))&gt;0)*('2. The tape'!$C$5:$C$13*'2. The tape'!$D$5:$D$13*(1-'2. The tape'!$J$5:$J$13)^($A27/4)*(1+$H$5)^($A27/4)*((1-'3. Assumptions'!$B$13)/($H$6)-'2. The tape'!$H$5:$H$13/12-'3. Assumptions'!$B$16)-'2. The tape'!$C$5:$C$13*'2. The tape'!$I$5:$I$13*(1+$H$5)^($A27/4)))</f>
        <v>83940215.2532084</v>
      </c>
      <c r="J27" s="33" t="n">
        <f aca="false">'2. The tape'!$C$17*(1+MIN(MAX($J$5,'3. Assumptions'!$B$11),'3. Assumptions'!$B$10))^INT(($A27-1)/4)/4*(1-'3. Assumptions'!$B$13)</f>
        <v>3131458.341165</v>
      </c>
      <c r="K27" s="33" t="n">
        <f aca="false">(1-'3. Assumptions'!$B$15)*SUMPRODUCT((('2. The tape'!$C$5:$C$13*'2. The tape'!$D$5:$D$13*(1-'2. The tape'!$J$5:$J$13)^($A27/4)*(1+$J$5)^($A27/4)*((1-'3. Assumptions'!$B$13)/($J$6)-'2. The tape'!$H$5:$H$13/12-'3. Assumptions'!$B$16)-'2. The tape'!$C$5:$C$13*'2. The tape'!$I$5:$I$13*(1+$J$5)^($A27/4))&gt;0)*('2. The tape'!$C$5:$C$13*'2. The tape'!$D$5:$D$13*(1-'2. The tape'!$J$5:$J$13)^($A27/4)*(1+$J$5)^($A27/4)*((1-'3. Assumptions'!$B$13)/($J$6)-'2. The tape'!$H$5:$H$13/12-'3. Assumptions'!$B$16)-'2. The tape'!$C$5:$C$13*'2. The tape'!$I$5:$I$13*(1+$J$5)^($A27/4)))</f>
        <v>66715815.211658</v>
      </c>
      <c r="L27" s="33" t="n">
        <f aca="false">'2. The tape'!$C$17*(1+MIN(MAX($L$5,'3. Assumptions'!$B$11),'3. Assumptions'!$B$10))^INT(($A27-1)/4)/4*(1-'3. Assumptions'!$B$13)</f>
        <v>3180675.007125</v>
      </c>
      <c r="M27" s="33" t="n">
        <f aca="false">(1-'3. Assumptions'!$B$15)*SUMPRODUCT((('2. The tape'!$C$5:$C$13*'2. The tape'!$D$5:$D$13*(1-'2. The tape'!$J$5:$J$13)^($A27/4)*(1+$L$5)^($A27/4)*((1-'3. Assumptions'!$B$13)/($L$6)-'2. The tape'!$H$5:$H$13/12-'3. Assumptions'!$B$16)-'2. The tape'!$C$5:$C$13*'2. The tape'!$I$5:$I$13*(1+$L$5)^($A27/4))&gt;0)*('2. The tape'!$C$5:$C$13*'2. The tape'!$D$5:$D$13*(1-'2. The tape'!$J$5:$J$13)^($A27/4)*(1+$L$5)^($A27/4)*((1-'3. Assumptions'!$B$13)/($L$6)-'2. The tape'!$H$5:$H$13/12-'3. Assumptions'!$B$16)-'2. The tape'!$C$5:$C$13*'2. The tape'!$I$5:$I$13*(1+$L$5)^($A27/4)))</f>
        <v>166333254.897058</v>
      </c>
      <c r="N27" s="33" t="n">
        <f aca="false">'2. The tape'!$C$17*(1+MIN(MAX($N$5,'3. Assumptions'!$B$11),'3. Assumptions'!$B$10))^INT(($A27-1)/4)/4*(1-'3. Assumptions'!$B$13)</f>
        <v>2998091.25</v>
      </c>
      <c r="O27" s="33" t="n">
        <f aca="false">(1-'3. Assumptions'!$B$15)*SUMPRODUCT((('2. The tape'!$C$5:$C$13*'2. The tape'!$D$5:$D$13*(1-'2. The tape'!$J$5:$J$13)^($A27/4)*(1+$N$5)^($A27/4)*((1-'3. Assumptions'!$B$13)/($N$6)-'2. The tape'!$H$5:$H$13/12-'3. Assumptions'!$B$16)-'2. The tape'!$C$5:$C$13*'2. The tape'!$I$5:$I$13*(1+$N$5)^($A27/4))&gt;0)*('2. The tape'!$C$5:$C$13*'2. The tape'!$D$5:$D$13*(1-'2. The tape'!$J$5:$J$13)^($A27/4)*(1+$N$5)^($A27/4)*((1-'3. Assumptions'!$B$13)/($N$6)-'2. The tape'!$H$5:$H$13/12-'3. Assumptions'!$B$16)-'2. The tape'!$C$5:$C$13*'2. The tape'!$I$5:$I$13*(1+$N$5)^($A27/4)))</f>
        <v>69097801.8874202</v>
      </c>
      <c r="P27" s="33" t="n">
        <f aca="false">'2. The tape'!$C$17*(1+MIN(MAX($P$5,'3. Assumptions'!$B$11),'3. Assumptions'!$B$10))^INT(($A27-1)/4)/4*(1-'3. Assumptions'!$B$13)</f>
        <v>2998091.25</v>
      </c>
      <c r="Q27" s="33" t="n">
        <f aca="false">(1-'3. Assumptions'!$B$15)*SUMPRODUCT((('2. The tape'!$C$5:$C$13*'2. The tape'!$D$5:$D$13*(1-'2. The tape'!$J$5:$J$13)^($A27/4)*(1+$P$5)^($A27/4)*((1-'3. Assumptions'!$B$13)/($P$6)-'2. The tape'!$H$5:$H$13/12-'3. Assumptions'!$B$16)-'2. The tape'!$C$5:$C$13*'2. The tape'!$I$5:$I$13*(1+$P$5)^($A27/4))&gt;0)*('2. The tape'!$C$5:$C$13*'2. The tape'!$D$5:$D$13*(1-'2. The tape'!$J$5:$J$13)^($A27/4)*(1+$P$5)^($A27/4)*((1-'3. Assumptions'!$B$13)/($P$6)-'2. The tape'!$H$5:$H$13/12-'3. Assumptions'!$B$16)-'2. The tape'!$C$5:$C$13*'2. The tape'!$I$5:$I$13*(1+$P$5)^($A27/4)))</f>
        <v>71256954.4119578</v>
      </c>
      <c r="R27" s="33" t="n">
        <f aca="false">'2. The tape'!$C$17*(1+MIN(MAX($R$5,'3. Assumptions'!$B$11),'3. Assumptions'!$B$10))^INT(($A27-1)/4)/4*(1-'3. Assumptions'!$B$13)</f>
        <v>2998091.25</v>
      </c>
      <c r="S27" s="33" t="n">
        <f aca="false">(1-'3. Assumptions'!$B$15)*SUMPRODUCT((('2. The tape'!$C$5:$C$13*'2. The tape'!$D$5:$D$13*(1-'2. The tape'!$J$5:$J$13)^($A27/4)*(1+$R$5)^($A27/4)*((1-'3. Assumptions'!$B$13)/($R$6)-'2. The tape'!$H$5:$H$13/12-'3. Assumptions'!$B$16)-'2. The tape'!$C$5:$C$13*'2. The tape'!$I$5:$I$13*(1+$R$5)^($A27/4))&gt;0)*('2. The tape'!$C$5:$C$13*'2. The tape'!$D$5:$D$13*(1-'2. The tape'!$J$5:$J$13)^($A27/4)*(1+$R$5)^($A27/4)*((1-'3. Assumptions'!$B$13)/($R$6)-'2. The tape'!$H$5:$H$13/12-'3. Assumptions'!$B$16)-'2. The tape'!$C$5:$C$13*'2. The tape'!$I$5:$I$13*(1+$R$5)^($A27/4)))</f>
        <v>69944621.8198883</v>
      </c>
      <c r="T27" s="33" t="n">
        <f aca="false">'2. The tape'!$C$17*(1+MIN(MAX($T$5,'3. Assumptions'!$B$11),'3. Assumptions'!$B$10))^INT(($A27-1)/4)/4*(1-'3. Assumptions'!$B$13)</f>
        <v>2998091.25</v>
      </c>
      <c r="U27" s="33" t="n">
        <f aca="false">(1-'3. Assumptions'!$B$15)*SUMPRODUCT((('2. The tape'!$C$5:$C$13*'2. The tape'!$D$5:$D$13*(1-'2. The tape'!$J$5:$J$13)^($A27/4)*(1+$T$5)^($A27/4)*((1-'3. Assumptions'!$B$13)/($T$6)-'2. The tape'!$H$5:$H$13/12-'3. Assumptions'!$B$16)-'2. The tape'!$C$5:$C$13*'2. The tape'!$I$5:$I$13*(1+$T$5)^($A27/4))&gt;0)*('2. The tape'!$C$5:$C$13*'2. The tape'!$D$5:$D$13*(1-'2. The tape'!$J$5:$J$13)^($A27/4)*(1+$T$5)^($A27/4)*((1-'3. Assumptions'!$B$13)/($T$6)-'2. The tape'!$H$5:$H$13/12-'3. Assumptions'!$B$16)-'2. The tape'!$C$5:$C$13*'2. The tape'!$I$5:$I$13*(1+$T$5)^($A27/4)))</f>
        <v>69909252.4128911</v>
      </c>
      <c r="V27" s="33" t="n">
        <f aca="false">'2. The tape'!$C$17*(1+MIN(MAX($V$5,'3. Assumptions'!$B$11),'3. Assumptions'!$B$10))^INT(($A27-1)/4)/4*(1-'3. Assumptions'!$B$13)</f>
        <v>2998091.25</v>
      </c>
      <c r="W27" s="33" t="n">
        <f aca="false">(1-'3. Assumptions'!$B$15)*SUMPRODUCT((('2. The tape'!$C$5:$C$13*'2. The tape'!$D$5:$D$13*(1-'2. The tape'!$J$5:$J$13)^($A27/4)*(1+$V$5)^($A27/4)*((1-'3. Assumptions'!$B$13)/($V$6)-'2. The tape'!$H$5:$H$13/12-'3. Assumptions'!$B$16)-'2. The tape'!$C$5:$C$13*'2. The tape'!$I$5:$I$13*(1+$V$5)^($A27/4))&gt;0)*('2. The tape'!$C$5:$C$13*'2. The tape'!$D$5:$D$13*(1-'2. The tape'!$J$5:$J$13)^($A27/4)*(1+$V$5)^($A27/4)*((1-'3. Assumptions'!$B$13)/($V$6)-'2. The tape'!$H$5:$H$13/12-'3. Assumptions'!$B$16)-'2. The tape'!$C$5:$C$13*'2. The tape'!$I$5:$I$13*(1+$V$5)^($A27/4)))</f>
        <v>69910673.2917168</v>
      </c>
      <c r="X27" s="33" t="n">
        <f aca="false">'2. The tape'!$C$17*(1+MIN(MAX($X$5,'3. Assumptions'!$B$11),'3. Assumptions'!$B$10))^INT(($A27-1)/4)/4*(1-'3. Assumptions'!$B$13)</f>
        <v>2998091.25</v>
      </c>
      <c r="Y27" s="33" t="n">
        <f aca="false">(1-'3. Assumptions'!$B$15)*SUMPRODUCT((('2. The tape'!$C$5:$C$13*'2. The tape'!$D$5:$D$13*(1-'2. The tape'!$J$5:$J$13)^($A27/4)*(1+$X$5)^($A27/4)*((1-'3. Assumptions'!$B$13)/($X$6)-'2. The tape'!$H$5:$H$13/12-'3. Assumptions'!$B$16)-'2. The tape'!$C$5:$C$13*'2. The tape'!$I$5:$I$13*(1+$X$5)^($A27/4))&gt;0)*('2. The tape'!$C$5:$C$13*'2. The tape'!$D$5:$D$13*(1-'2. The tape'!$J$5:$J$13)^($A27/4)*(1+$X$5)^($A27/4)*((1-'3. Assumptions'!$B$13)/($X$6)-'2. The tape'!$H$5:$H$13/12-'3. Assumptions'!$B$16)-'2. The tape'!$C$5:$C$13*'2. The tape'!$I$5:$I$13*(1+$X$5)^($A27/4)))</f>
        <v>69910671.7975643</v>
      </c>
      <c r="Z27" s="33" t="n">
        <f aca="false">'2. The tape'!$C$17*(1+MIN(MAX($Z$5,'3. Assumptions'!$B$11),'3. Assumptions'!$B$10))^INT(($A27-1)/4)/4*(1-'3. Assumptions'!$B$13)</f>
        <v>2998091.25</v>
      </c>
      <c r="AA27" s="33" t="n">
        <f aca="false">(1-'3. Assumptions'!$B$15)*SUMPRODUCT((('2. The tape'!$C$5:$C$13*'2. The tape'!$D$5:$D$13*(1-'2. The tape'!$J$5:$J$13)^($A27/4)*(1+$Z$5)^($A27/4)*((1-'3. Assumptions'!$B$13)/($Z$6)-'2. The tape'!$H$5:$H$13/12-'3. Assumptions'!$B$16)-'2. The tape'!$C$5:$C$13*'2. The tape'!$I$5:$I$13*(1+$Z$5)^($A27/4))&gt;0)*('2. The tape'!$C$5:$C$13*'2. The tape'!$D$5:$D$13*(1-'2. The tape'!$J$5:$J$13)^($A27/4)*(1+$Z$5)^($A27/4)*((1-'3. Assumptions'!$B$13)/($Z$6)-'2. The tape'!$H$5:$H$13/12-'3. Assumptions'!$B$16)-'2. The tape'!$C$5:$C$13*'2. The tape'!$I$5:$I$13*(1+$Z$5)^($A27/4)))</f>
        <v>69910671.7974985</v>
      </c>
      <c r="AB27" s="33" t="n">
        <f aca="false">'2. The tape'!$C$17*(1+MIN(MAX($AB$5,'3. Assumptions'!$B$11),'3. Assumptions'!$B$10))^INT(($A27-1)/4)/4*(1-'3. Assumptions'!$B$13)</f>
        <v>2998091.25</v>
      </c>
      <c r="AC27" s="33" t="n">
        <f aca="false">(1-'3. Assumptions'!$B$15)*SUMPRODUCT((('2. The tape'!$C$5:$C$13*'2. The tape'!$D$5:$D$13*(1-'2. The tape'!$J$5:$J$13)^($A27/4)*(1+$AB$5)^($A27/4)*((1-'3. Assumptions'!$B$13)/($AB$6)-'2. The tape'!$H$5:$H$13/12-'3. Assumptions'!$B$16)-'2. The tape'!$C$5:$C$13*'2. The tape'!$I$5:$I$13*(1+$AB$5)^($A27/4))&gt;0)*('2. The tape'!$C$5:$C$13*'2. The tape'!$D$5:$D$13*(1-'2. The tape'!$J$5:$J$13)^($A27/4)*(1+$AB$5)^($A27/4)*((1-'3. Assumptions'!$B$13)/($AB$6)-'2. The tape'!$H$5:$H$13/12-'3. Assumptions'!$B$16)-'2. The tape'!$C$5:$C$13*'2. The tape'!$I$5:$I$13*(1+$AB$5)^($A27/4)))</f>
        <v>69910671.7974985</v>
      </c>
      <c r="AD27" s="33" t="n">
        <f aca="false">'2. The tape'!$C$17*(1+MIN(MAX($AD$5,'3. Assumptions'!$B$11),'3. Assumptions'!$B$10))^INT(($A27-1)/4)/4*(1-'3. Assumptions'!$B$13)</f>
        <v>2998091.25</v>
      </c>
      <c r="AE27" s="33" t="n">
        <f aca="false">(1-'3. Assumptions'!$B$15)*SUMPRODUCT((('2. The tape'!$C$5:$C$13*'2. The tape'!$D$5:$D$13*(1-'2. The tape'!$J$5:$J$13)^($A27/4)*(1+$AD$5)^($A27/4)*((1-'3. Assumptions'!$B$13)/($AD$6)-'2. The tape'!$H$5:$H$13/12-'3. Assumptions'!$B$16)-'2. The tape'!$C$5:$C$13*'2. The tape'!$I$5:$I$13*(1+$AD$5)^($A27/4))&gt;0)*('2. The tape'!$C$5:$C$13*'2. The tape'!$D$5:$D$13*(1-'2. The tape'!$J$5:$J$13)^($A27/4)*(1+$AD$5)^($A27/4)*((1-'3. Assumptions'!$B$13)/($AD$6)-'2. The tape'!$H$5:$H$13/12-'3. Assumptions'!$B$16)-'2. The tape'!$C$5:$C$13*'2. The tape'!$I$5:$I$13*(1+$AD$5)^($A27/4)))</f>
        <v>69910671.7974985</v>
      </c>
      <c r="AF27" s="33" t="n">
        <f aca="false">'2. The tape'!$C$17*(1+MIN(MAX($AF$5,'3. Assumptions'!$B$11),'3. Assumptions'!$B$10))^INT(($A27-1)/4)/4*(1-'3. Assumptions'!$B$13)</f>
        <v>2998091.25</v>
      </c>
      <c r="AG27" s="33" t="n">
        <f aca="false">(1-'3. Assumptions'!$B$15)*SUMPRODUCT((('2. The tape'!$C$5:$C$13*'2. The tape'!$D$5:$D$13*(1-'2. The tape'!$J$5:$J$13)^($A27/4)*(1+$AF$5)^($A27/4)*((1-'3. Assumptions'!$B$13)/($AF$6)-'2. The tape'!$H$5:$H$13/12-'3. Assumptions'!$B$16)-'2. The tape'!$C$5:$C$13*'2. The tape'!$I$5:$I$13*(1+$AF$5)^($A27/4))&gt;0)*('2. The tape'!$C$5:$C$13*'2. The tape'!$D$5:$D$13*(1-'2. The tape'!$J$5:$J$13)^($A27/4)*(1+$AF$5)^($A27/4)*((1-'3. Assumptions'!$B$13)/($AF$6)-'2. The tape'!$H$5:$H$13/12-'3. Assumptions'!$B$16)-'2. The tape'!$C$5:$C$13*'2. The tape'!$I$5:$I$13*(1+$AF$5)^($A27/4)))</f>
        <v>69910671.7974985</v>
      </c>
      <c r="AH27" s="33" t="n">
        <f aca="false">'2. The tape'!$C$17*(1+MIN(MAX($AH$5,'3. Assumptions'!$B$11),'3. Assumptions'!$B$10))^INT(($A27-1)/4)/4*(1-'3. Assumptions'!$B$13)</f>
        <v>3131458.341165</v>
      </c>
      <c r="AI27" s="33" t="n">
        <f aca="false">(1-'3. Assumptions'!$B$15)*SUMPRODUCT((('2. The tape'!$C$5:$C$13*'2. The tape'!$D$5:$D$13*(1-'2. The tape'!$J$5:$J$13)^($A27/4)*(1+$AH$5)^($A27/4)*((1-'3. Assumptions'!$B$13)/($AH$6)-'2. The tape'!$H$5:$H$13/12-'3. Assumptions'!$B$16)-'2. The tape'!$C$5:$C$13*'2. The tape'!$I$5:$I$13*(1+$AH$5)^($A27/4))&gt;0)*('2. The tape'!$C$5:$C$13*'2. The tape'!$D$5:$D$13*(1-'2. The tape'!$J$5:$J$13)^($A27/4)*(1+$AH$5)^($A27/4)*((1-'3. Assumptions'!$B$13)/($AH$6)-'2. The tape'!$H$5:$H$13/12-'3. Assumptions'!$B$16)-'2. The tape'!$C$5:$C$13*'2. The tape'!$I$5:$I$13*(1+$AH$5)^($A27/4)))</f>
        <v>157808256.695714</v>
      </c>
      <c r="AJ27" s="33" t="n">
        <f aca="false">'2. The tape'!$C$17*(1+MIN(MAX($AJ$5,'3. Assumptions'!$B$11),'3. Assumptions'!$B$10))^INT(($A27-1)/4)/4*(1-'3. Assumptions'!$B$13)</f>
        <v>3131458.341165</v>
      </c>
      <c r="AK27" s="33" t="n">
        <f aca="false">(1-'3. Assumptions'!$B$15)*SUMPRODUCT((('2. The tape'!$C$5:$C$13*'2. The tape'!$D$5:$D$13*(1-'2. The tape'!$J$5:$J$13)^($A27/4)*(1+$AJ$5)^($A27/4)*((1-'3. Assumptions'!$B$13)/($AJ$6)-'2. The tape'!$H$5:$H$13/12-'3. Assumptions'!$B$16)-'2. The tape'!$C$5:$C$13*'2. The tape'!$I$5:$I$13*(1+$AJ$5)^($A27/4))&gt;0)*('2. The tape'!$C$5:$C$13*'2. The tape'!$D$5:$D$13*(1-'2. The tape'!$J$5:$J$13)^($A27/4)*(1+$AJ$5)^($A27/4)*((1-'3. Assumptions'!$B$13)/($AJ$6)-'2. The tape'!$H$5:$H$13/12-'3. Assumptions'!$B$16)-'2. The tape'!$C$5:$C$13*'2. The tape'!$I$5:$I$13*(1+$AJ$5)^($A27/4)))</f>
        <v>114659205.466424</v>
      </c>
      <c r="AL27" s="33" t="n">
        <f aca="false">'2. The tape'!$C$17*(1+MIN(MAX($AL$5,'3. Assumptions'!$B$11),'3. Assumptions'!$B$10))^INT(($A27-1)/4)/4*(1-'3. Assumptions'!$B$13)</f>
        <v>3131458.341165</v>
      </c>
      <c r="AM27" s="33" t="n">
        <f aca="false">(1-'3. Assumptions'!$B$15)*SUMPRODUCT((('2. The tape'!$C$5:$C$13*'2. The tape'!$D$5:$D$13*(1-'2. The tape'!$J$5:$J$13)^($A27/4)*(1+$AL$5)^($A27/4)*((1-'3. Assumptions'!$B$13)/($AL$6)-'2. The tape'!$H$5:$H$13/12-'3. Assumptions'!$B$16)-'2. The tape'!$C$5:$C$13*'2. The tape'!$I$5:$I$13*(1+$AL$5)^($A27/4))&gt;0)*('2. The tape'!$C$5:$C$13*'2. The tape'!$D$5:$D$13*(1-'2. The tape'!$J$5:$J$13)^($A27/4)*(1+$AL$5)^($A27/4)*((1-'3. Assumptions'!$B$13)/($AL$6)-'2. The tape'!$H$5:$H$13/12-'3. Assumptions'!$B$16)-'2. The tape'!$C$5:$C$13*'2. The tape'!$I$5:$I$13*(1+$AL$5)^($A27/4)))</f>
        <v>131394282.357294</v>
      </c>
      <c r="AN27" s="33" t="n">
        <f aca="false">'2. The tape'!$C$17*(1+MIN(MAX($AN$5,'3. Assumptions'!$B$11),'3. Assumptions'!$B$10))^INT(($A27-1)/4)/4*(1-'3. Assumptions'!$B$13)</f>
        <v>3131458.341165</v>
      </c>
      <c r="AO27" s="33" t="n">
        <f aca="false">(1-'3. Assumptions'!$B$15)*SUMPRODUCT((('2. The tape'!$C$5:$C$13*'2. The tape'!$D$5:$D$13*(1-'2. The tape'!$J$5:$J$13)^($A27/4)*(1+$AN$5)^($A27/4)*((1-'3. Assumptions'!$B$13)/($AN$6)-'2. The tape'!$H$5:$H$13/12-'3. Assumptions'!$B$16)-'2. The tape'!$C$5:$C$13*'2. The tape'!$I$5:$I$13*(1+$AN$5)^($A27/4))&gt;0)*('2. The tape'!$C$5:$C$13*'2. The tape'!$D$5:$D$13*(1-'2. The tape'!$J$5:$J$13)^($A27/4)*(1+$AN$5)^($A27/4)*((1-'3. Assumptions'!$B$13)/($AN$6)-'2. The tape'!$H$5:$H$13/12-'3. Assumptions'!$B$16)-'2. The tape'!$C$5:$C$13*'2. The tape'!$I$5:$I$13*(1+$AN$5)^($A27/4)))</f>
        <v>134527602.671408</v>
      </c>
      <c r="AP27" s="33" t="n">
        <f aca="false">'2. The tape'!$C$17*(1+MIN(MAX($AP$5,'3. Assumptions'!$B$11),'3. Assumptions'!$B$10))^INT(($A27-1)/4)/4*(1-'3. Assumptions'!$B$13)</f>
        <v>3131458.341165</v>
      </c>
      <c r="AQ27" s="33" t="n">
        <f aca="false">(1-'3. Assumptions'!$B$15)*SUMPRODUCT((('2. The tape'!$C$5:$C$13*'2. The tape'!$D$5:$D$13*(1-'2. The tape'!$J$5:$J$13)^($A27/4)*(1+$AP$5)^($A27/4)*((1-'3. Assumptions'!$B$13)/($AP$6)-'2. The tape'!$H$5:$H$13/12-'3. Assumptions'!$B$16)-'2. The tape'!$C$5:$C$13*'2. The tape'!$I$5:$I$13*(1+$AP$5)^($A27/4))&gt;0)*('2. The tape'!$C$5:$C$13*'2. The tape'!$D$5:$D$13*(1-'2. The tape'!$J$5:$J$13)^($A27/4)*(1+$AP$5)^($A27/4)*((1-'3. Assumptions'!$B$13)/($AP$6)-'2. The tape'!$H$5:$H$13/12-'3. Assumptions'!$B$16)-'2. The tape'!$C$5:$C$13*'2. The tape'!$I$5:$I$13*(1+$AP$5)^($A27/4)))</f>
        <v>134140800.708322</v>
      </c>
      <c r="AR27" s="33" t="n">
        <f aca="false">'2. The tape'!$C$17*(1+MIN(MAX($AR$5,'3. Assumptions'!$B$11),'3. Assumptions'!$B$10))^INT(($A27-1)/4)/4*(1-'3. Assumptions'!$B$13)</f>
        <v>3131458.341165</v>
      </c>
      <c r="AS27" s="33" t="n">
        <f aca="false">(1-'3. Assumptions'!$B$15)*SUMPRODUCT((('2. The tape'!$C$5:$C$13*'2. The tape'!$D$5:$D$13*(1-'2. The tape'!$J$5:$J$13)^($A27/4)*(1+$AR$5)^($A27/4)*((1-'3. Assumptions'!$B$13)/($AR$6)-'2. The tape'!$H$5:$H$13/12-'3. Assumptions'!$B$16)-'2. The tape'!$C$5:$C$13*'2. The tape'!$I$5:$I$13*(1+$AR$5)^($A27/4))&gt;0)*('2. The tape'!$C$5:$C$13*'2. The tape'!$D$5:$D$13*(1-'2. The tape'!$J$5:$J$13)^($A27/4)*(1+$AR$5)^($A27/4)*((1-'3. Assumptions'!$B$13)/($AR$6)-'2. The tape'!$H$5:$H$13/12-'3. Assumptions'!$B$16)-'2. The tape'!$C$5:$C$13*'2. The tape'!$I$5:$I$13*(1+$AR$5)^($A27/4)))</f>
        <v>134147290.691227</v>
      </c>
      <c r="AT27" s="33" t="n">
        <f aca="false">'2. The tape'!$C$17*(1+MIN(MAX($AT$5,'3. Assumptions'!$B$11),'3. Assumptions'!$B$10))^INT(($A27-1)/4)/4*(1-'3. Assumptions'!$B$13)</f>
        <v>3131458.341165</v>
      </c>
      <c r="AU27" s="33" t="n">
        <f aca="false">(1-'3. Assumptions'!$B$15)*SUMPRODUCT((('2. The tape'!$C$5:$C$13*'2. The tape'!$D$5:$D$13*(1-'2. The tape'!$J$5:$J$13)^($A27/4)*(1+$AT$5)^($A27/4)*((1-'3. Assumptions'!$B$13)/($AT$6)-'2. The tape'!$H$5:$H$13/12-'3. Assumptions'!$B$16)-'2. The tape'!$C$5:$C$13*'2. The tape'!$I$5:$I$13*(1+$AT$5)^($A27/4))&gt;0)*('2. The tape'!$C$5:$C$13*'2. The tape'!$D$5:$D$13*(1-'2. The tape'!$J$5:$J$13)^($A27/4)*(1+$AT$5)^($A27/4)*((1-'3. Assumptions'!$B$13)/($AT$6)-'2. The tape'!$H$5:$H$13/12-'3. Assumptions'!$B$16)-'2. The tape'!$C$5:$C$13*'2. The tape'!$I$5:$I$13*(1+$AT$5)^($A27/4)))</f>
        <v>134147305.804764</v>
      </c>
      <c r="AV27" s="33" t="n">
        <f aca="false">'2. The tape'!$C$17*(1+MIN(MAX($AV$5,'3. Assumptions'!$B$11),'3. Assumptions'!$B$10))^INT(($A27-1)/4)/4*(1-'3. Assumptions'!$B$13)</f>
        <v>3131458.341165</v>
      </c>
      <c r="AW27" s="33" t="n">
        <f aca="false">(1-'3. Assumptions'!$B$15)*SUMPRODUCT((('2. The tape'!$C$5:$C$13*'2. The tape'!$D$5:$D$13*(1-'2. The tape'!$J$5:$J$13)^($A27/4)*(1+$AV$5)^($A27/4)*((1-'3. Assumptions'!$B$13)/($AV$6)-'2. The tape'!$H$5:$H$13/12-'3. Assumptions'!$B$16)-'2. The tape'!$C$5:$C$13*'2. The tape'!$I$5:$I$13*(1+$AV$5)^($A27/4))&gt;0)*('2. The tape'!$C$5:$C$13*'2. The tape'!$D$5:$D$13*(1-'2. The tape'!$J$5:$J$13)^($A27/4)*(1+$AV$5)^($A27/4)*((1-'3. Assumptions'!$B$13)/($AV$6)-'2. The tape'!$H$5:$H$13/12-'3. Assumptions'!$B$16)-'2. The tape'!$C$5:$C$13*'2. The tape'!$I$5:$I$13*(1+$AV$5)^($A27/4)))</f>
        <v>134147305.804162</v>
      </c>
      <c r="AX27" s="33" t="n">
        <f aca="false">'2. The tape'!$C$17*(1+MIN(MAX($AX$5,'3. Assumptions'!$B$11),'3. Assumptions'!$B$10))^INT(($A27-1)/4)/4*(1-'3. Assumptions'!$B$13)</f>
        <v>3131458.341165</v>
      </c>
      <c r="AY27" s="33" t="n">
        <f aca="false">(1-'3. Assumptions'!$B$15)*SUMPRODUCT((('2. The tape'!$C$5:$C$13*'2. The tape'!$D$5:$D$13*(1-'2. The tape'!$J$5:$J$13)^($A27/4)*(1+$AX$5)^($A27/4)*((1-'3. Assumptions'!$B$13)/($AX$6)-'2. The tape'!$H$5:$H$13/12-'3. Assumptions'!$B$16)-'2. The tape'!$C$5:$C$13*'2. The tape'!$I$5:$I$13*(1+$AX$5)^($A27/4))&gt;0)*('2. The tape'!$C$5:$C$13*'2. The tape'!$D$5:$D$13*(1-'2. The tape'!$J$5:$J$13)^($A27/4)*(1+$AX$5)^($A27/4)*((1-'3. Assumptions'!$B$13)/($AX$6)-'2. The tape'!$H$5:$H$13/12-'3. Assumptions'!$B$16)-'2. The tape'!$C$5:$C$13*'2. The tape'!$I$5:$I$13*(1+$AX$5)^($A27/4)))</f>
        <v>134147305.804162</v>
      </c>
      <c r="AZ27" s="33" t="n">
        <f aca="false">'2. The tape'!$C$17*(1+MIN(MAX($AZ$5,'3. Assumptions'!$B$11),'3. Assumptions'!$B$10))^INT(($A27-1)/4)/4*(1-'3. Assumptions'!$B$13)</f>
        <v>3131458.341165</v>
      </c>
      <c r="BA27" s="33" t="n">
        <f aca="false">(1-'3. Assumptions'!$B$15)*SUMPRODUCT((('2. The tape'!$C$5:$C$13*'2. The tape'!$D$5:$D$13*(1-'2. The tape'!$J$5:$J$13)^($A27/4)*(1+$AZ$5)^($A27/4)*((1-'3. Assumptions'!$B$13)/($AZ$6)-'2. The tape'!$H$5:$H$13/12-'3. Assumptions'!$B$16)-'2. The tape'!$C$5:$C$13*'2. The tape'!$I$5:$I$13*(1+$AZ$5)^($A27/4))&gt;0)*('2. The tape'!$C$5:$C$13*'2. The tape'!$D$5:$D$13*(1-'2. The tape'!$J$5:$J$13)^($A27/4)*(1+$AZ$5)^($A27/4)*((1-'3. Assumptions'!$B$13)/($AZ$6)-'2. The tape'!$H$5:$H$13/12-'3. Assumptions'!$B$16)-'2. The tape'!$C$5:$C$13*'2. The tape'!$I$5:$I$13*(1+$AZ$5)^($A27/4)))</f>
        <v>134147305.804162</v>
      </c>
    </row>
    <row r="28" customFormat="false" ht="15" hidden="false" customHeight="false" outlineLevel="0" collapsed="false">
      <c r="A28" s="20" t="n">
        <v>13</v>
      </c>
      <c r="B28" s="33" t="n">
        <f aca="false">'2. The tape'!$C$17*(1+MIN(MAX($B$5,'3. Assumptions'!$B$11),'3. Assumptions'!$B$10))^INT(($A28-1)/4)/4*(1-'3. Assumptions'!$B$13)</f>
        <v>3200350.42467063</v>
      </c>
      <c r="C28" s="33" t="n">
        <f aca="false">(1-'3. Assumptions'!$B$15)*SUMPRODUCT((('2. The tape'!$C$5:$C$13*'2. The tape'!$D$5:$D$13*(1-'2. The tape'!$J$5:$J$13)^($A28/4)*(1+$B$5)^($A28/4)*((1-'3. Assumptions'!$B$13)/($B$6)-'2. The tape'!$H$5:$H$13/12-'3. Assumptions'!$B$16)-'2. The tape'!$C$5:$C$13*'2. The tape'!$I$5:$I$13*(1+$B$5)^($A28/4))&gt;0)*('2. The tape'!$C$5:$C$13*'2. The tape'!$D$5:$D$13*(1-'2. The tape'!$J$5:$J$13)^($A28/4)*(1+$B$5)^($A28/4)*((1-'3. Assumptions'!$B$13)/($B$6)-'2. The tape'!$H$5:$H$13/12-'3. Assumptions'!$B$16)-'2. The tape'!$C$5:$C$13*'2. The tape'!$I$5:$I$13*(1+$B$5)^($A28/4)))</f>
        <v>80724960.9341247</v>
      </c>
      <c r="D28" s="33" t="n">
        <f aca="false">'2. The tape'!$C$17*(1+MIN(MAX($D$5,'3. Assumptions'!$B$11),'3. Assumptions'!$B$10))^INT(($A28-1)/4)/4*(1-'3. Assumptions'!$B$13)</f>
        <v>3276095.25733875</v>
      </c>
      <c r="E28" s="33" t="n">
        <f aca="false">(1-'3. Assumptions'!$B$15)*SUMPRODUCT((('2. The tape'!$C$5:$C$13*'2. The tape'!$D$5:$D$13*(1-'2. The tape'!$J$5:$J$13)^($A28/4)*(1+$D$5)^($A28/4)*((1-'3. Assumptions'!$B$13)/($D$6)-'2. The tape'!$H$5:$H$13/12-'3. Assumptions'!$B$16)-'2. The tape'!$C$5:$C$13*'2. The tape'!$I$5:$I$13*(1+$D$5)^($A28/4))&gt;0)*('2. The tape'!$C$5:$C$13*'2. The tape'!$D$5:$D$13*(1-'2. The tape'!$J$5:$J$13)^($A28/4)*(1+$D$5)^($A28/4)*((1-'3. Assumptions'!$B$13)/($D$6)-'2. The tape'!$H$5:$H$13/12-'3. Assumptions'!$B$16)-'2. The tape'!$C$5:$C$13*'2. The tape'!$I$5:$I$13*(1+$D$5)^($A28/4)))</f>
        <v>84110181.2802523</v>
      </c>
      <c r="F28" s="33" t="n">
        <f aca="false">'2. The tape'!$C$17*(1+MIN(MAX($F$5,'3. Assumptions'!$B$11),'3. Assumptions'!$B$10))^INT(($A28-1)/4)/4*(1-'3. Assumptions'!$B$13)</f>
        <v>3088936.41296625</v>
      </c>
      <c r="G28" s="33" t="n">
        <f aca="false">(1-'3. Assumptions'!$B$15)*SUMPRODUCT((('2. The tape'!$C$5:$C$13*'2. The tape'!$D$5:$D$13*(1-'2. The tape'!$J$5:$J$13)^($A28/4)*(1+$F$5)^($A28/4)*((1-'3. Assumptions'!$B$13)/($F$6)-'2. The tape'!$H$5:$H$13/12-'3. Assumptions'!$B$16)-'2. The tape'!$C$5:$C$13*'2. The tape'!$I$5:$I$13*(1+$F$5)^($A28/4))&gt;0)*('2. The tape'!$C$5:$C$13*'2. The tape'!$D$5:$D$13*(1-'2. The tape'!$J$5:$J$13)^($A28/4)*(1+$F$5)^($A28/4)*((1-'3. Assumptions'!$B$13)/($F$6)-'2. The tape'!$H$5:$H$13/12-'3. Assumptions'!$B$16)-'2. The tape'!$C$5:$C$13*'2. The tape'!$I$5:$I$13*(1+$F$5)^($A28/4)))</f>
        <v>77684951.1474443</v>
      </c>
      <c r="H28" s="33" t="n">
        <f aca="false">'2. The tape'!$C$17*(1+MIN(MAX($H$5,'3. Assumptions'!$B$11),'3. Assumptions'!$B$10))^INT(($A28-1)/4)/4*(1-'3. Assumptions'!$B$13)</f>
        <v>3276095.25733875</v>
      </c>
      <c r="I28" s="33" t="n">
        <f aca="false">(1-'3. Assumptions'!$B$15)*SUMPRODUCT((('2. The tape'!$C$5:$C$13*'2. The tape'!$D$5:$D$13*(1-'2. The tape'!$J$5:$J$13)^($A28/4)*(1+$H$5)^($A28/4)*((1-'3. Assumptions'!$B$13)/($H$6)-'2. The tape'!$H$5:$H$13/12-'3. Assumptions'!$B$16)-'2. The tape'!$C$5:$C$13*'2. The tape'!$I$5:$I$13*(1+$H$5)^($A28/4))&gt;0)*('2. The tape'!$C$5:$C$13*'2. The tape'!$D$5:$D$13*(1-'2. The tape'!$J$5:$J$13)^($A28/4)*(1+$H$5)^($A28/4)*((1-'3. Assumptions'!$B$13)/($H$6)-'2. The tape'!$H$5:$H$13/12-'3. Assumptions'!$B$16)-'2. The tape'!$C$5:$C$13*'2. The tape'!$I$5:$I$13*(1+$H$5)^($A28/4)))</f>
        <v>84110181.2802523</v>
      </c>
      <c r="J28" s="33" t="n">
        <f aca="false">'2. The tape'!$C$17*(1+MIN(MAX($J$5,'3. Assumptions'!$B$11),'3. Assumptions'!$B$10))^INT(($A28-1)/4)/4*(1-'3. Assumptions'!$B$13)</f>
        <v>3200350.42467063</v>
      </c>
      <c r="K28" s="33" t="n">
        <f aca="false">(1-'3. Assumptions'!$B$15)*SUMPRODUCT((('2. The tape'!$C$5:$C$13*'2. The tape'!$D$5:$D$13*(1-'2. The tape'!$J$5:$J$13)^($A28/4)*(1+$J$5)^($A28/4)*((1-'3. Assumptions'!$B$13)/($J$6)-'2. The tape'!$H$5:$H$13/12-'3. Assumptions'!$B$16)-'2. The tape'!$C$5:$C$13*'2. The tape'!$I$5:$I$13*(1+$J$5)^($A28/4))&gt;0)*('2. The tape'!$C$5:$C$13*'2. The tape'!$D$5:$D$13*(1-'2. The tape'!$J$5:$J$13)^($A28/4)*(1+$J$5)^($A28/4)*((1-'3. Assumptions'!$B$13)/($J$6)-'2. The tape'!$H$5:$H$13/12-'3. Assumptions'!$B$16)-'2. The tape'!$C$5:$C$13*'2. The tape'!$I$5:$I$13*(1+$J$5)^($A28/4)))</f>
        <v>66626002.5608501</v>
      </c>
      <c r="L28" s="33" t="n">
        <f aca="false">'2. The tape'!$C$17*(1+MIN(MAX($L$5,'3. Assumptions'!$B$11),'3. Assumptions'!$B$10))^INT(($A28-1)/4)/4*(1-'3. Assumptions'!$B$13)</f>
        <v>3276095.25733875</v>
      </c>
      <c r="M28" s="33" t="n">
        <f aca="false">(1-'3. Assumptions'!$B$15)*SUMPRODUCT((('2. The tape'!$C$5:$C$13*'2. The tape'!$D$5:$D$13*(1-'2. The tape'!$J$5:$J$13)^($A28/4)*(1+$L$5)^($A28/4)*((1-'3. Assumptions'!$B$13)/($L$6)-'2. The tape'!$H$5:$H$13/12-'3. Assumptions'!$B$16)-'2. The tape'!$C$5:$C$13*'2. The tape'!$I$5:$I$13*(1+$L$5)^($A28/4))&gt;0)*('2. The tape'!$C$5:$C$13*'2. The tape'!$D$5:$D$13*(1-'2. The tape'!$J$5:$J$13)^($A28/4)*(1+$L$5)^($A28/4)*((1-'3. Assumptions'!$B$13)/($L$6)-'2. The tape'!$H$5:$H$13/12-'3. Assumptions'!$B$16)-'2. The tape'!$C$5:$C$13*'2. The tape'!$I$5:$I$13*(1+$L$5)^($A28/4)))</f>
        <v>176444581.976773</v>
      </c>
      <c r="N28" s="33" t="n">
        <f aca="false">'2. The tape'!$C$17*(1+MIN(MAX($N$5,'3. Assumptions'!$B$11),'3. Assumptions'!$B$10))^INT(($A28-1)/4)/4*(1-'3. Assumptions'!$B$13)</f>
        <v>2998091.25</v>
      </c>
      <c r="O28" s="33" t="n">
        <f aca="false">(1-'3. Assumptions'!$B$15)*SUMPRODUCT((('2. The tape'!$C$5:$C$13*'2. The tape'!$D$5:$D$13*(1-'2. The tape'!$J$5:$J$13)^($A28/4)*(1+$N$5)^($A28/4)*((1-'3. Assumptions'!$B$13)/($N$6)-'2. The tape'!$H$5:$H$13/12-'3. Assumptions'!$B$16)-'2. The tape'!$C$5:$C$13*'2. The tape'!$I$5:$I$13*(1+$N$5)^($A28/4))&gt;0)*('2. The tape'!$C$5:$C$13*'2. The tape'!$D$5:$D$13*(1-'2. The tape'!$J$5:$J$13)^($A28/4)*(1+$N$5)^($A28/4)*((1-'3. Assumptions'!$B$13)/($N$6)-'2. The tape'!$H$5:$H$13/12-'3. Assumptions'!$B$16)-'2. The tape'!$C$5:$C$13*'2. The tape'!$I$5:$I$13*(1+$N$5)^($A28/4)))</f>
        <v>68124067.178108</v>
      </c>
      <c r="P28" s="33" t="n">
        <f aca="false">'2. The tape'!$C$17*(1+MIN(MAX($P$5,'3. Assumptions'!$B$11),'3. Assumptions'!$B$10))^INT(($A28-1)/4)/4*(1-'3. Assumptions'!$B$13)</f>
        <v>2998091.25</v>
      </c>
      <c r="Q28" s="33" t="n">
        <f aca="false">(1-'3. Assumptions'!$B$15)*SUMPRODUCT((('2. The tape'!$C$5:$C$13*'2. The tape'!$D$5:$D$13*(1-'2. The tape'!$J$5:$J$13)^($A28/4)*(1+$P$5)^($A28/4)*((1-'3. Assumptions'!$B$13)/($P$6)-'2. The tape'!$H$5:$H$13/12-'3. Assumptions'!$B$16)-'2. The tape'!$C$5:$C$13*'2. The tape'!$I$5:$I$13*(1+$P$5)^($A28/4))&gt;0)*('2. The tape'!$C$5:$C$13*'2. The tape'!$D$5:$D$13*(1-'2. The tape'!$J$5:$J$13)^($A28/4)*(1+$P$5)^($A28/4)*((1-'3. Assumptions'!$B$13)/($P$6)-'2. The tape'!$H$5:$H$13/12-'3. Assumptions'!$B$16)-'2. The tape'!$C$5:$C$13*'2. The tape'!$I$5:$I$13*(1+$P$5)^($A28/4)))</f>
        <v>70433160.7493894</v>
      </c>
      <c r="R28" s="33" t="n">
        <f aca="false">'2. The tape'!$C$17*(1+MIN(MAX($R$5,'3. Assumptions'!$B$11),'3. Assumptions'!$B$10))^INT(($A28-1)/4)/4*(1-'3. Assumptions'!$B$13)</f>
        <v>2998091.25</v>
      </c>
      <c r="S28" s="33" t="n">
        <f aca="false">(1-'3. Assumptions'!$B$15)*SUMPRODUCT((('2. The tape'!$C$5:$C$13*'2. The tape'!$D$5:$D$13*(1-'2. The tape'!$J$5:$J$13)^($A28/4)*(1+$R$5)^($A28/4)*((1-'3. Assumptions'!$B$13)/($R$6)-'2. The tape'!$H$5:$H$13/12-'3. Assumptions'!$B$16)-'2. The tape'!$C$5:$C$13*'2. The tape'!$I$5:$I$13*(1+$R$5)^($A28/4))&gt;0)*('2. The tape'!$C$5:$C$13*'2. The tape'!$D$5:$D$13*(1-'2. The tape'!$J$5:$J$13)^($A28/4)*(1+$R$5)^($A28/4)*((1-'3. Assumptions'!$B$13)/($R$6)-'2. The tape'!$H$5:$H$13/12-'3. Assumptions'!$B$16)-'2. The tape'!$C$5:$C$13*'2. The tape'!$I$5:$I$13*(1+$R$5)^($A28/4)))</f>
        <v>69028987.6252727</v>
      </c>
      <c r="T28" s="33" t="n">
        <f aca="false">'2. The tape'!$C$17*(1+MIN(MAX($T$5,'3. Assumptions'!$B$11),'3. Assumptions'!$B$10))^INT(($A28-1)/4)/4*(1-'3. Assumptions'!$B$13)</f>
        <v>2998091.25</v>
      </c>
      <c r="U28" s="33" t="n">
        <f aca="false">(1-'3. Assumptions'!$B$15)*SUMPRODUCT((('2. The tape'!$C$5:$C$13*'2. The tape'!$D$5:$D$13*(1-'2. The tape'!$J$5:$J$13)^($A28/4)*(1+$T$5)^($A28/4)*((1-'3. Assumptions'!$B$13)/($T$6)-'2. The tape'!$H$5:$H$13/12-'3. Assumptions'!$B$16)-'2. The tape'!$C$5:$C$13*'2. The tape'!$I$5:$I$13*(1+$T$5)^($A28/4))&gt;0)*('2. The tape'!$C$5:$C$13*'2. The tape'!$D$5:$D$13*(1-'2. The tape'!$J$5:$J$13)^($A28/4)*(1+$T$5)^($A28/4)*((1-'3. Assumptions'!$B$13)/($T$6)-'2. The tape'!$H$5:$H$13/12-'3. Assumptions'!$B$16)-'2. The tape'!$C$5:$C$13*'2. The tape'!$I$5:$I$13*(1+$T$5)^($A28/4)))</f>
        <v>68991173.1646177</v>
      </c>
      <c r="V28" s="33" t="n">
        <f aca="false">'2. The tape'!$C$17*(1+MIN(MAX($V$5,'3. Assumptions'!$B$11),'3. Assumptions'!$B$10))^INT(($A28-1)/4)/4*(1-'3. Assumptions'!$B$13)</f>
        <v>2998091.25</v>
      </c>
      <c r="W28" s="33" t="n">
        <f aca="false">(1-'3. Assumptions'!$B$15)*SUMPRODUCT((('2. The tape'!$C$5:$C$13*'2. The tape'!$D$5:$D$13*(1-'2. The tape'!$J$5:$J$13)^($A28/4)*(1+$V$5)^($A28/4)*((1-'3. Assumptions'!$B$13)/($V$6)-'2. The tape'!$H$5:$H$13/12-'3. Assumptions'!$B$16)-'2. The tape'!$C$5:$C$13*'2. The tape'!$I$5:$I$13*(1+$V$5)^($A28/4))&gt;0)*('2. The tape'!$C$5:$C$13*'2. The tape'!$D$5:$D$13*(1-'2. The tape'!$J$5:$J$13)^($A28/4)*(1+$V$5)^($A28/4)*((1-'3. Assumptions'!$B$13)/($V$6)-'2. The tape'!$H$5:$H$13/12-'3. Assumptions'!$B$16)-'2. The tape'!$C$5:$C$13*'2. The tape'!$I$5:$I$13*(1+$V$5)^($A28/4)))</f>
        <v>68992692.2367215</v>
      </c>
      <c r="X28" s="33" t="n">
        <f aca="false">'2. The tape'!$C$17*(1+MIN(MAX($X$5,'3. Assumptions'!$B$11),'3. Assumptions'!$B$10))^INT(($A28-1)/4)/4*(1-'3. Assumptions'!$B$13)</f>
        <v>2998091.25</v>
      </c>
      <c r="Y28" s="33" t="n">
        <f aca="false">(1-'3. Assumptions'!$B$15)*SUMPRODUCT((('2. The tape'!$C$5:$C$13*'2. The tape'!$D$5:$D$13*(1-'2. The tape'!$J$5:$J$13)^($A28/4)*(1+$X$5)^($A28/4)*((1-'3. Assumptions'!$B$13)/($X$6)-'2. The tape'!$H$5:$H$13/12-'3. Assumptions'!$B$16)-'2. The tape'!$C$5:$C$13*'2. The tape'!$I$5:$I$13*(1+$X$5)^($A28/4))&gt;0)*('2. The tape'!$C$5:$C$13*'2. The tape'!$D$5:$D$13*(1-'2. The tape'!$J$5:$J$13)^($A28/4)*(1+$X$5)^($A28/4)*((1-'3. Assumptions'!$B$13)/($X$6)-'2. The tape'!$H$5:$H$13/12-'3. Assumptions'!$B$16)-'2. The tape'!$C$5:$C$13*'2. The tape'!$I$5:$I$13*(1+$X$5)^($A28/4)))</f>
        <v>68992690.6393105</v>
      </c>
      <c r="Z28" s="33" t="n">
        <f aca="false">'2. The tape'!$C$17*(1+MIN(MAX($Z$5,'3. Assumptions'!$B$11),'3. Assumptions'!$B$10))^INT(($A28-1)/4)/4*(1-'3. Assumptions'!$B$13)</f>
        <v>2998091.25</v>
      </c>
      <c r="AA28" s="33" t="n">
        <f aca="false">(1-'3. Assumptions'!$B$15)*SUMPRODUCT((('2. The tape'!$C$5:$C$13*'2. The tape'!$D$5:$D$13*(1-'2. The tape'!$J$5:$J$13)^($A28/4)*(1+$Z$5)^($A28/4)*((1-'3. Assumptions'!$B$13)/($Z$6)-'2. The tape'!$H$5:$H$13/12-'3. Assumptions'!$B$16)-'2. The tape'!$C$5:$C$13*'2. The tape'!$I$5:$I$13*(1+$Z$5)^($A28/4))&gt;0)*('2. The tape'!$C$5:$C$13*'2. The tape'!$D$5:$D$13*(1-'2. The tape'!$J$5:$J$13)^($A28/4)*(1+$Z$5)^($A28/4)*((1-'3. Assumptions'!$B$13)/($Z$6)-'2. The tape'!$H$5:$H$13/12-'3. Assumptions'!$B$16)-'2. The tape'!$C$5:$C$13*'2. The tape'!$I$5:$I$13*(1+$Z$5)^($A28/4)))</f>
        <v>68992690.6392402</v>
      </c>
      <c r="AB28" s="33" t="n">
        <f aca="false">'2. The tape'!$C$17*(1+MIN(MAX($AB$5,'3. Assumptions'!$B$11),'3. Assumptions'!$B$10))^INT(($A28-1)/4)/4*(1-'3. Assumptions'!$B$13)</f>
        <v>2998091.25</v>
      </c>
      <c r="AC28" s="33" t="n">
        <f aca="false">(1-'3. Assumptions'!$B$15)*SUMPRODUCT((('2. The tape'!$C$5:$C$13*'2. The tape'!$D$5:$D$13*(1-'2. The tape'!$J$5:$J$13)^($A28/4)*(1+$AB$5)^($A28/4)*((1-'3. Assumptions'!$B$13)/($AB$6)-'2. The tape'!$H$5:$H$13/12-'3. Assumptions'!$B$16)-'2. The tape'!$C$5:$C$13*'2. The tape'!$I$5:$I$13*(1+$AB$5)^($A28/4))&gt;0)*('2. The tape'!$C$5:$C$13*'2. The tape'!$D$5:$D$13*(1-'2. The tape'!$J$5:$J$13)^($A28/4)*(1+$AB$5)^($A28/4)*((1-'3. Assumptions'!$B$13)/($AB$6)-'2. The tape'!$H$5:$H$13/12-'3. Assumptions'!$B$16)-'2. The tape'!$C$5:$C$13*'2. The tape'!$I$5:$I$13*(1+$AB$5)^($A28/4)))</f>
        <v>68992690.6392402</v>
      </c>
      <c r="AD28" s="33" t="n">
        <f aca="false">'2. The tape'!$C$17*(1+MIN(MAX($AD$5,'3. Assumptions'!$B$11),'3. Assumptions'!$B$10))^INT(($A28-1)/4)/4*(1-'3. Assumptions'!$B$13)</f>
        <v>2998091.25</v>
      </c>
      <c r="AE28" s="33" t="n">
        <f aca="false">(1-'3. Assumptions'!$B$15)*SUMPRODUCT((('2. The tape'!$C$5:$C$13*'2. The tape'!$D$5:$D$13*(1-'2. The tape'!$J$5:$J$13)^($A28/4)*(1+$AD$5)^($A28/4)*((1-'3. Assumptions'!$B$13)/($AD$6)-'2. The tape'!$H$5:$H$13/12-'3. Assumptions'!$B$16)-'2. The tape'!$C$5:$C$13*'2. The tape'!$I$5:$I$13*(1+$AD$5)^($A28/4))&gt;0)*('2. The tape'!$C$5:$C$13*'2. The tape'!$D$5:$D$13*(1-'2. The tape'!$J$5:$J$13)^($A28/4)*(1+$AD$5)^($A28/4)*((1-'3. Assumptions'!$B$13)/($AD$6)-'2. The tape'!$H$5:$H$13/12-'3. Assumptions'!$B$16)-'2. The tape'!$C$5:$C$13*'2. The tape'!$I$5:$I$13*(1+$AD$5)^($A28/4)))</f>
        <v>68992690.6392402</v>
      </c>
      <c r="AF28" s="33" t="n">
        <f aca="false">'2. The tape'!$C$17*(1+MIN(MAX($AF$5,'3. Assumptions'!$B$11),'3. Assumptions'!$B$10))^INT(($A28-1)/4)/4*(1-'3. Assumptions'!$B$13)</f>
        <v>2998091.25</v>
      </c>
      <c r="AG28" s="33" t="n">
        <f aca="false">(1-'3. Assumptions'!$B$15)*SUMPRODUCT((('2. The tape'!$C$5:$C$13*'2. The tape'!$D$5:$D$13*(1-'2. The tape'!$J$5:$J$13)^($A28/4)*(1+$AF$5)^($A28/4)*((1-'3. Assumptions'!$B$13)/($AF$6)-'2. The tape'!$H$5:$H$13/12-'3. Assumptions'!$B$16)-'2. The tape'!$C$5:$C$13*'2. The tape'!$I$5:$I$13*(1+$AF$5)^($A28/4))&gt;0)*('2. The tape'!$C$5:$C$13*'2. The tape'!$D$5:$D$13*(1-'2. The tape'!$J$5:$J$13)^($A28/4)*(1+$AF$5)^($A28/4)*((1-'3. Assumptions'!$B$13)/($AF$6)-'2. The tape'!$H$5:$H$13/12-'3. Assumptions'!$B$16)-'2. The tape'!$C$5:$C$13*'2. The tape'!$I$5:$I$13*(1+$AF$5)^($A28/4)))</f>
        <v>68992690.6392402</v>
      </c>
      <c r="AH28" s="33" t="n">
        <f aca="false">'2. The tape'!$C$17*(1+MIN(MAX($AH$5,'3. Assumptions'!$B$11),'3. Assumptions'!$B$10))^INT(($A28-1)/4)/4*(1-'3. Assumptions'!$B$13)</f>
        <v>3200350.42467063</v>
      </c>
      <c r="AI28" s="33" t="n">
        <f aca="false">(1-'3. Assumptions'!$B$15)*SUMPRODUCT((('2. The tape'!$C$5:$C$13*'2. The tape'!$D$5:$D$13*(1-'2. The tape'!$J$5:$J$13)^($A28/4)*(1+$AH$5)^($A28/4)*((1-'3. Assumptions'!$B$13)/($AH$6)-'2. The tape'!$H$5:$H$13/12-'3. Assumptions'!$B$16)-'2. The tape'!$C$5:$C$13*'2. The tape'!$I$5:$I$13*(1+$AH$5)^($A28/4))&gt;0)*('2. The tape'!$C$5:$C$13*'2. The tape'!$D$5:$D$13*(1-'2. The tape'!$J$5:$J$13)^($A28/4)*(1+$AH$5)^($A28/4)*((1-'3. Assumptions'!$B$13)/($AH$6)-'2. The tape'!$H$5:$H$13/12-'3. Assumptions'!$B$16)-'2. The tape'!$C$5:$C$13*'2. The tape'!$I$5:$I$13*(1+$AH$5)^($A28/4)))</f>
        <v>157705273.652204</v>
      </c>
      <c r="AJ28" s="33" t="n">
        <f aca="false">'2. The tape'!$C$17*(1+MIN(MAX($AJ$5,'3. Assumptions'!$B$11),'3. Assumptions'!$B$10))^INT(($A28-1)/4)/4*(1-'3. Assumptions'!$B$13)</f>
        <v>3200350.42467063</v>
      </c>
      <c r="AK28" s="33" t="n">
        <f aca="false">(1-'3. Assumptions'!$B$15)*SUMPRODUCT((('2. The tape'!$C$5:$C$13*'2. The tape'!$D$5:$D$13*(1-'2. The tape'!$J$5:$J$13)^($A28/4)*(1+$AJ$5)^($A28/4)*((1-'3. Assumptions'!$B$13)/($AJ$6)-'2. The tape'!$H$5:$H$13/12-'3. Assumptions'!$B$16)-'2. The tape'!$C$5:$C$13*'2. The tape'!$I$5:$I$13*(1+$AJ$5)^($A28/4))&gt;0)*('2. The tape'!$C$5:$C$13*'2. The tape'!$D$5:$D$13*(1-'2. The tape'!$J$5:$J$13)^($A28/4)*(1+$AJ$5)^($A28/4)*((1-'3. Assumptions'!$B$13)/($AJ$6)-'2. The tape'!$H$5:$H$13/12-'3. Assumptions'!$B$16)-'2. The tape'!$C$5:$C$13*'2. The tape'!$I$5:$I$13*(1+$AJ$5)^($A28/4)))</f>
        <v>114562461.029984</v>
      </c>
      <c r="AL28" s="33" t="n">
        <f aca="false">'2. The tape'!$C$17*(1+MIN(MAX($AL$5,'3. Assumptions'!$B$11),'3. Assumptions'!$B$10))^INT(($A28-1)/4)/4*(1-'3. Assumptions'!$B$13)</f>
        <v>3200350.42467063</v>
      </c>
      <c r="AM28" s="33" t="n">
        <f aca="false">(1-'3. Assumptions'!$B$15)*SUMPRODUCT((('2. The tape'!$C$5:$C$13*'2. The tape'!$D$5:$D$13*(1-'2. The tape'!$J$5:$J$13)^($A28/4)*(1+$AL$5)^($A28/4)*((1-'3. Assumptions'!$B$13)/($AL$6)-'2. The tape'!$H$5:$H$13/12-'3. Assumptions'!$B$16)-'2. The tape'!$C$5:$C$13*'2. The tape'!$I$5:$I$13*(1+$AL$5)^($A28/4))&gt;0)*('2. The tape'!$C$5:$C$13*'2. The tape'!$D$5:$D$13*(1-'2. The tape'!$J$5:$J$13)^($A28/4)*(1+$AL$5)^($A28/4)*((1-'3. Assumptions'!$B$13)/($AL$6)-'2. The tape'!$H$5:$H$13/12-'3. Assumptions'!$B$16)-'2. The tape'!$C$5:$C$13*'2. The tape'!$I$5:$I$13*(1+$AL$5)^($A28/4)))</f>
        <v>131295118.317965</v>
      </c>
      <c r="AN28" s="33" t="n">
        <f aca="false">'2. The tape'!$C$17*(1+MIN(MAX($AN$5,'3. Assumptions'!$B$11),'3. Assumptions'!$B$10))^INT(($A28-1)/4)/4*(1-'3. Assumptions'!$B$13)</f>
        <v>3200350.42467063</v>
      </c>
      <c r="AO28" s="33" t="n">
        <f aca="false">(1-'3. Assumptions'!$B$15)*SUMPRODUCT((('2. The tape'!$C$5:$C$13*'2. The tape'!$D$5:$D$13*(1-'2. The tape'!$J$5:$J$13)^($A28/4)*(1+$AN$5)^($A28/4)*((1-'3. Assumptions'!$B$13)/($AN$6)-'2. The tape'!$H$5:$H$13/12-'3. Assumptions'!$B$16)-'2. The tape'!$C$5:$C$13*'2. The tape'!$I$5:$I$13*(1+$AN$5)^($A28/4))&gt;0)*('2. The tape'!$C$5:$C$13*'2. The tape'!$D$5:$D$13*(1-'2. The tape'!$J$5:$J$13)^($A28/4)*(1+$AN$5)^($A28/4)*((1-'3. Assumptions'!$B$13)/($AN$6)-'2. The tape'!$H$5:$H$13/12-'3. Assumptions'!$B$16)-'2. The tape'!$C$5:$C$13*'2. The tape'!$I$5:$I$13*(1+$AN$5)^($A28/4)))</f>
        <v>134427985.608113</v>
      </c>
      <c r="AP28" s="33" t="n">
        <f aca="false">'2. The tape'!$C$17*(1+MIN(MAX($AP$5,'3. Assumptions'!$B$11),'3. Assumptions'!$B$10))^INT(($A28-1)/4)/4*(1-'3. Assumptions'!$B$13)</f>
        <v>3200350.42467063</v>
      </c>
      <c r="AQ28" s="33" t="n">
        <f aca="false">(1-'3. Assumptions'!$B$15)*SUMPRODUCT((('2. The tape'!$C$5:$C$13*'2. The tape'!$D$5:$D$13*(1-'2. The tape'!$J$5:$J$13)^($A28/4)*(1+$AP$5)^($A28/4)*((1-'3. Assumptions'!$B$13)/($AP$6)-'2. The tape'!$H$5:$H$13/12-'3. Assumptions'!$B$16)-'2. The tape'!$C$5:$C$13*'2. The tape'!$I$5:$I$13*(1+$AP$5)^($A28/4))&gt;0)*('2. The tape'!$C$5:$C$13*'2. The tape'!$D$5:$D$13*(1-'2. The tape'!$J$5:$J$13)^($A28/4)*(1+$AP$5)^($A28/4)*((1-'3. Assumptions'!$B$13)/($AP$6)-'2. The tape'!$H$5:$H$13/12-'3. Assumptions'!$B$16)-'2. The tape'!$C$5:$C$13*'2. The tape'!$I$5:$I$13*(1+$AP$5)^($A28/4)))</f>
        <v>134041239.569906</v>
      </c>
      <c r="AR28" s="33" t="n">
        <f aca="false">'2. The tape'!$C$17*(1+MIN(MAX($AR$5,'3. Assumptions'!$B$11),'3. Assumptions'!$B$10))^INT(($A28-1)/4)/4*(1-'3. Assumptions'!$B$13)</f>
        <v>3200350.42467063</v>
      </c>
      <c r="AS28" s="33" t="n">
        <f aca="false">(1-'3. Assumptions'!$B$15)*SUMPRODUCT((('2. The tape'!$C$5:$C$13*'2. The tape'!$D$5:$D$13*(1-'2. The tape'!$J$5:$J$13)^($A28/4)*(1+$AR$5)^($A28/4)*((1-'3. Assumptions'!$B$13)/($AR$6)-'2. The tape'!$H$5:$H$13/12-'3. Assumptions'!$B$16)-'2. The tape'!$C$5:$C$13*'2. The tape'!$I$5:$I$13*(1+$AR$5)^($A28/4))&gt;0)*('2. The tape'!$C$5:$C$13*'2. The tape'!$D$5:$D$13*(1-'2. The tape'!$J$5:$J$13)^($A28/4)*(1+$AR$5)^($A28/4)*((1-'3. Assumptions'!$B$13)/($AR$6)-'2. The tape'!$H$5:$H$13/12-'3. Assumptions'!$B$16)-'2. The tape'!$C$5:$C$13*'2. The tape'!$I$5:$I$13*(1+$AR$5)^($A28/4)))</f>
        <v>134047728.614472</v>
      </c>
      <c r="AT28" s="33" t="n">
        <f aca="false">'2. The tape'!$C$17*(1+MIN(MAX($AT$5,'3. Assumptions'!$B$11),'3. Assumptions'!$B$10))^INT(($A28-1)/4)/4*(1-'3. Assumptions'!$B$13)</f>
        <v>3200350.42467063</v>
      </c>
      <c r="AU28" s="33" t="n">
        <f aca="false">(1-'3. Assumptions'!$B$15)*SUMPRODUCT((('2. The tape'!$C$5:$C$13*'2. The tape'!$D$5:$D$13*(1-'2. The tape'!$J$5:$J$13)^($A28/4)*(1+$AT$5)^($A28/4)*((1-'3. Assumptions'!$B$13)/($AT$6)-'2. The tape'!$H$5:$H$13/12-'3. Assumptions'!$B$16)-'2. The tape'!$C$5:$C$13*'2. The tape'!$I$5:$I$13*(1+$AT$5)^($A28/4))&gt;0)*('2. The tape'!$C$5:$C$13*'2. The tape'!$D$5:$D$13*(1-'2. The tape'!$J$5:$J$13)^($A28/4)*(1+$AT$5)^($A28/4)*((1-'3. Assumptions'!$B$13)/($AT$6)-'2. The tape'!$H$5:$H$13/12-'3. Assumptions'!$B$16)-'2. The tape'!$C$5:$C$13*'2. The tape'!$I$5:$I$13*(1+$AT$5)^($A28/4)))</f>
        <v>134047743.725825</v>
      </c>
      <c r="AV28" s="33" t="n">
        <f aca="false">'2. The tape'!$C$17*(1+MIN(MAX($AV$5,'3. Assumptions'!$B$11),'3. Assumptions'!$B$10))^INT(($A28-1)/4)/4*(1-'3. Assumptions'!$B$13)</f>
        <v>3200350.42467063</v>
      </c>
      <c r="AW28" s="33" t="n">
        <f aca="false">(1-'3. Assumptions'!$B$15)*SUMPRODUCT((('2. The tape'!$C$5:$C$13*'2. The tape'!$D$5:$D$13*(1-'2. The tape'!$J$5:$J$13)^($A28/4)*(1+$AV$5)^($A28/4)*((1-'3. Assumptions'!$B$13)/($AV$6)-'2. The tape'!$H$5:$H$13/12-'3. Assumptions'!$B$16)-'2. The tape'!$C$5:$C$13*'2. The tape'!$I$5:$I$13*(1+$AV$5)^($A28/4))&gt;0)*('2. The tape'!$C$5:$C$13*'2. The tape'!$D$5:$D$13*(1-'2. The tape'!$J$5:$J$13)^($A28/4)*(1+$AV$5)^($A28/4)*((1-'3. Assumptions'!$B$13)/($AV$6)-'2. The tape'!$H$5:$H$13/12-'3. Assumptions'!$B$16)-'2. The tape'!$C$5:$C$13*'2. The tape'!$I$5:$I$13*(1+$AV$5)^($A28/4)))</f>
        <v>134047743.725223</v>
      </c>
      <c r="AX28" s="33" t="n">
        <f aca="false">'2. The tape'!$C$17*(1+MIN(MAX($AX$5,'3. Assumptions'!$B$11),'3. Assumptions'!$B$10))^INT(($A28-1)/4)/4*(1-'3. Assumptions'!$B$13)</f>
        <v>3200350.42467063</v>
      </c>
      <c r="AY28" s="33" t="n">
        <f aca="false">(1-'3. Assumptions'!$B$15)*SUMPRODUCT((('2. The tape'!$C$5:$C$13*'2. The tape'!$D$5:$D$13*(1-'2. The tape'!$J$5:$J$13)^($A28/4)*(1+$AX$5)^($A28/4)*((1-'3. Assumptions'!$B$13)/($AX$6)-'2. The tape'!$H$5:$H$13/12-'3. Assumptions'!$B$16)-'2. The tape'!$C$5:$C$13*'2. The tape'!$I$5:$I$13*(1+$AX$5)^($A28/4))&gt;0)*('2. The tape'!$C$5:$C$13*'2. The tape'!$D$5:$D$13*(1-'2. The tape'!$J$5:$J$13)^($A28/4)*(1+$AX$5)^($A28/4)*((1-'3. Assumptions'!$B$13)/($AX$6)-'2. The tape'!$H$5:$H$13/12-'3. Assumptions'!$B$16)-'2. The tape'!$C$5:$C$13*'2. The tape'!$I$5:$I$13*(1+$AX$5)^($A28/4)))</f>
        <v>134047743.725223</v>
      </c>
      <c r="AZ28" s="33" t="n">
        <f aca="false">'2. The tape'!$C$17*(1+MIN(MAX($AZ$5,'3. Assumptions'!$B$11),'3. Assumptions'!$B$10))^INT(($A28-1)/4)/4*(1-'3. Assumptions'!$B$13)</f>
        <v>3200350.42467063</v>
      </c>
      <c r="BA28" s="33" t="n">
        <f aca="false">(1-'3. Assumptions'!$B$15)*SUMPRODUCT((('2. The tape'!$C$5:$C$13*'2. The tape'!$D$5:$D$13*(1-'2. The tape'!$J$5:$J$13)^($A28/4)*(1+$AZ$5)^($A28/4)*((1-'3. Assumptions'!$B$13)/($AZ$6)-'2. The tape'!$H$5:$H$13/12-'3. Assumptions'!$B$16)-'2. The tape'!$C$5:$C$13*'2. The tape'!$I$5:$I$13*(1+$AZ$5)^($A28/4))&gt;0)*('2. The tape'!$C$5:$C$13*'2. The tape'!$D$5:$D$13*(1-'2. The tape'!$J$5:$J$13)^($A28/4)*(1+$AZ$5)^($A28/4)*((1-'3. Assumptions'!$B$13)/($AZ$6)-'2. The tape'!$H$5:$H$13/12-'3. Assumptions'!$B$16)-'2. The tape'!$C$5:$C$13*'2. The tape'!$I$5:$I$13*(1+$AZ$5)^($A28/4)))</f>
        <v>134047743.725223</v>
      </c>
    </row>
    <row r="29" customFormat="false" ht="15" hidden="false" customHeight="false" outlineLevel="0" collapsed="false">
      <c r="A29" s="20" t="n">
        <v>14</v>
      </c>
      <c r="B29" s="33" t="n">
        <f aca="false">'2. The tape'!$C$17*(1+MIN(MAX($B$5,'3. Assumptions'!$B$11),'3. Assumptions'!$B$10))^INT(($A29-1)/4)/4*(1-'3. Assumptions'!$B$13)</f>
        <v>3200350.42467063</v>
      </c>
      <c r="C29" s="33" t="n">
        <f aca="false">(1-'3. Assumptions'!$B$15)*SUMPRODUCT((('2. The tape'!$C$5:$C$13*'2. The tape'!$D$5:$D$13*(1-'2. The tape'!$J$5:$J$13)^($A29/4)*(1+$B$5)^($A29/4)*((1-'3. Assumptions'!$B$13)/($B$6)-'2. The tape'!$H$5:$H$13/12-'3. Assumptions'!$B$16)-'2. The tape'!$C$5:$C$13*'2. The tape'!$I$5:$I$13*(1+$B$5)^($A29/4))&gt;0)*('2. The tape'!$C$5:$C$13*'2. The tape'!$D$5:$D$13*(1-'2. The tape'!$J$5:$J$13)^($A29/4)*(1+$B$5)^($A29/4)*((1-'3. Assumptions'!$B$13)/($B$6)-'2. The tape'!$H$5:$H$13/12-'3. Assumptions'!$B$16)-'2. The tape'!$C$5:$C$13*'2. The tape'!$I$5:$I$13*(1+$B$5)^($A29/4)))</f>
        <v>80632911.5203095</v>
      </c>
      <c r="D29" s="33" t="n">
        <f aca="false">'2. The tape'!$C$17*(1+MIN(MAX($D$5,'3. Assumptions'!$B$11),'3. Assumptions'!$B$10))^INT(($A29-1)/4)/4*(1-'3. Assumptions'!$B$13)</f>
        <v>3276095.25733875</v>
      </c>
      <c r="E29" s="33" t="n">
        <f aca="false">(1-'3. Assumptions'!$B$15)*SUMPRODUCT((('2. The tape'!$C$5:$C$13*'2. The tape'!$D$5:$D$13*(1-'2. The tape'!$J$5:$J$13)^($A29/4)*(1+$D$5)^($A29/4)*((1-'3. Assumptions'!$B$13)/($D$6)-'2. The tape'!$H$5:$H$13/12-'3. Assumptions'!$B$16)-'2. The tape'!$C$5:$C$13*'2. The tape'!$I$5:$I$13*(1+$D$5)^($A29/4))&gt;0)*('2. The tape'!$C$5:$C$13*'2. The tape'!$D$5:$D$13*(1-'2. The tape'!$J$5:$J$13)^($A29/4)*(1+$D$5)^($A29/4)*((1-'3. Assumptions'!$B$13)/($D$6)-'2. The tape'!$H$5:$H$13/12-'3. Assumptions'!$B$16)-'2. The tape'!$C$5:$C$13*'2. The tape'!$I$5:$I$13*(1+$D$5)^($A29/4)))</f>
        <v>84280175.3889546</v>
      </c>
      <c r="F29" s="33" t="n">
        <f aca="false">'2. The tape'!$C$17*(1+MIN(MAX($F$5,'3. Assumptions'!$B$11),'3. Assumptions'!$B$10))^INT(($A29-1)/4)/4*(1-'3. Assumptions'!$B$13)</f>
        <v>3088936.41296625</v>
      </c>
      <c r="G29" s="33" t="n">
        <f aca="false">(1-'3. Assumptions'!$B$15)*SUMPRODUCT((('2. The tape'!$C$5:$C$13*'2. The tape'!$D$5:$D$13*(1-'2. The tape'!$J$5:$J$13)^($A29/4)*(1+$F$5)^($A29/4)*((1-'3. Assumptions'!$B$13)/($F$6)-'2. The tape'!$H$5:$H$13/12-'3. Assumptions'!$B$16)-'2. The tape'!$C$5:$C$13*'2. The tape'!$I$5:$I$13*(1+$F$5)^($A29/4))&gt;0)*('2. The tape'!$C$5:$C$13*'2. The tape'!$D$5:$D$13*(1-'2. The tape'!$J$5:$J$13)^($A29/4)*(1+$F$5)^($A29/4)*((1-'3. Assumptions'!$B$13)/($F$6)-'2. The tape'!$H$5:$H$13/12-'3. Assumptions'!$B$16)-'2. The tape'!$C$5:$C$13*'2. The tape'!$I$5:$I$13*(1+$F$5)^($A29/4)))</f>
        <v>77367580.3587752</v>
      </c>
      <c r="H29" s="33" t="n">
        <f aca="false">'2. The tape'!$C$17*(1+MIN(MAX($H$5,'3. Assumptions'!$B$11),'3. Assumptions'!$B$10))^INT(($A29-1)/4)/4*(1-'3. Assumptions'!$B$13)</f>
        <v>3276095.25733875</v>
      </c>
      <c r="I29" s="33" t="n">
        <f aca="false">(1-'3. Assumptions'!$B$15)*SUMPRODUCT((('2. The tape'!$C$5:$C$13*'2. The tape'!$D$5:$D$13*(1-'2. The tape'!$J$5:$J$13)^($A29/4)*(1+$H$5)^($A29/4)*((1-'3. Assumptions'!$B$13)/($H$6)-'2. The tape'!$H$5:$H$13/12-'3. Assumptions'!$B$16)-'2. The tape'!$C$5:$C$13*'2. The tape'!$I$5:$I$13*(1+$H$5)^($A29/4))&gt;0)*('2. The tape'!$C$5:$C$13*'2. The tape'!$D$5:$D$13*(1-'2. The tape'!$J$5:$J$13)^($A29/4)*(1+$H$5)^($A29/4)*((1-'3. Assumptions'!$B$13)/($H$6)-'2. The tape'!$H$5:$H$13/12-'3. Assumptions'!$B$16)-'2. The tape'!$C$5:$C$13*'2. The tape'!$I$5:$I$13*(1+$H$5)^($A29/4)))</f>
        <v>84280175.3889546</v>
      </c>
      <c r="J29" s="33" t="n">
        <f aca="false">'2. The tape'!$C$17*(1+MIN(MAX($J$5,'3. Assumptions'!$B$11),'3. Assumptions'!$B$10))^INT(($A29-1)/4)/4*(1-'3. Assumptions'!$B$13)</f>
        <v>3200350.42467063</v>
      </c>
      <c r="K29" s="33" t="n">
        <f aca="false">(1-'3. Assumptions'!$B$15)*SUMPRODUCT((('2. The tape'!$C$5:$C$13*'2. The tape'!$D$5:$D$13*(1-'2. The tape'!$J$5:$J$13)^($A29/4)*(1+$J$5)^($A29/4)*((1-'3. Assumptions'!$B$13)/($J$6)-'2. The tape'!$H$5:$H$13/12-'3. Assumptions'!$B$16)-'2. The tape'!$C$5:$C$13*'2. The tape'!$I$5:$I$13*(1+$J$5)^($A29/4))&gt;0)*('2. The tape'!$C$5:$C$13*'2. The tape'!$D$5:$D$13*(1-'2. The tape'!$J$5:$J$13)^($A29/4)*(1+$J$5)^($A29/4)*((1-'3. Assumptions'!$B$13)/($J$6)-'2. The tape'!$H$5:$H$13/12-'3. Assumptions'!$B$16)-'2. The tape'!$C$5:$C$13*'2. The tape'!$I$5:$I$13*(1+$J$5)^($A29/4)))</f>
        <v>66535951.2305537</v>
      </c>
      <c r="L29" s="33" t="n">
        <f aca="false">'2. The tape'!$C$17*(1+MIN(MAX($L$5,'3. Assumptions'!$B$11),'3. Assumptions'!$B$10))^INT(($A29-1)/4)/4*(1-'3. Assumptions'!$B$13)</f>
        <v>3276095.25733875</v>
      </c>
      <c r="M29" s="33" t="n">
        <f aca="false">(1-'3. Assumptions'!$B$15)*SUMPRODUCT((('2. The tape'!$C$5:$C$13*'2. The tape'!$D$5:$D$13*(1-'2. The tape'!$J$5:$J$13)^($A29/4)*(1+$L$5)^($A29/4)*((1-'3. Assumptions'!$B$13)/($L$6)-'2. The tape'!$H$5:$H$13/12-'3. Assumptions'!$B$16)-'2. The tape'!$C$5:$C$13*'2. The tape'!$I$5:$I$13*(1+$L$5)^($A29/4))&gt;0)*('2. The tape'!$C$5:$C$13*'2. The tape'!$D$5:$D$13*(1-'2. The tape'!$J$5:$J$13)^($A29/4)*(1+$L$5)^($A29/4)*((1-'3. Assumptions'!$B$13)/($L$6)-'2. The tape'!$H$5:$H$13/12-'3. Assumptions'!$B$16)-'2. The tape'!$C$5:$C$13*'2. The tape'!$I$5:$I$13*(1+$L$5)^($A29/4)))</f>
        <v>187169870.346555</v>
      </c>
      <c r="N29" s="33" t="n">
        <f aca="false">'2. The tape'!$C$17*(1+MIN(MAX($N$5,'3. Assumptions'!$B$11),'3. Assumptions'!$B$10))^INT(($A29-1)/4)/4*(1-'3. Assumptions'!$B$13)</f>
        <v>2998091.25</v>
      </c>
      <c r="O29" s="33" t="n">
        <f aca="false">(1-'3. Assumptions'!$B$15)*SUMPRODUCT((('2. The tape'!$C$5:$C$13*'2. The tape'!$D$5:$D$13*(1-'2. The tape'!$J$5:$J$13)^($A29/4)*(1+$N$5)^($A29/4)*((1-'3. Assumptions'!$B$13)/($N$6)-'2. The tape'!$H$5:$H$13/12-'3. Assumptions'!$B$16)-'2. The tape'!$C$5:$C$13*'2. The tape'!$I$5:$I$13*(1+$N$5)^($A29/4))&gt;0)*('2. The tape'!$C$5:$C$13*'2. The tape'!$D$5:$D$13*(1-'2. The tape'!$J$5:$J$13)^($A29/4)*(1+$N$5)^($A29/4)*((1-'3. Assumptions'!$B$13)/($N$6)-'2. The tape'!$H$5:$H$13/12-'3. Assumptions'!$B$16)-'2. The tape'!$C$5:$C$13*'2. The tape'!$I$5:$I$13*(1+$N$5)^($A29/4)))</f>
        <v>67163802.5755033</v>
      </c>
      <c r="P29" s="33" t="n">
        <f aca="false">'2. The tape'!$C$17*(1+MIN(MAX($P$5,'3. Assumptions'!$B$11),'3. Assumptions'!$B$10))^INT(($A29-1)/4)/4*(1-'3. Assumptions'!$B$13)</f>
        <v>2998091.25</v>
      </c>
      <c r="Q29" s="33" t="n">
        <f aca="false">(1-'3. Assumptions'!$B$15)*SUMPRODUCT((('2. The tape'!$C$5:$C$13*'2. The tape'!$D$5:$D$13*(1-'2. The tape'!$J$5:$J$13)^($A29/4)*(1+$P$5)^($A29/4)*((1-'3. Assumptions'!$B$13)/($P$6)-'2. The tape'!$H$5:$H$13/12-'3. Assumptions'!$B$16)-'2. The tape'!$C$5:$C$13*'2. The tape'!$I$5:$I$13*(1+$P$5)^($A29/4))&gt;0)*('2. The tape'!$C$5:$C$13*'2. The tape'!$D$5:$D$13*(1-'2. The tape'!$J$5:$J$13)^($A29/4)*(1+$P$5)^($A29/4)*((1-'3. Assumptions'!$B$13)/($P$6)-'2. The tape'!$H$5:$H$13/12-'3. Assumptions'!$B$16)-'2. The tape'!$C$5:$C$13*'2. The tape'!$I$5:$I$13*(1+$P$5)^($A29/4)))</f>
        <v>69618629.7843586</v>
      </c>
      <c r="R29" s="33" t="n">
        <f aca="false">'2. The tape'!$C$17*(1+MIN(MAX($R$5,'3. Assumptions'!$B$11),'3. Assumptions'!$B$10))^INT(($A29-1)/4)/4*(1-'3. Assumptions'!$B$13)</f>
        <v>2998091.25</v>
      </c>
      <c r="S29" s="33" t="n">
        <f aca="false">(1-'3. Assumptions'!$B$15)*SUMPRODUCT((('2. The tape'!$C$5:$C$13*'2. The tape'!$D$5:$D$13*(1-'2. The tape'!$J$5:$J$13)^($A29/4)*(1+$R$5)^($A29/4)*((1-'3. Assumptions'!$B$13)/($R$6)-'2. The tape'!$H$5:$H$13/12-'3. Assumptions'!$B$16)-'2. The tape'!$C$5:$C$13*'2. The tape'!$I$5:$I$13*(1+$R$5)^($A29/4))&gt;0)*('2. The tape'!$C$5:$C$13*'2. The tape'!$D$5:$D$13*(1-'2. The tape'!$J$5:$J$13)^($A29/4)*(1+$R$5)^($A29/4)*((1-'3. Assumptions'!$B$13)/($R$6)-'2. The tape'!$H$5:$H$13/12-'3. Assumptions'!$B$16)-'2. The tape'!$C$5:$C$13*'2. The tape'!$I$5:$I$13*(1+$R$5)^($A29/4)))</f>
        <v>68125084.3684123</v>
      </c>
      <c r="T29" s="33" t="n">
        <f aca="false">'2. The tape'!$C$17*(1+MIN(MAX($T$5,'3. Assumptions'!$B$11),'3. Assumptions'!$B$10))^INT(($A29-1)/4)/4*(1-'3. Assumptions'!$B$13)</f>
        <v>2998091.25</v>
      </c>
      <c r="U29" s="33" t="n">
        <f aca="false">(1-'3. Assumptions'!$B$15)*SUMPRODUCT((('2. The tape'!$C$5:$C$13*'2. The tape'!$D$5:$D$13*(1-'2. The tape'!$J$5:$J$13)^($A29/4)*(1+$T$5)^($A29/4)*((1-'3. Assumptions'!$B$13)/($T$6)-'2. The tape'!$H$5:$H$13/12-'3. Assumptions'!$B$16)-'2. The tape'!$C$5:$C$13*'2. The tape'!$I$5:$I$13*(1+$T$5)^($A29/4))&gt;0)*('2. The tape'!$C$5:$C$13*'2. The tape'!$D$5:$D$13*(1-'2. The tape'!$J$5:$J$13)^($A29/4)*(1+$T$5)^($A29/4)*((1-'3. Assumptions'!$B$13)/($T$6)-'2. The tape'!$H$5:$H$13/12-'3. Assumptions'!$B$16)-'2. The tape'!$C$5:$C$13*'2. The tape'!$I$5:$I$13*(1+$T$5)^($A29/4)))</f>
        <v>68084895.2026883</v>
      </c>
      <c r="V29" s="33" t="n">
        <f aca="false">'2. The tape'!$C$17*(1+MIN(MAX($V$5,'3. Assumptions'!$B$11),'3. Assumptions'!$B$10))^INT(($A29-1)/4)/4*(1-'3. Assumptions'!$B$13)</f>
        <v>2998091.25</v>
      </c>
      <c r="W29" s="33" t="n">
        <f aca="false">(1-'3. Assumptions'!$B$15)*SUMPRODUCT((('2. The tape'!$C$5:$C$13*'2. The tape'!$D$5:$D$13*(1-'2. The tape'!$J$5:$J$13)^($A29/4)*(1+$V$5)^($A29/4)*((1-'3. Assumptions'!$B$13)/($V$6)-'2. The tape'!$H$5:$H$13/12-'3. Assumptions'!$B$16)-'2. The tape'!$C$5:$C$13*'2. The tape'!$I$5:$I$13*(1+$V$5)^($A29/4))&gt;0)*('2. The tape'!$C$5:$C$13*'2. The tape'!$D$5:$D$13*(1-'2. The tape'!$J$5:$J$13)^($A29/4)*(1+$V$5)^($A29/4)*((1-'3. Assumptions'!$B$13)/($V$6)-'2. The tape'!$H$5:$H$13/12-'3. Assumptions'!$B$16)-'2. The tape'!$C$5:$C$13*'2. The tape'!$I$5:$I$13*(1+$V$5)^($A29/4)))</f>
        <v>68086509.6381295</v>
      </c>
      <c r="X29" s="33" t="n">
        <f aca="false">'2. The tape'!$C$17*(1+MIN(MAX($X$5,'3. Assumptions'!$B$11),'3. Assumptions'!$B$10))^INT(($A29-1)/4)/4*(1-'3. Assumptions'!$B$13)</f>
        <v>2998091.25</v>
      </c>
      <c r="Y29" s="33" t="n">
        <f aca="false">(1-'3. Assumptions'!$B$15)*SUMPRODUCT((('2. The tape'!$C$5:$C$13*'2. The tape'!$D$5:$D$13*(1-'2. The tape'!$J$5:$J$13)^($A29/4)*(1+$X$5)^($A29/4)*((1-'3. Assumptions'!$B$13)/($X$6)-'2. The tape'!$H$5:$H$13/12-'3. Assumptions'!$B$16)-'2. The tape'!$C$5:$C$13*'2. The tape'!$I$5:$I$13*(1+$X$5)^($A29/4))&gt;0)*('2. The tape'!$C$5:$C$13*'2. The tape'!$D$5:$D$13*(1-'2. The tape'!$J$5:$J$13)^($A29/4)*(1+$X$5)^($A29/4)*((1-'3. Assumptions'!$B$13)/($X$6)-'2. The tape'!$H$5:$H$13/12-'3. Assumptions'!$B$16)-'2. The tape'!$C$5:$C$13*'2. The tape'!$I$5:$I$13*(1+$X$5)^($A29/4)))</f>
        <v>68086507.9404358</v>
      </c>
      <c r="Z29" s="33" t="n">
        <f aca="false">'2. The tape'!$C$17*(1+MIN(MAX($Z$5,'3. Assumptions'!$B$11),'3. Assumptions'!$B$10))^INT(($A29-1)/4)/4*(1-'3. Assumptions'!$B$13)</f>
        <v>2998091.25</v>
      </c>
      <c r="AA29" s="33" t="n">
        <f aca="false">(1-'3. Assumptions'!$B$15)*SUMPRODUCT((('2. The tape'!$C$5:$C$13*'2. The tape'!$D$5:$D$13*(1-'2. The tape'!$J$5:$J$13)^($A29/4)*(1+$Z$5)^($A29/4)*((1-'3. Assumptions'!$B$13)/($Z$6)-'2. The tape'!$H$5:$H$13/12-'3. Assumptions'!$B$16)-'2. The tape'!$C$5:$C$13*'2. The tape'!$I$5:$I$13*(1+$Z$5)^($A29/4))&gt;0)*('2. The tape'!$C$5:$C$13*'2. The tape'!$D$5:$D$13*(1-'2. The tape'!$J$5:$J$13)^($A29/4)*(1+$Z$5)^($A29/4)*((1-'3. Assumptions'!$B$13)/($Z$6)-'2. The tape'!$H$5:$H$13/12-'3. Assumptions'!$B$16)-'2. The tape'!$C$5:$C$13*'2. The tape'!$I$5:$I$13*(1+$Z$5)^($A29/4)))</f>
        <v>68086507.9403611</v>
      </c>
      <c r="AB29" s="33" t="n">
        <f aca="false">'2. The tape'!$C$17*(1+MIN(MAX($AB$5,'3. Assumptions'!$B$11),'3. Assumptions'!$B$10))^INT(($A29-1)/4)/4*(1-'3. Assumptions'!$B$13)</f>
        <v>2998091.25</v>
      </c>
      <c r="AC29" s="33" t="n">
        <f aca="false">(1-'3. Assumptions'!$B$15)*SUMPRODUCT((('2. The tape'!$C$5:$C$13*'2. The tape'!$D$5:$D$13*(1-'2. The tape'!$J$5:$J$13)^($A29/4)*(1+$AB$5)^($A29/4)*((1-'3. Assumptions'!$B$13)/($AB$6)-'2. The tape'!$H$5:$H$13/12-'3. Assumptions'!$B$16)-'2. The tape'!$C$5:$C$13*'2. The tape'!$I$5:$I$13*(1+$AB$5)^($A29/4))&gt;0)*('2. The tape'!$C$5:$C$13*'2. The tape'!$D$5:$D$13*(1-'2. The tape'!$J$5:$J$13)^($A29/4)*(1+$AB$5)^($A29/4)*((1-'3. Assumptions'!$B$13)/($AB$6)-'2. The tape'!$H$5:$H$13/12-'3. Assumptions'!$B$16)-'2. The tape'!$C$5:$C$13*'2. The tape'!$I$5:$I$13*(1+$AB$5)^($A29/4)))</f>
        <v>68086507.9403611</v>
      </c>
      <c r="AD29" s="33" t="n">
        <f aca="false">'2. The tape'!$C$17*(1+MIN(MAX($AD$5,'3. Assumptions'!$B$11),'3. Assumptions'!$B$10))^INT(($A29-1)/4)/4*(1-'3. Assumptions'!$B$13)</f>
        <v>2998091.25</v>
      </c>
      <c r="AE29" s="33" t="n">
        <f aca="false">(1-'3. Assumptions'!$B$15)*SUMPRODUCT((('2. The tape'!$C$5:$C$13*'2. The tape'!$D$5:$D$13*(1-'2. The tape'!$J$5:$J$13)^($A29/4)*(1+$AD$5)^($A29/4)*((1-'3. Assumptions'!$B$13)/($AD$6)-'2. The tape'!$H$5:$H$13/12-'3. Assumptions'!$B$16)-'2. The tape'!$C$5:$C$13*'2. The tape'!$I$5:$I$13*(1+$AD$5)^($A29/4))&gt;0)*('2. The tape'!$C$5:$C$13*'2. The tape'!$D$5:$D$13*(1-'2. The tape'!$J$5:$J$13)^($A29/4)*(1+$AD$5)^($A29/4)*((1-'3. Assumptions'!$B$13)/($AD$6)-'2. The tape'!$H$5:$H$13/12-'3. Assumptions'!$B$16)-'2. The tape'!$C$5:$C$13*'2. The tape'!$I$5:$I$13*(1+$AD$5)^($A29/4)))</f>
        <v>68086507.9403611</v>
      </c>
      <c r="AF29" s="33" t="n">
        <f aca="false">'2. The tape'!$C$17*(1+MIN(MAX($AF$5,'3. Assumptions'!$B$11),'3. Assumptions'!$B$10))^INT(($A29-1)/4)/4*(1-'3. Assumptions'!$B$13)</f>
        <v>2998091.25</v>
      </c>
      <c r="AG29" s="33" t="n">
        <f aca="false">(1-'3. Assumptions'!$B$15)*SUMPRODUCT((('2. The tape'!$C$5:$C$13*'2. The tape'!$D$5:$D$13*(1-'2. The tape'!$J$5:$J$13)^($A29/4)*(1+$AF$5)^($A29/4)*((1-'3. Assumptions'!$B$13)/($AF$6)-'2. The tape'!$H$5:$H$13/12-'3. Assumptions'!$B$16)-'2. The tape'!$C$5:$C$13*'2. The tape'!$I$5:$I$13*(1+$AF$5)^($A29/4))&gt;0)*('2. The tape'!$C$5:$C$13*'2. The tape'!$D$5:$D$13*(1-'2. The tape'!$J$5:$J$13)^($A29/4)*(1+$AF$5)^($A29/4)*((1-'3. Assumptions'!$B$13)/($AF$6)-'2. The tape'!$H$5:$H$13/12-'3. Assumptions'!$B$16)-'2. The tape'!$C$5:$C$13*'2. The tape'!$I$5:$I$13*(1+$AF$5)^($A29/4)))</f>
        <v>68086507.9403611</v>
      </c>
      <c r="AH29" s="33" t="n">
        <f aca="false">'2. The tape'!$C$17*(1+MIN(MAX($AH$5,'3. Assumptions'!$B$11),'3. Assumptions'!$B$10))^INT(($A29-1)/4)/4*(1-'3. Assumptions'!$B$13)</f>
        <v>3200350.42467063</v>
      </c>
      <c r="AI29" s="33" t="n">
        <f aca="false">(1-'3. Assumptions'!$B$15)*SUMPRODUCT((('2. The tape'!$C$5:$C$13*'2. The tape'!$D$5:$D$13*(1-'2. The tape'!$J$5:$J$13)^($A29/4)*(1+$AH$5)^($A29/4)*((1-'3. Assumptions'!$B$13)/($AH$6)-'2. The tape'!$H$5:$H$13/12-'3. Assumptions'!$B$16)-'2. The tape'!$C$5:$C$13*'2. The tape'!$I$5:$I$13*(1+$AH$5)^($A29/4))&gt;0)*('2. The tape'!$C$5:$C$13*'2. The tape'!$D$5:$D$13*(1-'2. The tape'!$J$5:$J$13)^($A29/4)*(1+$AH$5)^($A29/4)*((1-'3. Assumptions'!$B$13)/($AH$6)-'2. The tape'!$H$5:$H$13/12-'3. Assumptions'!$B$16)-'2. The tape'!$C$5:$C$13*'2. The tape'!$I$5:$I$13*(1+$AH$5)^($A29/4)))</f>
        <v>157602314.702376</v>
      </c>
      <c r="AJ29" s="33" t="n">
        <f aca="false">'2. The tape'!$C$17*(1+MIN(MAX($AJ$5,'3. Assumptions'!$B$11),'3. Assumptions'!$B$10))^INT(($A29-1)/4)/4*(1-'3. Assumptions'!$B$13)</f>
        <v>3200350.42467063</v>
      </c>
      <c r="AK29" s="33" t="n">
        <f aca="false">(1-'3. Assumptions'!$B$15)*SUMPRODUCT((('2. The tape'!$C$5:$C$13*'2. The tape'!$D$5:$D$13*(1-'2. The tape'!$J$5:$J$13)^($A29/4)*(1+$AJ$5)^($A29/4)*((1-'3. Assumptions'!$B$13)/($AJ$6)-'2. The tape'!$H$5:$H$13/12-'3. Assumptions'!$B$16)-'2. The tape'!$C$5:$C$13*'2. The tape'!$I$5:$I$13*(1+$AJ$5)^($A29/4))&gt;0)*('2. The tape'!$C$5:$C$13*'2. The tape'!$D$5:$D$13*(1-'2. The tape'!$J$5:$J$13)^($A29/4)*(1+$AJ$5)^($A29/4)*((1-'3. Assumptions'!$B$13)/($AJ$6)-'2. The tape'!$H$5:$H$13/12-'3. Assumptions'!$B$16)-'2. The tape'!$C$5:$C$13*'2. The tape'!$I$5:$I$13*(1+$AJ$5)^($A29/4)))</f>
        <v>114465616.215723</v>
      </c>
      <c r="AL29" s="33" t="n">
        <f aca="false">'2. The tape'!$C$17*(1+MIN(MAX($AL$5,'3. Assumptions'!$B$11),'3. Assumptions'!$B$10))^INT(($A29-1)/4)/4*(1-'3. Assumptions'!$B$13)</f>
        <v>3200350.42467063</v>
      </c>
      <c r="AM29" s="33" t="n">
        <f aca="false">(1-'3. Assumptions'!$B$15)*SUMPRODUCT((('2. The tape'!$C$5:$C$13*'2. The tape'!$D$5:$D$13*(1-'2. The tape'!$J$5:$J$13)^($A29/4)*(1+$AL$5)^($A29/4)*((1-'3. Assumptions'!$B$13)/($AL$6)-'2. The tape'!$H$5:$H$13/12-'3. Assumptions'!$B$16)-'2. The tape'!$C$5:$C$13*'2. The tape'!$I$5:$I$13*(1+$AL$5)^($A29/4))&gt;0)*('2. The tape'!$C$5:$C$13*'2. The tape'!$D$5:$D$13*(1-'2. The tape'!$J$5:$J$13)^($A29/4)*(1+$AL$5)^($A29/4)*((1-'3. Assumptions'!$B$13)/($AL$6)-'2. The tape'!$H$5:$H$13/12-'3. Assumptions'!$B$16)-'2. The tape'!$C$5:$C$13*'2. The tape'!$I$5:$I$13*(1+$AL$5)^($A29/4)))</f>
        <v>131195902.176272</v>
      </c>
      <c r="AN29" s="33" t="n">
        <f aca="false">'2. The tape'!$C$17*(1+MIN(MAX($AN$5,'3. Assumptions'!$B$11),'3. Assumptions'!$B$10))^INT(($A29-1)/4)/4*(1-'3. Assumptions'!$B$13)</f>
        <v>3200350.42467063</v>
      </c>
      <c r="AO29" s="33" t="n">
        <f aca="false">(1-'3. Assumptions'!$B$15)*SUMPRODUCT((('2. The tape'!$C$5:$C$13*'2. The tape'!$D$5:$D$13*(1-'2. The tape'!$J$5:$J$13)^($A29/4)*(1+$AN$5)^($A29/4)*((1-'3. Assumptions'!$B$13)/($AN$6)-'2. The tape'!$H$5:$H$13/12-'3. Assumptions'!$B$16)-'2. The tape'!$C$5:$C$13*'2. The tape'!$I$5:$I$13*(1+$AN$5)^($A29/4))&gt;0)*('2. The tape'!$C$5:$C$13*'2. The tape'!$D$5:$D$13*(1-'2. The tape'!$J$5:$J$13)^($A29/4)*(1+$AN$5)^($A29/4)*((1-'3. Assumptions'!$B$13)/($AN$6)-'2. The tape'!$H$5:$H$13/12-'3. Assumptions'!$B$16)-'2. The tape'!$C$5:$C$13*'2. The tape'!$I$5:$I$13*(1+$AN$5)^($A29/4)))</f>
        <v>134328325.481104</v>
      </c>
      <c r="AP29" s="33" t="n">
        <f aca="false">'2. The tape'!$C$17*(1+MIN(MAX($AP$5,'3. Assumptions'!$B$11),'3. Assumptions'!$B$10))^INT(($A29-1)/4)/4*(1-'3. Assumptions'!$B$13)</f>
        <v>3200350.42467063</v>
      </c>
      <c r="AQ29" s="33" t="n">
        <f aca="false">(1-'3. Assumptions'!$B$15)*SUMPRODUCT((('2. The tape'!$C$5:$C$13*'2. The tape'!$D$5:$D$13*(1-'2. The tape'!$J$5:$J$13)^($A29/4)*(1+$AP$5)^($A29/4)*((1-'3. Assumptions'!$B$13)/($AP$6)-'2. The tape'!$H$5:$H$13/12-'3. Assumptions'!$B$16)-'2. The tape'!$C$5:$C$13*'2. The tape'!$I$5:$I$13*(1+$AP$5)^($A29/4))&gt;0)*('2. The tape'!$C$5:$C$13*'2. The tape'!$D$5:$D$13*(1-'2. The tape'!$J$5:$J$13)^($A29/4)*(1+$AP$5)^($A29/4)*((1-'3. Assumptions'!$B$13)/($AP$6)-'2. The tape'!$H$5:$H$13/12-'3. Assumptions'!$B$16)-'2. The tape'!$C$5:$C$13*'2. The tape'!$I$5:$I$13*(1+$AP$5)^($A29/4)))</f>
        <v>133941634.251973</v>
      </c>
      <c r="AR29" s="33" t="n">
        <f aca="false">'2. The tape'!$C$17*(1+MIN(MAX($AR$5,'3. Assumptions'!$B$11),'3. Assumptions'!$B$10))^INT(($A29-1)/4)/4*(1-'3. Assumptions'!$B$13)</f>
        <v>3200350.42467063</v>
      </c>
      <c r="AS29" s="33" t="n">
        <f aca="false">(1-'3. Assumptions'!$B$15)*SUMPRODUCT((('2. The tape'!$C$5:$C$13*'2. The tape'!$D$5:$D$13*(1-'2. The tape'!$J$5:$J$13)^($A29/4)*(1+$AR$5)^($A29/4)*((1-'3. Assumptions'!$B$13)/($AR$6)-'2. The tape'!$H$5:$H$13/12-'3. Assumptions'!$B$16)-'2. The tape'!$C$5:$C$13*'2. The tape'!$I$5:$I$13*(1+$AR$5)^($A29/4))&gt;0)*('2. The tape'!$C$5:$C$13*'2. The tape'!$D$5:$D$13*(1-'2. The tape'!$J$5:$J$13)^($A29/4)*(1+$AR$5)^($A29/4)*((1-'3. Assumptions'!$B$13)/($AR$6)-'2. The tape'!$H$5:$H$13/12-'3. Assumptions'!$B$16)-'2. The tape'!$C$5:$C$13*'2. The tape'!$I$5:$I$13*(1+$AR$5)^($A29/4)))</f>
        <v>133948122.376922</v>
      </c>
      <c r="AT29" s="33" t="n">
        <f aca="false">'2. The tape'!$C$17*(1+MIN(MAX($AT$5,'3. Assumptions'!$B$11),'3. Assumptions'!$B$10))^INT(($A29-1)/4)/4*(1-'3. Assumptions'!$B$13)</f>
        <v>3200350.42467063</v>
      </c>
      <c r="AU29" s="33" t="n">
        <f aca="false">(1-'3. Assumptions'!$B$15)*SUMPRODUCT((('2. The tape'!$C$5:$C$13*'2. The tape'!$D$5:$D$13*(1-'2. The tape'!$J$5:$J$13)^($A29/4)*(1+$AT$5)^($A29/4)*((1-'3. Assumptions'!$B$13)/($AT$6)-'2. The tape'!$H$5:$H$13/12-'3. Assumptions'!$B$16)-'2. The tape'!$C$5:$C$13*'2. The tape'!$I$5:$I$13*(1+$AT$5)^($A29/4))&gt;0)*('2. The tape'!$C$5:$C$13*'2. The tape'!$D$5:$D$13*(1-'2. The tape'!$J$5:$J$13)^($A29/4)*(1+$AT$5)^($A29/4)*((1-'3. Assumptions'!$B$13)/($AT$6)-'2. The tape'!$H$5:$H$13/12-'3. Assumptions'!$B$16)-'2. The tape'!$C$5:$C$13*'2. The tape'!$I$5:$I$13*(1+$AT$5)^($A29/4)))</f>
        <v>133948137.486132</v>
      </c>
      <c r="AV29" s="33" t="n">
        <f aca="false">'2. The tape'!$C$17*(1+MIN(MAX($AV$5,'3. Assumptions'!$B$11),'3. Assumptions'!$B$10))^INT(($A29-1)/4)/4*(1-'3. Assumptions'!$B$13)</f>
        <v>3200350.42467063</v>
      </c>
      <c r="AW29" s="33" t="n">
        <f aca="false">(1-'3. Assumptions'!$B$15)*SUMPRODUCT((('2. The tape'!$C$5:$C$13*'2. The tape'!$D$5:$D$13*(1-'2. The tape'!$J$5:$J$13)^($A29/4)*(1+$AV$5)^($A29/4)*((1-'3. Assumptions'!$B$13)/($AV$6)-'2. The tape'!$H$5:$H$13/12-'3. Assumptions'!$B$16)-'2. The tape'!$C$5:$C$13*'2. The tape'!$I$5:$I$13*(1+$AV$5)^($A29/4))&gt;0)*('2. The tape'!$C$5:$C$13*'2. The tape'!$D$5:$D$13*(1-'2. The tape'!$J$5:$J$13)^($A29/4)*(1+$AV$5)^($A29/4)*((1-'3. Assumptions'!$B$13)/($AV$6)-'2. The tape'!$H$5:$H$13/12-'3. Assumptions'!$B$16)-'2. The tape'!$C$5:$C$13*'2. The tape'!$I$5:$I$13*(1+$AV$5)^($A29/4)))</f>
        <v>133948137.48553</v>
      </c>
      <c r="AX29" s="33" t="n">
        <f aca="false">'2. The tape'!$C$17*(1+MIN(MAX($AX$5,'3. Assumptions'!$B$11),'3. Assumptions'!$B$10))^INT(($A29-1)/4)/4*(1-'3. Assumptions'!$B$13)</f>
        <v>3200350.42467063</v>
      </c>
      <c r="AY29" s="33" t="n">
        <f aca="false">(1-'3. Assumptions'!$B$15)*SUMPRODUCT((('2. The tape'!$C$5:$C$13*'2. The tape'!$D$5:$D$13*(1-'2. The tape'!$J$5:$J$13)^($A29/4)*(1+$AX$5)^($A29/4)*((1-'3. Assumptions'!$B$13)/($AX$6)-'2. The tape'!$H$5:$H$13/12-'3. Assumptions'!$B$16)-'2. The tape'!$C$5:$C$13*'2. The tape'!$I$5:$I$13*(1+$AX$5)^($A29/4))&gt;0)*('2. The tape'!$C$5:$C$13*'2. The tape'!$D$5:$D$13*(1-'2. The tape'!$J$5:$J$13)^($A29/4)*(1+$AX$5)^($A29/4)*((1-'3. Assumptions'!$B$13)/($AX$6)-'2. The tape'!$H$5:$H$13/12-'3. Assumptions'!$B$16)-'2. The tape'!$C$5:$C$13*'2. The tape'!$I$5:$I$13*(1+$AX$5)^($A29/4)))</f>
        <v>133948137.48553</v>
      </c>
      <c r="AZ29" s="33" t="n">
        <f aca="false">'2. The tape'!$C$17*(1+MIN(MAX($AZ$5,'3. Assumptions'!$B$11),'3. Assumptions'!$B$10))^INT(($A29-1)/4)/4*(1-'3. Assumptions'!$B$13)</f>
        <v>3200350.42467063</v>
      </c>
      <c r="BA29" s="33" t="n">
        <f aca="false">(1-'3. Assumptions'!$B$15)*SUMPRODUCT((('2. The tape'!$C$5:$C$13*'2. The tape'!$D$5:$D$13*(1-'2. The tape'!$J$5:$J$13)^($A29/4)*(1+$AZ$5)^($A29/4)*((1-'3. Assumptions'!$B$13)/($AZ$6)-'2. The tape'!$H$5:$H$13/12-'3. Assumptions'!$B$16)-'2. The tape'!$C$5:$C$13*'2. The tape'!$I$5:$I$13*(1+$AZ$5)^($A29/4))&gt;0)*('2. The tape'!$C$5:$C$13*'2. The tape'!$D$5:$D$13*(1-'2. The tape'!$J$5:$J$13)^($A29/4)*(1+$AZ$5)^($A29/4)*((1-'3. Assumptions'!$B$13)/($AZ$6)-'2. The tape'!$H$5:$H$13/12-'3. Assumptions'!$B$16)-'2. The tape'!$C$5:$C$13*'2. The tape'!$I$5:$I$13*(1+$AZ$5)^($A29/4)))</f>
        <v>133948137.48553</v>
      </c>
    </row>
    <row r="30" customFormat="false" ht="15" hidden="false" customHeight="false" outlineLevel="0" collapsed="false">
      <c r="A30" s="20" t="n">
        <v>15</v>
      </c>
      <c r="B30" s="33" t="n">
        <f aca="false">'2. The tape'!$C$17*(1+MIN(MAX($B$5,'3. Assumptions'!$B$11),'3. Assumptions'!$B$10))^INT(($A30-1)/4)/4*(1-'3. Assumptions'!$B$13)</f>
        <v>3200350.42467063</v>
      </c>
      <c r="C30" s="33" t="n">
        <f aca="false">(1-'3. Assumptions'!$B$15)*SUMPRODUCT((('2. The tape'!$C$5:$C$13*'2. The tape'!$D$5:$D$13*(1-'2. The tape'!$J$5:$J$13)^($A30/4)*(1+$B$5)^($A30/4)*((1-'3. Assumptions'!$B$13)/($B$6)-'2. The tape'!$H$5:$H$13/12-'3. Assumptions'!$B$16)-'2. The tape'!$C$5:$C$13*'2. The tape'!$I$5:$I$13*(1+$B$5)^($A30/4))&gt;0)*('2. The tape'!$C$5:$C$13*'2. The tape'!$D$5:$D$13*(1-'2. The tape'!$J$5:$J$13)^($A30/4)*(1+$B$5)^($A30/4)*((1-'3. Assumptions'!$B$13)/($B$6)-'2. The tape'!$H$5:$H$13/12-'3. Assumptions'!$B$16)-'2. The tape'!$C$5:$C$13*'2. The tape'!$I$5:$I$13*(1+$B$5)^($A30/4)))</f>
        <v>80540661.3969845</v>
      </c>
      <c r="D30" s="33" t="n">
        <f aca="false">'2. The tape'!$C$17*(1+MIN(MAX($D$5,'3. Assumptions'!$B$11),'3. Assumptions'!$B$10))^INT(($A30-1)/4)/4*(1-'3. Assumptions'!$B$13)</f>
        <v>3276095.25733875</v>
      </c>
      <c r="E30" s="33" t="n">
        <f aca="false">(1-'3. Assumptions'!$B$15)*SUMPRODUCT((('2. The tape'!$C$5:$C$13*'2. The tape'!$D$5:$D$13*(1-'2. The tape'!$J$5:$J$13)^($A30/4)*(1+$D$5)^($A30/4)*((1-'3. Assumptions'!$B$13)/($D$6)-'2. The tape'!$H$5:$H$13/12-'3. Assumptions'!$B$16)-'2. The tape'!$C$5:$C$13*'2. The tape'!$I$5:$I$13*(1+$D$5)^($A30/4))&gt;0)*('2. The tape'!$C$5:$C$13*'2. The tape'!$D$5:$D$13*(1-'2. The tape'!$J$5:$J$13)^($A30/4)*(1+$D$5)^($A30/4)*((1-'3. Assumptions'!$B$13)/($D$6)-'2. The tape'!$H$5:$H$13/12-'3. Assumptions'!$B$16)-'2. The tape'!$C$5:$C$13*'2. The tape'!$I$5:$I$13*(1+$D$5)^($A30/4)))</f>
        <v>84450192.5610997</v>
      </c>
      <c r="F30" s="33" t="n">
        <f aca="false">'2. The tape'!$C$17*(1+MIN(MAX($F$5,'3. Assumptions'!$B$11),'3. Assumptions'!$B$10))^INT(($A30-1)/4)/4*(1-'3. Assumptions'!$B$13)</f>
        <v>3088936.41296625</v>
      </c>
      <c r="G30" s="33" t="n">
        <f aca="false">(1-'3. Assumptions'!$B$15)*SUMPRODUCT((('2. The tape'!$C$5:$C$13*'2. The tape'!$D$5:$D$13*(1-'2. The tape'!$J$5:$J$13)^($A30/4)*(1+$F$5)^($A30/4)*((1-'3. Assumptions'!$B$13)/($F$6)-'2. The tape'!$H$5:$H$13/12-'3. Assumptions'!$B$16)-'2. The tape'!$C$5:$C$13*'2. The tape'!$I$5:$I$13*(1+$F$5)^($A30/4))&gt;0)*('2. The tape'!$C$5:$C$13*'2. The tape'!$D$5:$D$13*(1-'2. The tape'!$J$5:$J$13)^($A30/4)*(1+$F$5)^($A30/4)*((1-'3. Assumptions'!$B$13)/($F$6)-'2. The tape'!$H$5:$H$13/12-'3. Assumptions'!$B$16)-'2. The tape'!$C$5:$C$13*'2. The tape'!$I$5:$I$13*(1+$F$5)^($A30/4)))</f>
        <v>77051213.7145096</v>
      </c>
      <c r="H30" s="33" t="n">
        <f aca="false">'2. The tape'!$C$17*(1+MIN(MAX($H$5,'3. Assumptions'!$B$11),'3. Assumptions'!$B$10))^INT(($A30-1)/4)/4*(1-'3. Assumptions'!$B$13)</f>
        <v>3276095.25733875</v>
      </c>
      <c r="I30" s="33" t="n">
        <f aca="false">(1-'3. Assumptions'!$B$15)*SUMPRODUCT((('2. The tape'!$C$5:$C$13*'2. The tape'!$D$5:$D$13*(1-'2. The tape'!$J$5:$J$13)^($A30/4)*(1+$H$5)^($A30/4)*((1-'3. Assumptions'!$B$13)/($H$6)-'2. The tape'!$H$5:$H$13/12-'3. Assumptions'!$B$16)-'2. The tape'!$C$5:$C$13*'2. The tape'!$I$5:$I$13*(1+$H$5)^($A30/4))&gt;0)*('2. The tape'!$C$5:$C$13*'2. The tape'!$D$5:$D$13*(1-'2. The tape'!$J$5:$J$13)^($A30/4)*(1+$H$5)^($A30/4)*((1-'3. Assumptions'!$B$13)/($H$6)-'2. The tape'!$H$5:$H$13/12-'3. Assumptions'!$B$16)-'2. The tape'!$C$5:$C$13*'2. The tape'!$I$5:$I$13*(1+$H$5)^($A30/4)))</f>
        <v>84450192.5610997</v>
      </c>
      <c r="J30" s="33" t="n">
        <f aca="false">'2. The tape'!$C$17*(1+MIN(MAX($J$5,'3. Assumptions'!$B$11),'3. Assumptions'!$B$10))^INT(($A30-1)/4)/4*(1-'3. Assumptions'!$B$13)</f>
        <v>3200350.42467063</v>
      </c>
      <c r="K30" s="33" t="n">
        <f aca="false">(1-'3. Assumptions'!$B$15)*SUMPRODUCT((('2. The tape'!$C$5:$C$13*'2. The tape'!$D$5:$D$13*(1-'2. The tape'!$J$5:$J$13)^($A30/4)*(1+$J$5)^($A30/4)*((1-'3. Assumptions'!$B$13)/($J$6)-'2. The tape'!$H$5:$H$13/12-'3. Assumptions'!$B$16)-'2. The tape'!$C$5:$C$13*'2. The tape'!$I$5:$I$13*(1+$J$5)^($A30/4))&gt;0)*('2. The tape'!$C$5:$C$13*'2. The tape'!$D$5:$D$13*(1-'2. The tape'!$J$5:$J$13)^($A30/4)*(1+$J$5)^($A30/4)*((1-'3. Assumptions'!$B$13)/($J$6)-'2. The tape'!$H$5:$H$13/12-'3. Assumptions'!$B$16)-'2. The tape'!$C$5:$C$13*'2. The tape'!$I$5:$I$13*(1+$J$5)^($A30/4)))</f>
        <v>66445658.5374735</v>
      </c>
      <c r="L30" s="33" t="n">
        <f aca="false">'2. The tape'!$C$17*(1+MIN(MAX($L$5,'3. Assumptions'!$B$11),'3. Assumptions'!$B$10))^INT(($A30-1)/4)/4*(1-'3. Assumptions'!$B$13)</f>
        <v>3276095.25733875</v>
      </c>
      <c r="M30" s="33" t="n">
        <f aca="false">(1-'3. Assumptions'!$B$15)*SUMPRODUCT((('2. The tape'!$C$5:$C$13*'2. The tape'!$D$5:$D$13*(1-'2. The tape'!$J$5:$J$13)^($A30/4)*(1+$L$5)^($A30/4)*((1-'3. Assumptions'!$B$13)/($L$6)-'2. The tape'!$H$5:$H$13/12-'3. Assumptions'!$B$16)-'2. The tape'!$C$5:$C$13*'2. The tape'!$I$5:$I$13*(1+$L$5)^($A30/4))&gt;0)*('2. The tape'!$C$5:$C$13*'2. The tape'!$D$5:$D$13*(1-'2. The tape'!$J$5:$J$13)^($A30/4)*(1+$L$5)^($A30/4)*((1-'3. Assumptions'!$B$13)/($L$6)-'2. The tape'!$H$5:$H$13/12-'3. Assumptions'!$B$16)-'2. The tape'!$C$5:$C$13*'2. The tape'!$I$5:$I$13*(1+$L$5)^($A30/4)))</f>
        <v>198546348.185999</v>
      </c>
      <c r="N30" s="33" t="n">
        <f aca="false">'2. The tape'!$C$17*(1+MIN(MAX($N$5,'3. Assumptions'!$B$11),'3. Assumptions'!$B$10))^INT(($A30-1)/4)/4*(1-'3. Assumptions'!$B$13)</f>
        <v>2998091.25</v>
      </c>
      <c r="O30" s="33" t="n">
        <f aca="false">(1-'3. Assumptions'!$B$15)*SUMPRODUCT((('2. The tape'!$C$5:$C$13*'2. The tape'!$D$5:$D$13*(1-'2. The tape'!$J$5:$J$13)^($A30/4)*(1+$N$5)^($A30/4)*((1-'3. Assumptions'!$B$13)/($N$6)-'2. The tape'!$H$5:$H$13/12-'3. Assumptions'!$B$16)-'2. The tape'!$C$5:$C$13*'2. The tape'!$I$5:$I$13*(1+$N$5)^($A30/4))&gt;0)*('2. The tape'!$C$5:$C$13*'2. The tape'!$D$5:$D$13*(1-'2. The tape'!$J$5:$J$13)^($A30/4)*(1+$N$5)^($A30/4)*((1-'3. Assumptions'!$B$13)/($N$6)-'2. The tape'!$H$5:$H$13/12-'3. Assumptions'!$B$16)-'2. The tape'!$C$5:$C$13*'2. The tape'!$I$5:$I$13*(1+$N$5)^($A30/4)))</f>
        <v>66216822.3806293</v>
      </c>
      <c r="P30" s="33" t="n">
        <f aca="false">'2. The tape'!$C$17*(1+MIN(MAX($P$5,'3. Assumptions'!$B$11),'3. Assumptions'!$B$10))^INT(($A30-1)/4)/4*(1-'3. Assumptions'!$B$13)</f>
        <v>2998091.25</v>
      </c>
      <c r="Q30" s="33" t="n">
        <f aca="false">(1-'3. Assumptions'!$B$15)*SUMPRODUCT((('2. The tape'!$C$5:$C$13*'2. The tape'!$D$5:$D$13*(1-'2. The tape'!$J$5:$J$13)^($A30/4)*(1+$P$5)^($A30/4)*((1-'3. Assumptions'!$B$13)/($P$6)-'2. The tape'!$H$5:$H$13/12-'3. Assumptions'!$B$16)-'2. The tape'!$C$5:$C$13*'2. The tape'!$I$5:$I$13*(1+$P$5)^($A30/4))&gt;0)*('2. The tape'!$C$5:$C$13*'2. The tape'!$D$5:$D$13*(1-'2. The tape'!$J$5:$J$13)^($A30/4)*(1+$P$5)^($A30/4)*((1-'3. Assumptions'!$B$13)/($P$6)-'2. The tape'!$H$5:$H$13/12-'3. Assumptions'!$B$16)-'2. The tape'!$C$5:$C$13*'2. The tape'!$I$5:$I$13*(1+$P$5)^($A30/4)))</f>
        <v>68813257.3763164</v>
      </c>
      <c r="R30" s="33" t="n">
        <f aca="false">'2. The tape'!$C$17*(1+MIN(MAX($R$5,'3. Assumptions'!$B$11),'3. Assumptions'!$B$10))^INT(($A30-1)/4)/4*(1-'3. Assumptions'!$B$13)</f>
        <v>2998091.25</v>
      </c>
      <c r="S30" s="33" t="n">
        <f aca="false">(1-'3. Assumptions'!$B$15)*SUMPRODUCT((('2. The tape'!$C$5:$C$13*'2. The tape'!$D$5:$D$13*(1-'2. The tape'!$J$5:$J$13)^($A30/4)*(1+$R$5)^($A30/4)*((1-'3. Assumptions'!$B$13)/($R$6)-'2. The tape'!$H$5:$H$13/12-'3. Assumptions'!$B$16)-'2. The tape'!$C$5:$C$13*'2. The tape'!$I$5:$I$13*(1+$R$5)^($A30/4))&gt;0)*('2. The tape'!$C$5:$C$13*'2. The tape'!$D$5:$D$13*(1-'2. The tape'!$J$5:$J$13)^($A30/4)*(1+$R$5)^($A30/4)*((1-'3. Assumptions'!$B$13)/($R$6)-'2. The tape'!$H$5:$H$13/12-'3. Assumptions'!$B$16)-'2. The tape'!$C$5:$C$13*'2. The tape'!$I$5:$I$13*(1+$R$5)^($A30/4)))</f>
        <v>67232762.1491651</v>
      </c>
      <c r="T30" s="33" t="n">
        <f aca="false">'2. The tape'!$C$17*(1+MIN(MAX($T$5,'3. Assumptions'!$B$11),'3. Assumptions'!$B$10))^INT(($A30-1)/4)/4*(1-'3. Assumptions'!$B$13)</f>
        <v>2998091.25</v>
      </c>
      <c r="U30" s="33" t="n">
        <f aca="false">(1-'3. Assumptions'!$B$15)*SUMPRODUCT((('2. The tape'!$C$5:$C$13*'2. The tape'!$D$5:$D$13*(1-'2. The tape'!$J$5:$J$13)^($A30/4)*(1+$T$5)^($A30/4)*((1-'3. Assumptions'!$B$13)/($T$6)-'2. The tape'!$H$5:$H$13/12-'3. Assumptions'!$B$16)-'2. The tape'!$C$5:$C$13*'2. The tape'!$I$5:$I$13*(1+$T$5)^($A30/4))&gt;0)*('2. The tape'!$C$5:$C$13*'2. The tape'!$D$5:$D$13*(1-'2. The tape'!$J$5:$J$13)^($A30/4)*(1+$T$5)^($A30/4)*((1-'3. Assumptions'!$B$13)/($T$6)-'2. The tape'!$H$5:$H$13/12-'3. Assumptions'!$B$16)-'2. The tape'!$C$5:$C$13*'2. The tape'!$I$5:$I$13*(1+$T$5)^($A30/4)))</f>
        <v>67190267.2343377</v>
      </c>
      <c r="V30" s="33" t="n">
        <f aca="false">'2. The tape'!$C$17*(1+MIN(MAX($V$5,'3. Assumptions'!$B$11),'3. Assumptions'!$B$10))^INT(($A30-1)/4)/4*(1-'3. Assumptions'!$B$13)</f>
        <v>2998091.25</v>
      </c>
      <c r="W30" s="33" t="n">
        <f aca="false">(1-'3. Assumptions'!$B$15)*SUMPRODUCT((('2. The tape'!$C$5:$C$13*'2. The tape'!$D$5:$D$13*(1-'2. The tape'!$J$5:$J$13)^($A30/4)*(1+$V$5)^($A30/4)*((1-'3. Assumptions'!$B$13)/($V$6)-'2. The tape'!$H$5:$H$13/12-'3. Assumptions'!$B$16)-'2. The tape'!$C$5:$C$13*'2. The tape'!$I$5:$I$13*(1+$V$5)^($A30/4))&gt;0)*('2. The tape'!$C$5:$C$13*'2. The tape'!$D$5:$D$13*(1-'2. The tape'!$J$5:$J$13)^($A30/4)*(1+$V$5)^($A30/4)*((1-'3. Assumptions'!$B$13)/($V$6)-'2. The tape'!$H$5:$H$13/12-'3. Assumptions'!$B$16)-'2. The tape'!$C$5:$C$13*'2. The tape'!$I$5:$I$13*(1+$V$5)^($A30/4)))</f>
        <v>67191974.2592889</v>
      </c>
      <c r="X30" s="33" t="n">
        <f aca="false">'2. The tape'!$C$17*(1+MIN(MAX($X$5,'3. Assumptions'!$B$11),'3. Assumptions'!$B$10))^INT(($A30-1)/4)/4*(1-'3. Assumptions'!$B$13)</f>
        <v>2998091.25</v>
      </c>
      <c r="Y30" s="33" t="n">
        <f aca="false">(1-'3. Assumptions'!$B$15)*SUMPRODUCT((('2. The tape'!$C$5:$C$13*'2. The tape'!$D$5:$D$13*(1-'2. The tape'!$J$5:$J$13)^($A30/4)*(1+$X$5)^($A30/4)*((1-'3. Assumptions'!$B$13)/($X$6)-'2. The tape'!$H$5:$H$13/12-'3. Assumptions'!$B$16)-'2. The tape'!$C$5:$C$13*'2. The tape'!$I$5:$I$13*(1+$X$5)^($A30/4))&gt;0)*('2. The tape'!$C$5:$C$13*'2. The tape'!$D$5:$D$13*(1-'2. The tape'!$J$5:$J$13)^($A30/4)*(1+$X$5)^($A30/4)*((1-'3. Assumptions'!$B$13)/($X$6)-'2. The tape'!$H$5:$H$13/12-'3. Assumptions'!$B$16)-'2. The tape'!$C$5:$C$13*'2. The tape'!$I$5:$I$13*(1+$X$5)^($A30/4)))</f>
        <v>67191972.4642293</v>
      </c>
      <c r="Z30" s="33" t="n">
        <f aca="false">'2. The tape'!$C$17*(1+MIN(MAX($Z$5,'3. Assumptions'!$B$11),'3. Assumptions'!$B$10))^INT(($A30-1)/4)/4*(1-'3. Assumptions'!$B$13)</f>
        <v>2998091.25</v>
      </c>
      <c r="AA30" s="33" t="n">
        <f aca="false">(1-'3. Assumptions'!$B$15)*SUMPRODUCT((('2. The tape'!$C$5:$C$13*'2. The tape'!$D$5:$D$13*(1-'2. The tape'!$J$5:$J$13)^($A30/4)*(1+$Z$5)^($A30/4)*((1-'3. Assumptions'!$B$13)/($Z$6)-'2. The tape'!$H$5:$H$13/12-'3. Assumptions'!$B$16)-'2. The tape'!$C$5:$C$13*'2. The tape'!$I$5:$I$13*(1+$Z$5)^($A30/4))&gt;0)*('2. The tape'!$C$5:$C$13*'2. The tape'!$D$5:$D$13*(1-'2. The tape'!$J$5:$J$13)^($A30/4)*(1+$Z$5)^($A30/4)*((1-'3. Assumptions'!$B$13)/($Z$6)-'2. The tape'!$H$5:$H$13/12-'3. Assumptions'!$B$16)-'2. The tape'!$C$5:$C$13*'2. The tape'!$I$5:$I$13*(1+$Z$5)^($A30/4)))</f>
        <v>67191972.4641503</v>
      </c>
      <c r="AB30" s="33" t="n">
        <f aca="false">'2. The tape'!$C$17*(1+MIN(MAX($AB$5,'3. Assumptions'!$B$11),'3. Assumptions'!$B$10))^INT(($A30-1)/4)/4*(1-'3. Assumptions'!$B$13)</f>
        <v>2998091.25</v>
      </c>
      <c r="AC30" s="33" t="n">
        <f aca="false">(1-'3. Assumptions'!$B$15)*SUMPRODUCT((('2. The tape'!$C$5:$C$13*'2. The tape'!$D$5:$D$13*(1-'2. The tape'!$J$5:$J$13)^($A30/4)*(1+$AB$5)^($A30/4)*((1-'3. Assumptions'!$B$13)/($AB$6)-'2. The tape'!$H$5:$H$13/12-'3. Assumptions'!$B$16)-'2. The tape'!$C$5:$C$13*'2. The tape'!$I$5:$I$13*(1+$AB$5)^($A30/4))&gt;0)*('2. The tape'!$C$5:$C$13*'2. The tape'!$D$5:$D$13*(1-'2. The tape'!$J$5:$J$13)^($A30/4)*(1+$AB$5)^($A30/4)*((1-'3. Assumptions'!$B$13)/($AB$6)-'2. The tape'!$H$5:$H$13/12-'3. Assumptions'!$B$16)-'2. The tape'!$C$5:$C$13*'2. The tape'!$I$5:$I$13*(1+$AB$5)^($A30/4)))</f>
        <v>67191972.4641503</v>
      </c>
      <c r="AD30" s="33" t="n">
        <f aca="false">'2. The tape'!$C$17*(1+MIN(MAX($AD$5,'3. Assumptions'!$B$11),'3. Assumptions'!$B$10))^INT(($A30-1)/4)/4*(1-'3. Assumptions'!$B$13)</f>
        <v>2998091.25</v>
      </c>
      <c r="AE30" s="33" t="n">
        <f aca="false">(1-'3. Assumptions'!$B$15)*SUMPRODUCT((('2. The tape'!$C$5:$C$13*'2. The tape'!$D$5:$D$13*(1-'2. The tape'!$J$5:$J$13)^($A30/4)*(1+$AD$5)^($A30/4)*((1-'3. Assumptions'!$B$13)/($AD$6)-'2. The tape'!$H$5:$H$13/12-'3. Assumptions'!$B$16)-'2. The tape'!$C$5:$C$13*'2. The tape'!$I$5:$I$13*(1+$AD$5)^($A30/4))&gt;0)*('2. The tape'!$C$5:$C$13*'2. The tape'!$D$5:$D$13*(1-'2. The tape'!$J$5:$J$13)^($A30/4)*(1+$AD$5)^($A30/4)*((1-'3. Assumptions'!$B$13)/($AD$6)-'2. The tape'!$H$5:$H$13/12-'3. Assumptions'!$B$16)-'2. The tape'!$C$5:$C$13*'2. The tape'!$I$5:$I$13*(1+$AD$5)^($A30/4)))</f>
        <v>67191972.4641503</v>
      </c>
      <c r="AF30" s="33" t="n">
        <f aca="false">'2. The tape'!$C$17*(1+MIN(MAX($AF$5,'3. Assumptions'!$B$11),'3. Assumptions'!$B$10))^INT(($A30-1)/4)/4*(1-'3. Assumptions'!$B$13)</f>
        <v>2998091.25</v>
      </c>
      <c r="AG30" s="33" t="n">
        <f aca="false">(1-'3. Assumptions'!$B$15)*SUMPRODUCT((('2. The tape'!$C$5:$C$13*'2. The tape'!$D$5:$D$13*(1-'2. The tape'!$J$5:$J$13)^($A30/4)*(1+$AF$5)^($A30/4)*((1-'3. Assumptions'!$B$13)/($AF$6)-'2. The tape'!$H$5:$H$13/12-'3. Assumptions'!$B$16)-'2. The tape'!$C$5:$C$13*'2. The tape'!$I$5:$I$13*(1+$AF$5)^($A30/4))&gt;0)*('2. The tape'!$C$5:$C$13*'2. The tape'!$D$5:$D$13*(1-'2. The tape'!$J$5:$J$13)^($A30/4)*(1+$AF$5)^($A30/4)*((1-'3. Assumptions'!$B$13)/($AF$6)-'2. The tape'!$H$5:$H$13/12-'3. Assumptions'!$B$16)-'2. The tape'!$C$5:$C$13*'2. The tape'!$I$5:$I$13*(1+$AF$5)^($A30/4)))</f>
        <v>67191972.4641503</v>
      </c>
      <c r="AH30" s="33" t="n">
        <f aca="false">'2. The tape'!$C$17*(1+MIN(MAX($AH$5,'3. Assumptions'!$B$11),'3. Assumptions'!$B$10))^INT(($A30-1)/4)/4*(1-'3. Assumptions'!$B$13)</f>
        <v>3200350.42467063</v>
      </c>
      <c r="AI30" s="33" t="n">
        <f aca="false">(1-'3. Assumptions'!$B$15)*SUMPRODUCT((('2. The tape'!$C$5:$C$13*'2. The tape'!$D$5:$D$13*(1-'2. The tape'!$J$5:$J$13)^($A30/4)*(1+$AH$5)^($A30/4)*((1-'3. Assumptions'!$B$13)/($AH$6)-'2. The tape'!$H$5:$H$13/12-'3. Assumptions'!$B$16)-'2. The tape'!$C$5:$C$13*'2. The tape'!$I$5:$I$13*(1+$AH$5)^($A30/4))&gt;0)*('2. The tape'!$C$5:$C$13*'2. The tape'!$D$5:$D$13*(1-'2. The tape'!$J$5:$J$13)^($A30/4)*(1+$AH$5)^($A30/4)*((1-'3. Assumptions'!$B$13)/($AH$6)-'2. The tape'!$H$5:$H$13/12-'3. Assumptions'!$B$16)-'2. The tape'!$C$5:$C$13*'2. The tape'!$I$5:$I$13*(1+$AH$5)^($A30/4)))</f>
        <v>157499377.009914</v>
      </c>
      <c r="AJ30" s="33" t="n">
        <f aca="false">'2. The tape'!$C$17*(1+MIN(MAX($AJ$5,'3. Assumptions'!$B$11),'3. Assumptions'!$B$10))^INT(($A30-1)/4)/4*(1-'3. Assumptions'!$B$13)</f>
        <v>3200350.42467063</v>
      </c>
      <c r="AK30" s="33" t="n">
        <f aca="false">(1-'3. Assumptions'!$B$15)*SUMPRODUCT((('2. The tape'!$C$5:$C$13*'2. The tape'!$D$5:$D$13*(1-'2. The tape'!$J$5:$J$13)^($A30/4)*(1+$AJ$5)^($A30/4)*((1-'3. Assumptions'!$B$13)/($AJ$6)-'2. The tape'!$H$5:$H$13/12-'3. Assumptions'!$B$16)-'2. The tape'!$C$5:$C$13*'2. The tape'!$I$5:$I$13*(1+$AJ$5)^($A30/4))&gt;0)*('2. The tape'!$C$5:$C$13*'2. The tape'!$D$5:$D$13*(1-'2. The tape'!$J$5:$J$13)^($A30/4)*(1+$AJ$5)^($A30/4)*((1-'3. Assumptions'!$B$13)/($AJ$6)-'2. The tape'!$H$5:$H$13/12-'3. Assumptions'!$B$16)-'2. The tape'!$C$5:$C$13*'2. The tape'!$I$5:$I$13*(1+$AJ$5)^($A30/4)))</f>
        <v>114368668.259811</v>
      </c>
      <c r="AL30" s="33" t="n">
        <f aca="false">'2. The tape'!$C$17*(1+MIN(MAX($AL$5,'3. Assumptions'!$B$11),'3. Assumptions'!$B$10))^INT(($A30-1)/4)/4*(1-'3. Assumptions'!$B$13)</f>
        <v>3200350.42467063</v>
      </c>
      <c r="AM30" s="33" t="n">
        <f aca="false">(1-'3. Assumptions'!$B$15)*SUMPRODUCT((('2. The tape'!$C$5:$C$13*'2. The tape'!$D$5:$D$13*(1-'2. The tape'!$J$5:$J$13)^($A30/4)*(1+$AL$5)^($A30/4)*((1-'3. Assumptions'!$B$13)/($AL$6)-'2. The tape'!$H$5:$H$13/12-'3. Assumptions'!$B$16)-'2. The tape'!$C$5:$C$13*'2. The tape'!$I$5:$I$13*(1+$AL$5)^($A30/4))&gt;0)*('2. The tape'!$C$5:$C$13*'2. The tape'!$D$5:$D$13*(1-'2. The tape'!$J$5:$J$13)^($A30/4)*(1+$AL$5)^($A30/4)*((1-'3. Assumptions'!$B$13)/($AL$6)-'2. The tape'!$H$5:$H$13/12-'3. Assumptions'!$B$16)-'2. The tape'!$C$5:$C$13*'2. The tape'!$I$5:$I$13*(1+$AL$5)^($A30/4)))</f>
        <v>131096631.140272</v>
      </c>
      <c r="AN30" s="33" t="n">
        <f aca="false">'2. The tape'!$C$17*(1+MIN(MAX($AN$5,'3. Assumptions'!$B$11),'3. Assumptions'!$B$10))^INT(($A30-1)/4)/4*(1-'3. Assumptions'!$B$13)</f>
        <v>3200350.42467063</v>
      </c>
      <c r="AO30" s="33" t="n">
        <f aca="false">(1-'3. Assumptions'!$B$15)*SUMPRODUCT((('2. The tape'!$C$5:$C$13*'2. The tape'!$D$5:$D$13*(1-'2. The tape'!$J$5:$J$13)^($A30/4)*(1+$AN$5)^($A30/4)*((1-'3. Assumptions'!$B$13)/($AN$6)-'2. The tape'!$H$5:$H$13/12-'3. Assumptions'!$B$16)-'2. The tape'!$C$5:$C$13*'2. The tape'!$I$5:$I$13*(1+$AN$5)^($A30/4))&gt;0)*('2. The tape'!$C$5:$C$13*'2. The tape'!$D$5:$D$13*(1-'2. The tape'!$J$5:$J$13)^($A30/4)*(1+$AN$5)^($A30/4)*((1-'3. Assumptions'!$B$13)/($AN$6)-'2. The tape'!$H$5:$H$13/12-'3. Assumptions'!$B$16)-'2. The tape'!$C$5:$C$13*'2. The tape'!$I$5:$I$13*(1+$AN$5)^($A30/4)))</f>
        <v>134228619.493172</v>
      </c>
      <c r="AP30" s="33" t="n">
        <f aca="false">'2. The tape'!$C$17*(1+MIN(MAX($AP$5,'3. Assumptions'!$B$11),'3. Assumptions'!$B$10))^INT(($A30-1)/4)/4*(1-'3. Assumptions'!$B$13)</f>
        <v>3200350.42467063</v>
      </c>
      <c r="AQ30" s="33" t="n">
        <f aca="false">(1-'3. Assumptions'!$B$15)*SUMPRODUCT((('2. The tape'!$C$5:$C$13*'2. The tape'!$D$5:$D$13*(1-'2. The tape'!$J$5:$J$13)^($A30/4)*(1+$AP$5)^($A30/4)*((1-'3. Assumptions'!$B$13)/($AP$6)-'2. The tape'!$H$5:$H$13/12-'3. Assumptions'!$B$16)-'2. The tape'!$C$5:$C$13*'2. The tape'!$I$5:$I$13*(1+$AP$5)^($A30/4))&gt;0)*('2. The tape'!$C$5:$C$13*'2. The tape'!$D$5:$D$13*(1-'2. The tape'!$J$5:$J$13)^($A30/4)*(1+$AP$5)^($A30/4)*((1-'3. Assumptions'!$B$13)/($AP$6)-'2. The tape'!$H$5:$H$13/12-'3. Assumptions'!$B$16)-'2. The tape'!$C$5:$C$13*'2. The tape'!$I$5:$I$13*(1+$AP$5)^($A30/4)))</f>
        <v>133841981.957965</v>
      </c>
      <c r="AR30" s="33" t="n">
        <f aca="false">'2. The tape'!$C$17*(1+MIN(MAX($AR$5,'3. Assumptions'!$B$11),'3. Assumptions'!$B$10))^INT(($A30-1)/4)/4*(1-'3. Assumptions'!$B$13)</f>
        <v>3200350.42467063</v>
      </c>
      <c r="AS30" s="33" t="n">
        <f aca="false">(1-'3. Assumptions'!$B$15)*SUMPRODUCT((('2. The tape'!$C$5:$C$13*'2. The tape'!$D$5:$D$13*(1-'2. The tape'!$J$5:$J$13)^($A30/4)*(1+$AR$5)^($A30/4)*((1-'3. Assumptions'!$B$13)/($AR$6)-'2. The tape'!$H$5:$H$13/12-'3. Assumptions'!$B$16)-'2. The tape'!$C$5:$C$13*'2. The tape'!$I$5:$I$13*(1+$AR$5)^($A30/4))&gt;0)*('2. The tape'!$C$5:$C$13*'2. The tape'!$D$5:$D$13*(1-'2. The tape'!$J$5:$J$13)^($A30/4)*(1+$AR$5)^($A30/4)*((1-'3. Assumptions'!$B$13)/($AR$6)-'2. The tape'!$H$5:$H$13/12-'3. Assumptions'!$B$16)-'2. The tape'!$C$5:$C$13*'2. The tape'!$I$5:$I$13*(1+$AR$5)^($A30/4)))</f>
        <v>133848469.182006</v>
      </c>
      <c r="AT30" s="33" t="n">
        <f aca="false">'2. The tape'!$C$17*(1+MIN(MAX($AT$5,'3. Assumptions'!$B$11),'3. Assumptions'!$B$10))^INT(($A30-1)/4)/4*(1-'3. Assumptions'!$B$13)</f>
        <v>3200350.42467063</v>
      </c>
      <c r="AU30" s="33" t="n">
        <f aca="false">(1-'3. Assumptions'!$B$15)*SUMPRODUCT((('2. The tape'!$C$5:$C$13*'2. The tape'!$D$5:$D$13*(1-'2. The tape'!$J$5:$J$13)^($A30/4)*(1+$AT$5)^($A30/4)*((1-'3. Assumptions'!$B$13)/($AT$6)-'2. The tape'!$H$5:$H$13/12-'3. Assumptions'!$B$16)-'2. The tape'!$C$5:$C$13*'2. The tape'!$I$5:$I$13*(1+$AT$5)^($A30/4))&gt;0)*('2. The tape'!$C$5:$C$13*'2. The tape'!$D$5:$D$13*(1-'2. The tape'!$J$5:$J$13)^($A30/4)*(1+$AT$5)^($A30/4)*((1-'3. Assumptions'!$B$13)/($AT$6)-'2. The tape'!$H$5:$H$13/12-'3. Assumptions'!$B$16)-'2. The tape'!$C$5:$C$13*'2. The tape'!$I$5:$I$13*(1+$AT$5)^($A30/4)))</f>
        <v>133848484.289119</v>
      </c>
      <c r="AV30" s="33" t="n">
        <f aca="false">'2. The tape'!$C$17*(1+MIN(MAX($AV$5,'3. Assumptions'!$B$11),'3. Assumptions'!$B$10))^INT(($A30-1)/4)/4*(1-'3. Assumptions'!$B$13)</f>
        <v>3200350.42467063</v>
      </c>
      <c r="AW30" s="33" t="n">
        <f aca="false">(1-'3. Assumptions'!$B$15)*SUMPRODUCT((('2. The tape'!$C$5:$C$13*'2. The tape'!$D$5:$D$13*(1-'2. The tape'!$J$5:$J$13)^($A30/4)*(1+$AV$5)^($A30/4)*((1-'3. Assumptions'!$B$13)/($AV$6)-'2. The tape'!$H$5:$H$13/12-'3. Assumptions'!$B$16)-'2. The tape'!$C$5:$C$13*'2. The tape'!$I$5:$I$13*(1+$AV$5)^($A30/4))&gt;0)*('2. The tape'!$C$5:$C$13*'2. The tape'!$D$5:$D$13*(1-'2. The tape'!$J$5:$J$13)^($A30/4)*(1+$AV$5)^($A30/4)*((1-'3. Assumptions'!$B$13)/($AV$6)-'2. The tape'!$H$5:$H$13/12-'3. Assumptions'!$B$16)-'2. The tape'!$C$5:$C$13*'2. The tape'!$I$5:$I$13*(1+$AV$5)^($A30/4)))</f>
        <v>133848484.288517</v>
      </c>
      <c r="AX30" s="33" t="n">
        <f aca="false">'2. The tape'!$C$17*(1+MIN(MAX($AX$5,'3. Assumptions'!$B$11),'3. Assumptions'!$B$10))^INT(($A30-1)/4)/4*(1-'3. Assumptions'!$B$13)</f>
        <v>3200350.42467063</v>
      </c>
      <c r="AY30" s="33" t="n">
        <f aca="false">(1-'3. Assumptions'!$B$15)*SUMPRODUCT((('2. The tape'!$C$5:$C$13*'2. The tape'!$D$5:$D$13*(1-'2. The tape'!$J$5:$J$13)^($A30/4)*(1+$AX$5)^($A30/4)*((1-'3. Assumptions'!$B$13)/($AX$6)-'2. The tape'!$H$5:$H$13/12-'3. Assumptions'!$B$16)-'2. The tape'!$C$5:$C$13*'2. The tape'!$I$5:$I$13*(1+$AX$5)^($A30/4))&gt;0)*('2. The tape'!$C$5:$C$13*'2. The tape'!$D$5:$D$13*(1-'2. The tape'!$J$5:$J$13)^($A30/4)*(1+$AX$5)^($A30/4)*((1-'3. Assumptions'!$B$13)/($AX$6)-'2. The tape'!$H$5:$H$13/12-'3. Assumptions'!$B$16)-'2. The tape'!$C$5:$C$13*'2. The tape'!$I$5:$I$13*(1+$AX$5)^($A30/4)))</f>
        <v>133848484.288517</v>
      </c>
      <c r="AZ30" s="33" t="n">
        <f aca="false">'2. The tape'!$C$17*(1+MIN(MAX($AZ$5,'3. Assumptions'!$B$11),'3. Assumptions'!$B$10))^INT(($A30-1)/4)/4*(1-'3. Assumptions'!$B$13)</f>
        <v>3200350.42467063</v>
      </c>
      <c r="BA30" s="33" t="n">
        <f aca="false">(1-'3. Assumptions'!$B$15)*SUMPRODUCT((('2. The tape'!$C$5:$C$13*'2. The tape'!$D$5:$D$13*(1-'2. The tape'!$J$5:$J$13)^($A30/4)*(1+$AZ$5)^($A30/4)*((1-'3. Assumptions'!$B$13)/($AZ$6)-'2. The tape'!$H$5:$H$13/12-'3. Assumptions'!$B$16)-'2. The tape'!$C$5:$C$13*'2. The tape'!$I$5:$I$13*(1+$AZ$5)^($A30/4))&gt;0)*('2. The tape'!$C$5:$C$13*'2. The tape'!$D$5:$D$13*(1-'2. The tape'!$J$5:$J$13)^($A30/4)*(1+$AZ$5)^($A30/4)*((1-'3. Assumptions'!$B$13)/($AZ$6)-'2. The tape'!$H$5:$H$13/12-'3. Assumptions'!$B$16)-'2. The tape'!$C$5:$C$13*'2. The tape'!$I$5:$I$13*(1+$AZ$5)^($A30/4)))</f>
        <v>133848484.288517</v>
      </c>
    </row>
    <row r="31" customFormat="false" ht="15" hidden="false" customHeight="false" outlineLevel="0" collapsed="false">
      <c r="A31" s="20" t="n">
        <v>16</v>
      </c>
      <c r="B31" s="33" t="n">
        <f aca="false">'2. The tape'!$C$17*(1+MIN(MAX($B$5,'3. Assumptions'!$B$11),'3. Assumptions'!$B$10))^INT(($A31-1)/4)/4*(1-'3. Assumptions'!$B$13)</f>
        <v>3200350.42467063</v>
      </c>
      <c r="C31" s="33" t="n">
        <f aca="false">(1-'3. Assumptions'!$B$15)*SUMPRODUCT((('2. The tape'!$C$5:$C$13*'2. The tape'!$D$5:$D$13*(1-'2. The tape'!$J$5:$J$13)^($A31/4)*(1+$B$5)^($A31/4)*((1-'3. Assumptions'!$B$13)/($B$6)-'2. The tape'!$H$5:$H$13/12-'3. Assumptions'!$B$16)-'2. The tape'!$C$5:$C$13*'2. The tape'!$I$5:$I$13*(1+$B$5)^($A31/4))&gt;0)*('2. The tape'!$C$5:$C$13*'2. The tape'!$D$5:$D$13*(1-'2. The tape'!$J$5:$J$13)^($A31/4)*(1+$B$5)^($A31/4)*((1-'3. Assumptions'!$B$13)/($B$6)-'2. The tape'!$H$5:$H$13/12-'3. Assumptions'!$B$16)-'2. The tape'!$C$5:$C$13*'2. The tape'!$I$5:$I$13*(1+$B$5)^($A31/4)))</f>
        <v>80448207.8441097</v>
      </c>
      <c r="D31" s="33" t="n">
        <f aca="false">'2. The tape'!$C$17*(1+MIN(MAX($D$5,'3. Assumptions'!$B$11),'3. Assumptions'!$B$10))^INT(($A31-1)/4)/4*(1-'3. Assumptions'!$B$13)</f>
        <v>3276095.25733875</v>
      </c>
      <c r="E31" s="33" t="n">
        <f aca="false">(1-'3. Assumptions'!$B$15)*SUMPRODUCT((('2. The tape'!$C$5:$C$13*'2. The tape'!$D$5:$D$13*(1-'2. The tape'!$J$5:$J$13)^($A31/4)*(1+$D$5)^($A31/4)*((1-'3. Assumptions'!$B$13)/($D$6)-'2. The tape'!$H$5:$H$13/12-'3. Assumptions'!$B$16)-'2. The tape'!$C$5:$C$13*'2. The tape'!$I$5:$I$13*(1+$D$5)^($A31/4))&gt;0)*('2. The tape'!$C$5:$C$13*'2. The tape'!$D$5:$D$13*(1-'2. The tape'!$J$5:$J$13)^($A31/4)*(1+$D$5)^($A31/4)*((1-'3. Assumptions'!$B$13)/($D$6)-'2. The tape'!$H$5:$H$13/12-'3. Assumptions'!$B$16)-'2. The tape'!$C$5:$C$13*'2. The tape'!$I$5:$I$13*(1+$D$5)^($A31/4)))</f>
        <v>84620227.7126508</v>
      </c>
      <c r="F31" s="33" t="n">
        <f aca="false">'2. The tape'!$C$17*(1+MIN(MAX($F$5,'3. Assumptions'!$B$11),'3. Assumptions'!$B$10))^INT(($A31-1)/4)/4*(1-'3. Assumptions'!$B$13)</f>
        <v>3088936.41296625</v>
      </c>
      <c r="G31" s="33" t="n">
        <f aca="false">(1-'3. Assumptions'!$B$15)*SUMPRODUCT((('2. The tape'!$C$5:$C$13*'2. The tape'!$D$5:$D$13*(1-'2. The tape'!$J$5:$J$13)^($A31/4)*(1+$F$5)^($A31/4)*((1-'3. Assumptions'!$B$13)/($F$6)-'2. The tape'!$H$5:$H$13/12-'3. Assumptions'!$B$16)-'2. The tape'!$C$5:$C$13*'2. The tape'!$I$5:$I$13*(1+$F$5)^($A31/4))&gt;0)*('2. The tape'!$C$5:$C$13*'2. The tape'!$D$5:$D$13*(1-'2. The tape'!$J$5:$J$13)^($A31/4)*(1+$F$5)^($A31/4)*((1-'3. Assumptions'!$B$13)/($F$6)-'2. The tape'!$H$5:$H$13/12-'3. Assumptions'!$B$16)-'2. The tape'!$C$5:$C$13*'2. The tape'!$I$5:$I$13*(1+$F$5)^($A31/4)))</f>
        <v>76735846.023947</v>
      </c>
      <c r="H31" s="33" t="n">
        <f aca="false">'2. The tape'!$C$17*(1+MIN(MAX($H$5,'3. Assumptions'!$B$11),'3. Assumptions'!$B$10))^INT(($A31-1)/4)/4*(1-'3. Assumptions'!$B$13)</f>
        <v>3276095.25733875</v>
      </c>
      <c r="I31" s="33" t="n">
        <f aca="false">(1-'3. Assumptions'!$B$15)*SUMPRODUCT((('2. The tape'!$C$5:$C$13*'2. The tape'!$D$5:$D$13*(1-'2. The tape'!$J$5:$J$13)^($A31/4)*(1+$H$5)^($A31/4)*((1-'3. Assumptions'!$B$13)/($H$6)-'2. The tape'!$H$5:$H$13/12-'3. Assumptions'!$B$16)-'2. The tape'!$C$5:$C$13*'2. The tape'!$I$5:$I$13*(1+$H$5)^($A31/4))&gt;0)*('2. The tape'!$C$5:$C$13*'2. The tape'!$D$5:$D$13*(1-'2. The tape'!$J$5:$J$13)^($A31/4)*(1+$H$5)^($A31/4)*((1-'3. Assumptions'!$B$13)/($H$6)-'2. The tape'!$H$5:$H$13/12-'3. Assumptions'!$B$16)-'2. The tape'!$C$5:$C$13*'2. The tape'!$I$5:$I$13*(1+$H$5)^($A31/4)))</f>
        <v>84620227.7126508</v>
      </c>
      <c r="J31" s="33" t="n">
        <f aca="false">'2. The tape'!$C$17*(1+MIN(MAX($J$5,'3. Assumptions'!$B$11),'3. Assumptions'!$B$10))^INT(($A31-1)/4)/4*(1-'3. Assumptions'!$B$13)</f>
        <v>3200350.42467063</v>
      </c>
      <c r="K31" s="33" t="n">
        <f aca="false">(1-'3. Assumptions'!$B$15)*SUMPRODUCT((('2. The tape'!$C$5:$C$13*'2. The tape'!$D$5:$D$13*(1-'2. The tape'!$J$5:$J$13)^($A31/4)*(1+$J$5)^($A31/4)*((1-'3. Assumptions'!$B$13)/($J$6)-'2. The tape'!$H$5:$H$13/12-'3. Assumptions'!$B$16)-'2. The tape'!$C$5:$C$13*'2. The tape'!$I$5:$I$13*(1+$J$5)^($A31/4))&gt;0)*('2. The tape'!$C$5:$C$13*'2. The tape'!$D$5:$D$13*(1-'2. The tape'!$J$5:$J$13)^($A31/4)*(1+$J$5)^($A31/4)*((1-'3. Assumptions'!$B$13)/($J$6)-'2. The tape'!$H$5:$H$13/12-'3. Assumptions'!$B$16)-'2. The tape'!$C$5:$C$13*'2. The tape'!$I$5:$I$13*(1+$J$5)^($A31/4)))</f>
        <v>66355121.7851057</v>
      </c>
      <c r="L31" s="33" t="n">
        <f aca="false">'2. The tape'!$C$17*(1+MIN(MAX($L$5,'3. Assumptions'!$B$11),'3. Assumptions'!$B$10))^INT(($A31-1)/4)/4*(1-'3. Assumptions'!$B$13)</f>
        <v>3276095.25733875</v>
      </c>
      <c r="M31" s="33" t="n">
        <f aca="false">(1-'3. Assumptions'!$B$15)*SUMPRODUCT((('2. The tape'!$C$5:$C$13*'2. The tape'!$D$5:$D$13*(1-'2. The tape'!$J$5:$J$13)^($A31/4)*(1+$L$5)^($A31/4)*((1-'3. Assumptions'!$B$13)/($L$6)-'2. The tape'!$H$5:$H$13/12-'3. Assumptions'!$B$16)-'2. The tape'!$C$5:$C$13*'2. The tape'!$I$5:$I$13*(1+$L$5)^($A31/4))&gt;0)*('2. The tape'!$C$5:$C$13*'2. The tape'!$D$5:$D$13*(1-'2. The tape'!$J$5:$J$13)^($A31/4)*(1+$L$5)^($A31/4)*((1-'3. Assumptions'!$B$13)/($L$6)-'2. The tape'!$H$5:$H$13/12-'3. Assumptions'!$B$16)-'2. The tape'!$C$5:$C$13*'2. The tape'!$I$5:$I$13*(1+$L$5)^($A31/4)))</f>
        <v>210613497.27933</v>
      </c>
      <c r="N31" s="33" t="n">
        <f aca="false">'2. The tape'!$C$17*(1+MIN(MAX($N$5,'3. Assumptions'!$B$11),'3. Assumptions'!$B$10))^INT(($A31-1)/4)/4*(1-'3. Assumptions'!$B$13)</f>
        <v>2998091.25</v>
      </c>
      <c r="O31" s="33" t="n">
        <f aca="false">(1-'3. Assumptions'!$B$15)*SUMPRODUCT((('2. The tape'!$C$5:$C$13*'2. The tape'!$D$5:$D$13*(1-'2. The tape'!$J$5:$J$13)^($A31/4)*(1+$N$5)^($A31/4)*((1-'3. Assumptions'!$B$13)/($N$6)-'2. The tape'!$H$5:$H$13/12-'3. Assumptions'!$B$16)-'2. The tape'!$C$5:$C$13*'2. The tape'!$I$5:$I$13*(1+$N$5)^($A31/4))&gt;0)*('2. The tape'!$C$5:$C$13*'2. The tape'!$D$5:$D$13*(1-'2. The tape'!$J$5:$J$13)^($A31/4)*(1+$N$5)^($A31/4)*((1-'3. Assumptions'!$B$13)/($N$6)-'2. The tape'!$H$5:$H$13/12-'3. Assumptions'!$B$16)-'2. The tape'!$C$5:$C$13*'2. The tape'!$I$5:$I$13*(1+$N$5)^($A31/4)))</f>
        <v>65282943.4649856</v>
      </c>
      <c r="P31" s="33" t="n">
        <f aca="false">'2. The tape'!$C$17*(1+MIN(MAX($P$5,'3. Assumptions'!$B$11),'3. Assumptions'!$B$10))^INT(($A31-1)/4)/4*(1-'3. Assumptions'!$B$13)</f>
        <v>2998091.25</v>
      </c>
      <c r="Q31" s="33" t="n">
        <f aca="false">(1-'3. Assumptions'!$B$15)*SUMPRODUCT((('2. The tape'!$C$5:$C$13*'2. The tape'!$D$5:$D$13*(1-'2. The tape'!$J$5:$J$13)^($A31/4)*(1+$P$5)^($A31/4)*((1-'3. Assumptions'!$B$13)/($P$6)-'2. The tape'!$H$5:$H$13/12-'3. Assumptions'!$B$16)-'2. The tape'!$C$5:$C$13*'2. The tape'!$I$5:$I$13*(1+$P$5)^($A31/4))&gt;0)*('2. The tape'!$C$5:$C$13*'2. The tape'!$D$5:$D$13*(1-'2. The tape'!$J$5:$J$13)^($A31/4)*(1+$P$5)^($A31/4)*((1-'3. Assumptions'!$B$13)/($P$6)-'2. The tape'!$H$5:$H$13/12-'3. Assumptions'!$B$16)-'2. The tape'!$C$5:$C$13*'2. The tape'!$I$5:$I$13*(1+$P$5)^($A31/4)))</f>
        <v>68016940.5681526</v>
      </c>
      <c r="R31" s="33" t="n">
        <f aca="false">'2. The tape'!$C$17*(1+MIN(MAX($R$5,'3. Assumptions'!$B$11),'3. Assumptions'!$B$10))^INT(($A31-1)/4)/4*(1-'3. Assumptions'!$B$13)</f>
        <v>2998091.25</v>
      </c>
      <c r="S31" s="33" t="n">
        <f aca="false">(1-'3. Assumptions'!$B$15)*SUMPRODUCT((('2. The tape'!$C$5:$C$13*'2. The tape'!$D$5:$D$13*(1-'2. The tape'!$J$5:$J$13)^($A31/4)*(1+$R$5)^($A31/4)*((1-'3. Assumptions'!$B$13)/($R$6)-'2. The tape'!$H$5:$H$13/12-'3. Assumptions'!$B$16)-'2. The tape'!$C$5:$C$13*'2. The tape'!$I$5:$I$13*(1+$R$5)^($A31/4))&gt;0)*('2. The tape'!$C$5:$C$13*'2. The tape'!$D$5:$D$13*(1-'2. The tape'!$J$5:$J$13)^($A31/4)*(1+$R$5)^($A31/4)*((1-'3. Assumptions'!$B$13)/($R$6)-'2. The tape'!$H$5:$H$13/12-'3. Assumptions'!$B$16)-'2. The tape'!$C$5:$C$13*'2. The tape'!$I$5:$I$13*(1+$R$5)^($A31/4)))</f>
        <v>66351872.994497</v>
      </c>
      <c r="T31" s="33" t="n">
        <f aca="false">'2. The tape'!$C$17*(1+MIN(MAX($T$5,'3. Assumptions'!$B$11),'3. Assumptions'!$B$10))^INT(($A31-1)/4)/4*(1-'3. Assumptions'!$B$13)</f>
        <v>2998091.25</v>
      </c>
      <c r="U31" s="33" t="n">
        <f aca="false">(1-'3. Assumptions'!$B$15)*SUMPRODUCT((('2. The tape'!$C$5:$C$13*'2. The tape'!$D$5:$D$13*(1-'2. The tape'!$J$5:$J$13)^($A31/4)*(1+$T$5)^($A31/4)*((1-'3. Assumptions'!$B$13)/($T$6)-'2. The tape'!$H$5:$H$13/12-'3. Assumptions'!$B$16)-'2. The tape'!$C$5:$C$13*'2. The tape'!$I$5:$I$13*(1+$T$5)^($A31/4))&gt;0)*('2. The tape'!$C$5:$C$13*'2. The tape'!$D$5:$D$13*(1-'2. The tape'!$J$5:$J$13)^($A31/4)*(1+$T$5)^($A31/4)*((1-'3. Assumptions'!$B$13)/($T$6)-'2. The tape'!$H$5:$H$13/12-'3. Assumptions'!$B$16)-'2. The tape'!$C$5:$C$13*'2. The tape'!$I$5:$I$13*(1+$T$5)^($A31/4)))</f>
        <v>66307139.9179915</v>
      </c>
      <c r="V31" s="33" t="n">
        <f aca="false">'2. The tape'!$C$17*(1+MIN(MAX($V$5,'3. Assumptions'!$B$11),'3. Assumptions'!$B$10))^INT(($A31-1)/4)/4*(1-'3. Assumptions'!$B$13)</f>
        <v>2998091.25</v>
      </c>
      <c r="W31" s="33" t="n">
        <f aca="false">(1-'3. Assumptions'!$B$15)*SUMPRODUCT((('2. The tape'!$C$5:$C$13*'2. The tape'!$D$5:$D$13*(1-'2. The tape'!$J$5:$J$13)^($A31/4)*(1+$V$5)^($A31/4)*((1-'3. Assumptions'!$B$13)/($V$6)-'2. The tape'!$H$5:$H$13/12-'3. Assumptions'!$B$16)-'2. The tape'!$C$5:$C$13*'2. The tape'!$I$5:$I$13*(1+$V$5)^($A31/4))&gt;0)*('2. The tape'!$C$5:$C$13*'2. The tape'!$D$5:$D$13*(1-'2. The tape'!$J$5:$J$13)^($A31/4)*(1+$V$5)^($A31/4)*((1-'3. Assumptions'!$B$13)/($V$6)-'2. The tape'!$H$5:$H$13/12-'3. Assumptions'!$B$16)-'2. The tape'!$C$5:$C$13*'2. The tape'!$I$5:$I$13*(1+$V$5)^($A31/4)))</f>
        <v>66308936.813767</v>
      </c>
      <c r="X31" s="33" t="n">
        <f aca="false">'2. The tape'!$C$17*(1+MIN(MAX($X$5,'3. Assumptions'!$B$11),'3. Assumptions'!$B$10))^INT(($A31-1)/4)/4*(1-'3. Assumptions'!$B$13)</f>
        <v>2998091.25</v>
      </c>
      <c r="Y31" s="33" t="n">
        <f aca="false">(1-'3. Assumptions'!$B$15)*SUMPRODUCT((('2. The tape'!$C$5:$C$13*'2. The tape'!$D$5:$D$13*(1-'2. The tape'!$J$5:$J$13)^($A31/4)*(1+$X$5)^($A31/4)*((1-'3. Assumptions'!$B$13)/($X$6)-'2. The tape'!$H$5:$H$13/12-'3. Assumptions'!$B$16)-'2. The tape'!$C$5:$C$13*'2. The tape'!$I$5:$I$13*(1+$X$5)^($A31/4))&gt;0)*('2. The tape'!$C$5:$C$13*'2. The tape'!$D$5:$D$13*(1-'2. The tape'!$J$5:$J$13)^($A31/4)*(1+$X$5)^($A31/4)*((1-'3. Assumptions'!$B$13)/($X$6)-'2. The tape'!$H$5:$H$13/12-'3. Assumptions'!$B$16)-'2. The tape'!$C$5:$C$13*'2. The tape'!$I$5:$I$13*(1+$X$5)^($A31/4)))</f>
        <v>66308934.9242001</v>
      </c>
      <c r="Z31" s="33" t="n">
        <f aca="false">'2. The tape'!$C$17*(1+MIN(MAX($Z$5,'3. Assumptions'!$B$11),'3. Assumptions'!$B$10))^INT(($A31-1)/4)/4*(1-'3. Assumptions'!$B$13)</f>
        <v>2998091.25</v>
      </c>
      <c r="AA31" s="33" t="n">
        <f aca="false">(1-'3. Assumptions'!$B$15)*SUMPRODUCT((('2. The tape'!$C$5:$C$13*'2. The tape'!$D$5:$D$13*(1-'2. The tape'!$J$5:$J$13)^($A31/4)*(1+$Z$5)^($A31/4)*((1-'3. Assumptions'!$B$13)/($Z$6)-'2. The tape'!$H$5:$H$13/12-'3. Assumptions'!$B$16)-'2. The tape'!$C$5:$C$13*'2. The tape'!$I$5:$I$13*(1+$Z$5)^($A31/4))&gt;0)*('2. The tape'!$C$5:$C$13*'2. The tape'!$D$5:$D$13*(1-'2. The tape'!$J$5:$J$13)^($A31/4)*(1+$Z$5)^($A31/4)*((1-'3. Assumptions'!$B$13)/($Z$6)-'2. The tape'!$H$5:$H$13/12-'3. Assumptions'!$B$16)-'2. The tape'!$C$5:$C$13*'2. The tape'!$I$5:$I$13*(1+$Z$5)^($A31/4)))</f>
        <v>66308934.9241169</v>
      </c>
      <c r="AB31" s="33" t="n">
        <f aca="false">'2. The tape'!$C$17*(1+MIN(MAX($AB$5,'3. Assumptions'!$B$11),'3. Assumptions'!$B$10))^INT(($A31-1)/4)/4*(1-'3. Assumptions'!$B$13)</f>
        <v>2998091.25</v>
      </c>
      <c r="AC31" s="33" t="n">
        <f aca="false">(1-'3. Assumptions'!$B$15)*SUMPRODUCT((('2. The tape'!$C$5:$C$13*'2. The tape'!$D$5:$D$13*(1-'2. The tape'!$J$5:$J$13)^($A31/4)*(1+$AB$5)^($A31/4)*((1-'3. Assumptions'!$B$13)/($AB$6)-'2. The tape'!$H$5:$H$13/12-'3. Assumptions'!$B$16)-'2. The tape'!$C$5:$C$13*'2. The tape'!$I$5:$I$13*(1+$AB$5)^($A31/4))&gt;0)*('2. The tape'!$C$5:$C$13*'2. The tape'!$D$5:$D$13*(1-'2. The tape'!$J$5:$J$13)^($A31/4)*(1+$AB$5)^($A31/4)*((1-'3. Assumptions'!$B$13)/($AB$6)-'2. The tape'!$H$5:$H$13/12-'3. Assumptions'!$B$16)-'2. The tape'!$C$5:$C$13*'2. The tape'!$I$5:$I$13*(1+$AB$5)^($A31/4)))</f>
        <v>66308934.9241169</v>
      </c>
      <c r="AD31" s="33" t="n">
        <f aca="false">'2. The tape'!$C$17*(1+MIN(MAX($AD$5,'3. Assumptions'!$B$11),'3. Assumptions'!$B$10))^INT(($A31-1)/4)/4*(1-'3. Assumptions'!$B$13)</f>
        <v>2998091.25</v>
      </c>
      <c r="AE31" s="33" t="n">
        <f aca="false">(1-'3. Assumptions'!$B$15)*SUMPRODUCT((('2. The tape'!$C$5:$C$13*'2. The tape'!$D$5:$D$13*(1-'2. The tape'!$J$5:$J$13)^($A31/4)*(1+$AD$5)^($A31/4)*((1-'3. Assumptions'!$B$13)/($AD$6)-'2. The tape'!$H$5:$H$13/12-'3. Assumptions'!$B$16)-'2. The tape'!$C$5:$C$13*'2. The tape'!$I$5:$I$13*(1+$AD$5)^($A31/4))&gt;0)*('2. The tape'!$C$5:$C$13*'2. The tape'!$D$5:$D$13*(1-'2. The tape'!$J$5:$J$13)^($A31/4)*(1+$AD$5)^($A31/4)*((1-'3. Assumptions'!$B$13)/($AD$6)-'2. The tape'!$H$5:$H$13/12-'3. Assumptions'!$B$16)-'2. The tape'!$C$5:$C$13*'2. The tape'!$I$5:$I$13*(1+$AD$5)^($A31/4)))</f>
        <v>66308934.9241169</v>
      </c>
      <c r="AF31" s="33" t="n">
        <f aca="false">'2. The tape'!$C$17*(1+MIN(MAX($AF$5,'3. Assumptions'!$B$11),'3. Assumptions'!$B$10))^INT(($A31-1)/4)/4*(1-'3. Assumptions'!$B$13)</f>
        <v>2998091.25</v>
      </c>
      <c r="AG31" s="33" t="n">
        <f aca="false">(1-'3. Assumptions'!$B$15)*SUMPRODUCT((('2. The tape'!$C$5:$C$13*'2. The tape'!$D$5:$D$13*(1-'2. The tape'!$J$5:$J$13)^($A31/4)*(1+$AF$5)^($A31/4)*((1-'3. Assumptions'!$B$13)/($AF$6)-'2. The tape'!$H$5:$H$13/12-'3. Assumptions'!$B$16)-'2. The tape'!$C$5:$C$13*'2. The tape'!$I$5:$I$13*(1+$AF$5)^($A31/4))&gt;0)*('2. The tape'!$C$5:$C$13*'2. The tape'!$D$5:$D$13*(1-'2. The tape'!$J$5:$J$13)^($A31/4)*(1+$AF$5)^($A31/4)*((1-'3. Assumptions'!$B$13)/($AF$6)-'2. The tape'!$H$5:$H$13/12-'3. Assumptions'!$B$16)-'2. The tape'!$C$5:$C$13*'2. The tape'!$I$5:$I$13*(1+$AF$5)^($A31/4)))</f>
        <v>66308934.9241169</v>
      </c>
      <c r="AH31" s="33" t="n">
        <f aca="false">'2. The tape'!$C$17*(1+MIN(MAX($AH$5,'3. Assumptions'!$B$11),'3. Assumptions'!$B$10))^INT(($A31-1)/4)/4*(1-'3. Assumptions'!$B$13)</f>
        <v>3200350.42467063</v>
      </c>
      <c r="AI31" s="33" t="n">
        <f aca="false">(1-'3. Assumptions'!$B$15)*SUMPRODUCT((('2. The tape'!$C$5:$C$13*'2. The tape'!$D$5:$D$13*(1-'2. The tape'!$J$5:$J$13)^($A31/4)*(1+$AH$5)^($A31/4)*((1-'3. Assumptions'!$B$13)/($AH$6)-'2. The tape'!$H$5:$H$13/12-'3. Assumptions'!$B$16)-'2. The tape'!$C$5:$C$13*'2. The tape'!$I$5:$I$13*(1+$AH$5)^($A31/4))&gt;0)*('2. The tape'!$C$5:$C$13*'2. The tape'!$D$5:$D$13*(1-'2. The tape'!$J$5:$J$13)^($A31/4)*(1+$AH$5)^($A31/4)*((1-'3. Assumptions'!$B$13)/($AH$6)-'2. The tape'!$H$5:$H$13/12-'3. Assumptions'!$B$16)-'2. The tape'!$C$5:$C$13*'2. The tape'!$I$5:$I$13*(1+$AH$5)^($A31/4)))</f>
        <v>157396457.726272</v>
      </c>
      <c r="AJ31" s="33" t="n">
        <f aca="false">'2. The tape'!$C$17*(1+MIN(MAX($AJ$5,'3. Assumptions'!$B$11),'3. Assumptions'!$B$10))^INT(($A31-1)/4)/4*(1-'3. Assumptions'!$B$13)</f>
        <v>3200350.42467063</v>
      </c>
      <c r="AK31" s="33" t="n">
        <f aca="false">(1-'3. Assumptions'!$B$15)*SUMPRODUCT((('2. The tape'!$C$5:$C$13*'2. The tape'!$D$5:$D$13*(1-'2. The tape'!$J$5:$J$13)^($A31/4)*(1+$AJ$5)^($A31/4)*((1-'3. Assumptions'!$B$13)/($AJ$6)-'2. The tape'!$H$5:$H$13/12-'3. Assumptions'!$B$16)-'2. The tape'!$C$5:$C$13*'2. The tape'!$I$5:$I$13*(1+$AJ$5)^($A31/4))&gt;0)*('2. The tape'!$C$5:$C$13*'2. The tape'!$D$5:$D$13*(1-'2. The tape'!$J$5:$J$13)^($A31/4)*(1+$AJ$5)^($A31/4)*((1-'3. Assumptions'!$B$13)/($AJ$6)-'2. The tape'!$H$5:$H$13/12-'3. Assumptions'!$B$16)-'2. The tape'!$C$5:$C$13*'2. The tape'!$I$5:$I$13*(1+$AJ$5)^($A31/4)))</f>
        <v>114271614.385719</v>
      </c>
      <c r="AL31" s="33" t="n">
        <f aca="false">'2. The tape'!$C$17*(1+MIN(MAX($AL$5,'3. Assumptions'!$B$11),'3. Assumptions'!$B$10))^INT(($A31-1)/4)/4*(1-'3. Assumptions'!$B$13)</f>
        <v>3200350.42467063</v>
      </c>
      <c r="AM31" s="33" t="n">
        <f aca="false">(1-'3. Assumptions'!$B$15)*SUMPRODUCT((('2. The tape'!$C$5:$C$13*'2. The tape'!$D$5:$D$13*(1-'2. The tape'!$J$5:$J$13)^($A31/4)*(1+$AL$5)^($A31/4)*((1-'3. Assumptions'!$B$13)/($AL$6)-'2. The tape'!$H$5:$H$13/12-'3. Assumptions'!$B$16)-'2. The tape'!$C$5:$C$13*'2. The tape'!$I$5:$I$13*(1+$AL$5)^($A31/4))&gt;0)*('2. The tape'!$C$5:$C$13*'2. The tape'!$D$5:$D$13*(1-'2. The tape'!$J$5:$J$13)^($A31/4)*(1+$AL$5)^($A31/4)*((1-'3. Assumptions'!$B$13)/($AL$6)-'2. The tape'!$H$5:$H$13/12-'3. Assumptions'!$B$16)-'2. The tape'!$C$5:$C$13*'2. The tape'!$I$5:$I$13*(1+$AL$5)^($A31/4)))</f>
        <v>130997302.405505</v>
      </c>
      <c r="AN31" s="33" t="n">
        <f aca="false">'2. The tape'!$C$17*(1+MIN(MAX($AN$5,'3. Assumptions'!$B$11),'3. Assumptions'!$B$10))^INT(($A31-1)/4)/4*(1-'3. Assumptions'!$B$13)</f>
        <v>3200350.42467063</v>
      </c>
      <c r="AO31" s="33" t="n">
        <f aca="false">(1-'3. Assumptions'!$B$15)*SUMPRODUCT((('2. The tape'!$C$5:$C$13*'2. The tape'!$D$5:$D$13*(1-'2. The tape'!$J$5:$J$13)^($A31/4)*(1+$AN$5)^($A31/4)*((1-'3. Assumptions'!$B$13)/($AN$6)-'2. The tape'!$H$5:$H$13/12-'3. Assumptions'!$B$16)-'2. The tape'!$C$5:$C$13*'2. The tape'!$I$5:$I$13*(1+$AN$5)^($A31/4))&gt;0)*('2. The tape'!$C$5:$C$13*'2. The tape'!$D$5:$D$13*(1-'2. The tape'!$J$5:$J$13)^($A31/4)*(1+$AN$5)^($A31/4)*((1-'3. Assumptions'!$B$13)/($AN$6)-'2. The tape'!$H$5:$H$13/12-'3. Assumptions'!$B$16)-'2. The tape'!$C$5:$C$13*'2. The tape'!$I$5:$I$13*(1+$AN$5)^($A31/4)))</f>
        <v>134128864.834628</v>
      </c>
      <c r="AP31" s="33" t="n">
        <f aca="false">'2. The tape'!$C$17*(1+MIN(MAX($AP$5,'3. Assumptions'!$B$11),'3. Assumptions'!$B$10))^INT(($A31-1)/4)/4*(1-'3. Assumptions'!$B$13)</f>
        <v>3200350.42467063</v>
      </c>
      <c r="AQ31" s="33" t="n">
        <f aca="false">(1-'3. Assumptions'!$B$15)*SUMPRODUCT((('2. The tape'!$C$5:$C$13*'2. The tape'!$D$5:$D$13*(1-'2. The tape'!$J$5:$J$13)^($A31/4)*(1+$AP$5)^($A31/4)*((1-'3. Assumptions'!$B$13)/($AP$6)-'2. The tape'!$H$5:$H$13/12-'3. Assumptions'!$B$16)-'2. The tape'!$C$5:$C$13*'2. The tape'!$I$5:$I$13*(1+$AP$5)^($A31/4))&gt;0)*('2. The tape'!$C$5:$C$13*'2. The tape'!$D$5:$D$13*(1-'2. The tape'!$J$5:$J$13)^($A31/4)*(1+$AP$5)^($A31/4)*((1-'3. Assumptions'!$B$13)/($AP$6)-'2. The tape'!$H$5:$H$13/12-'3. Assumptions'!$B$16)-'2. The tape'!$C$5:$C$13*'2. The tape'!$I$5:$I$13*(1+$AP$5)^($A31/4)))</f>
        <v>133742279.878836</v>
      </c>
      <c r="AR31" s="33" t="n">
        <f aca="false">'2. The tape'!$C$17*(1+MIN(MAX($AR$5,'3. Assumptions'!$B$11),'3. Assumptions'!$B$10))^INT(($A31-1)/4)/4*(1-'3. Assumptions'!$B$13)</f>
        <v>3200350.42467063</v>
      </c>
      <c r="AS31" s="33" t="n">
        <f aca="false">(1-'3. Assumptions'!$B$15)*SUMPRODUCT((('2. The tape'!$C$5:$C$13*'2. The tape'!$D$5:$D$13*(1-'2. The tape'!$J$5:$J$13)^($A31/4)*(1+$AR$5)^($A31/4)*((1-'3. Assumptions'!$B$13)/($AR$6)-'2. The tape'!$H$5:$H$13/12-'3. Assumptions'!$B$16)-'2. The tape'!$C$5:$C$13*'2. The tape'!$I$5:$I$13*(1+$AR$5)^($A31/4))&gt;0)*('2. The tape'!$C$5:$C$13*'2. The tape'!$D$5:$D$13*(1-'2. The tape'!$J$5:$J$13)^($A31/4)*(1+$AR$5)^($A31/4)*((1-'3. Assumptions'!$B$13)/($AR$6)-'2. The tape'!$H$5:$H$13/12-'3. Assumptions'!$B$16)-'2. The tape'!$C$5:$C$13*'2. The tape'!$I$5:$I$13*(1+$AR$5)^($A31/4)))</f>
        <v>133748766.22067</v>
      </c>
      <c r="AT31" s="33" t="n">
        <f aca="false">'2. The tape'!$C$17*(1+MIN(MAX($AT$5,'3. Assumptions'!$B$11),'3. Assumptions'!$B$10))^INT(($A31-1)/4)/4*(1-'3. Assumptions'!$B$13)</f>
        <v>3200350.42467063</v>
      </c>
      <c r="AU31" s="33" t="n">
        <f aca="false">(1-'3. Assumptions'!$B$15)*SUMPRODUCT((('2. The tape'!$C$5:$C$13*'2. The tape'!$D$5:$D$13*(1-'2. The tape'!$J$5:$J$13)^($A31/4)*(1+$AT$5)^($A31/4)*((1-'3. Assumptions'!$B$13)/($AT$6)-'2. The tape'!$H$5:$H$13/12-'3. Assumptions'!$B$16)-'2. The tape'!$C$5:$C$13*'2. The tape'!$I$5:$I$13*(1+$AT$5)^($A31/4))&gt;0)*('2. The tape'!$C$5:$C$13*'2. The tape'!$D$5:$D$13*(1-'2. The tape'!$J$5:$J$13)^($A31/4)*(1+$AT$5)^($A31/4)*((1-'3. Assumptions'!$B$13)/($AT$6)-'2. The tape'!$H$5:$H$13/12-'3. Assumptions'!$B$16)-'2. The tape'!$C$5:$C$13*'2. The tape'!$I$5:$I$13*(1+$AT$5)^($A31/4)))</f>
        <v>133748781.325728</v>
      </c>
      <c r="AV31" s="33" t="n">
        <f aca="false">'2. The tape'!$C$17*(1+MIN(MAX($AV$5,'3. Assumptions'!$B$11),'3. Assumptions'!$B$10))^INT(($A31-1)/4)/4*(1-'3. Assumptions'!$B$13)</f>
        <v>3200350.42467063</v>
      </c>
      <c r="AW31" s="33" t="n">
        <f aca="false">(1-'3. Assumptions'!$B$15)*SUMPRODUCT((('2. The tape'!$C$5:$C$13*'2. The tape'!$D$5:$D$13*(1-'2. The tape'!$J$5:$J$13)^($A31/4)*(1+$AV$5)^($A31/4)*((1-'3. Assumptions'!$B$13)/($AV$6)-'2. The tape'!$H$5:$H$13/12-'3. Assumptions'!$B$16)-'2. The tape'!$C$5:$C$13*'2. The tape'!$I$5:$I$13*(1+$AV$5)^($A31/4))&gt;0)*('2. The tape'!$C$5:$C$13*'2. The tape'!$D$5:$D$13*(1-'2. The tape'!$J$5:$J$13)^($A31/4)*(1+$AV$5)^($A31/4)*((1-'3. Assumptions'!$B$13)/($AV$6)-'2. The tape'!$H$5:$H$13/12-'3. Assumptions'!$B$16)-'2. The tape'!$C$5:$C$13*'2. The tape'!$I$5:$I$13*(1+$AV$5)^($A31/4)))</f>
        <v>133748781.325127</v>
      </c>
      <c r="AX31" s="33" t="n">
        <f aca="false">'2. The tape'!$C$17*(1+MIN(MAX($AX$5,'3. Assumptions'!$B$11),'3. Assumptions'!$B$10))^INT(($A31-1)/4)/4*(1-'3. Assumptions'!$B$13)</f>
        <v>3200350.42467063</v>
      </c>
      <c r="AY31" s="33" t="n">
        <f aca="false">(1-'3. Assumptions'!$B$15)*SUMPRODUCT((('2. The tape'!$C$5:$C$13*'2. The tape'!$D$5:$D$13*(1-'2. The tape'!$J$5:$J$13)^($A31/4)*(1+$AX$5)^($A31/4)*((1-'3. Assumptions'!$B$13)/($AX$6)-'2. The tape'!$H$5:$H$13/12-'3. Assumptions'!$B$16)-'2. The tape'!$C$5:$C$13*'2. The tape'!$I$5:$I$13*(1+$AX$5)^($A31/4))&gt;0)*('2. The tape'!$C$5:$C$13*'2. The tape'!$D$5:$D$13*(1-'2. The tape'!$J$5:$J$13)^($A31/4)*(1+$AX$5)^($A31/4)*((1-'3. Assumptions'!$B$13)/($AX$6)-'2. The tape'!$H$5:$H$13/12-'3. Assumptions'!$B$16)-'2. The tape'!$C$5:$C$13*'2. The tape'!$I$5:$I$13*(1+$AX$5)^($A31/4)))</f>
        <v>133748781.325127</v>
      </c>
      <c r="AZ31" s="33" t="n">
        <f aca="false">'2. The tape'!$C$17*(1+MIN(MAX($AZ$5,'3. Assumptions'!$B$11),'3. Assumptions'!$B$10))^INT(($A31-1)/4)/4*(1-'3. Assumptions'!$B$13)</f>
        <v>3200350.42467063</v>
      </c>
      <c r="BA31" s="33" t="n">
        <f aca="false">(1-'3. Assumptions'!$B$15)*SUMPRODUCT((('2. The tape'!$C$5:$C$13*'2. The tape'!$D$5:$D$13*(1-'2. The tape'!$J$5:$J$13)^($A31/4)*(1+$AZ$5)^($A31/4)*((1-'3. Assumptions'!$B$13)/($AZ$6)-'2. The tape'!$H$5:$H$13/12-'3. Assumptions'!$B$16)-'2. The tape'!$C$5:$C$13*'2. The tape'!$I$5:$I$13*(1+$AZ$5)^($A31/4))&gt;0)*('2. The tape'!$C$5:$C$13*'2. The tape'!$D$5:$D$13*(1-'2. The tape'!$J$5:$J$13)^($A31/4)*(1+$AZ$5)^($A31/4)*((1-'3. Assumptions'!$B$13)/($AZ$6)-'2. The tape'!$H$5:$H$13/12-'3. Assumptions'!$B$16)-'2. The tape'!$C$5:$C$13*'2. The tape'!$I$5:$I$13*(1+$AZ$5)^($A31/4)))</f>
        <v>133748781.325127</v>
      </c>
    </row>
    <row r="32" customFormat="false" ht="15" hidden="false" customHeight="false" outlineLevel="0" collapsed="false">
      <c r="A32" s="20" t="n">
        <v>17</v>
      </c>
      <c r="B32" s="33" t="n">
        <f aca="false">'2. The tape'!$C$17*(1+MIN(MAX($B$5,'3. Assumptions'!$B$11),'3. Assumptions'!$B$10))^INT(($A32-1)/4)/4*(1-'3. Assumptions'!$B$13)</f>
        <v>3270758.13401338</v>
      </c>
      <c r="C32" s="33" t="n">
        <f aca="false">(1-'3. Assumptions'!$B$15)*SUMPRODUCT((('2. The tape'!$C$5:$C$13*'2. The tape'!$D$5:$D$13*(1-'2. The tape'!$J$5:$J$13)^($A32/4)*(1+$B$5)^($A32/4)*((1-'3. Assumptions'!$B$13)/($B$6)-'2. The tape'!$H$5:$H$13/12-'3. Assumptions'!$B$16)-'2. The tape'!$C$5:$C$13*'2. The tape'!$I$5:$I$13*(1+$B$5)^($A32/4))&gt;0)*('2. The tape'!$C$5:$C$13*'2. The tape'!$D$5:$D$13*(1-'2. The tape'!$J$5:$J$13)^($A32/4)*(1+$B$5)^($A32/4)*((1-'3. Assumptions'!$B$13)/($B$6)-'2. The tape'!$H$5:$H$13/12-'3. Assumptions'!$B$16)-'2. The tape'!$C$5:$C$13*'2. The tape'!$I$5:$I$13*(1+$B$5)^($A32/4)))</f>
        <v>80355548.1285103</v>
      </c>
      <c r="D32" s="33" t="n">
        <f aca="false">'2. The tape'!$C$17*(1+MIN(MAX($D$5,'3. Assumptions'!$B$11),'3. Assumptions'!$B$10))^INT(($A32-1)/4)/4*(1-'3. Assumptions'!$B$13)</f>
        <v>3374378.11505891</v>
      </c>
      <c r="E32" s="33" t="n">
        <f aca="false">(1-'3. Assumptions'!$B$15)*SUMPRODUCT((('2. The tape'!$C$5:$C$13*'2. The tape'!$D$5:$D$13*(1-'2. The tape'!$J$5:$J$13)^($A32/4)*(1+$D$5)^($A32/4)*((1-'3. Assumptions'!$B$13)/($D$6)-'2. The tape'!$H$5:$H$13/12-'3. Assumptions'!$B$16)-'2. The tape'!$C$5:$C$13*'2. The tape'!$I$5:$I$13*(1+$D$5)^($A32/4))&gt;0)*('2. The tape'!$C$5:$C$13*'2. The tape'!$D$5:$D$13*(1-'2. The tape'!$J$5:$J$13)^($A32/4)*(1+$D$5)^($A32/4)*((1-'3. Assumptions'!$B$13)/($D$6)-'2. The tape'!$H$5:$H$13/12-'3. Assumptions'!$B$16)-'2. The tape'!$C$5:$C$13*'2. The tape'!$I$5:$I$13*(1+$D$5)^($A32/4)))</f>
        <v>84790275.6930802</v>
      </c>
      <c r="F32" s="33" t="n">
        <f aca="false">'2. The tape'!$C$17*(1+MIN(MAX($F$5,'3. Assumptions'!$B$11),'3. Assumptions'!$B$10))^INT(($A32-1)/4)/4*(1-'3. Assumptions'!$B$13)</f>
        <v>3119825.77709591</v>
      </c>
      <c r="G32" s="33" t="n">
        <f aca="false">(1-'3. Assumptions'!$B$15)*SUMPRODUCT((('2. The tape'!$C$5:$C$13*'2. The tape'!$D$5:$D$13*(1-'2. The tape'!$J$5:$J$13)^($A32/4)*(1+$F$5)^($A32/4)*((1-'3. Assumptions'!$B$13)/($F$6)-'2. The tape'!$H$5:$H$13/12-'3. Assumptions'!$B$16)-'2. The tape'!$C$5:$C$13*'2. The tape'!$I$5:$I$13*(1+$F$5)^($A32/4))&gt;0)*('2. The tape'!$C$5:$C$13*'2. The tape'!$D$5:$D$13*(1-'2. The tape'!$J$5:$J$13)^($A32/4)*(1+$F$5)^($A32/4)*((1-'3. Assumptions'!$B$13)/($F$6)-'2. The tape'!$H$5:$H$13/12-'3. Assumptions'!$B$16)-'2. The tape'!$C$5:$C$13*'2. The tape'!$I$5:$I$13*(1+$F$5)^($A32/4)))</f>
        <v>76421472.1194048</v>
      </c>
      <c r="H32" s="33" t="n">
        <f aca="false">'2. The tape'!$C$17*(1+MIN(MAX($H$5,'3. Assumptions'!$B$11),'3. Assumptions'!$B$10))^INT(($A32-1)/4)/4*(1-'3. Assumptions'!$B$13)</f>
        <v>3374378.11505891</v>
      </c>
      <c r="I32" s="33" t="n">
        <f aca="false">(1-'3. Assumptions'!$B$15)*SUMPRODUCT((('2. The tape'!$C$5:$C$13*'2. The tape'!$D$5:$D$13*(1-'2. The tape'!$J$5:$J$13)^($A32/4)*(1+$H$5)^($A32/4)*((1-'3. Assumptions'!$B$13)/($H$6)-'2. The tape'!$H$5:$H$13/12-'3. Assumptions'!$B$16)-'2. The tape'!$C$5:$C$13*'2. The tape'!$I$5:$I$13*(1+$H$5)^($A32/4))&gt;0)*('2. The tape'!$C$5:$C$13*'2. The tape'!$D$5:$D$13*(1-'2. The tape'!$J$5:$J$13)^($A32/4)*(1+$H$5)^($A32/4)*((1-'3. Assumptions'!$B$13)/($H$6)-'2. The tape'!$H$5:$H$13/12-'3. Assumptions'!$B$16)-'2. The tape'!$C$5:$C$13*'2. The tape'!$I$5:$I$13*(1+$H$5)^($A32/4)))</f>
        <v>84790275.6930802</v>
      </c>
      <c r="J32" s="33" t="n">
        <f aca="false">'2. The tape'!$C$17*(1+MIN(MAX($J$5,'3. Assumptions'!$B$11),'3. Assumptions'!$B$10))^INT(($A32-1)/4)/4*(1-'3. Assumptions'!$B$13)</f>
        <v>3270758.13401338</v>
      </c>
      <c r="K32" s="33" t="n">
        <f aca="false">(1-'3. Assumptions'!$B$15)*SUMPRODUCT((('2. The tape'!$C$5:$C$13*'2. The tape'!$D$5:$D$13*(1-'2. The tape'!$J$5:$J$13)^($A32/4)*(1+$J$5)^($A32/4)*((1-'3. Assumptions'!$B$13)/($J$6)-'2. The tape'!$H$5:$H$13/12-'3. Assumptions'!$B$16)-'2. The tape'!$C$5:$C$13*'2. The tape'!$I$5:$I$13*(1+$J$5)^($A32/4))&gt;0)*('2. The tape'!$C$5:$C$13*'2. The tape'!$D$5:$D$13*(1-'2. The tape'!$J$5:$J$13)^($A32/4)*(1+$J$5)^($A32/4)*((1-'3. Assumptions'!$B$13)/($J$6)-'2. The tape'!$H$5:$H$13/12-'3. Assumptions'!$B$16)-'2. The tape'!$C$5:$C$13*'2. The tape'!$I$5:$I$13*(1+$J$5)^($A32/4)))</f>
        <v>66264338.2636609</v>
      </c>
      <c r="L32" s="33" t="n">
        <f aca="false">'2. The tape'!$C$17*(1+MIN(MAX($L$5,'3. Assumptions'!$B$11),'3. Assumptions'!$B$10))^INT(($A32-1)/4)/4*(1-'3. Assumptions'!$B$13)</f>
        <v>3374378.11505891</v>
      </c>
      <c r="M32" s="33" t="n">
        <f aca="false">(1-'3. Assumptions'!$B$15)*SUMPRODUCT((('2. The tape'!$C$5:$C$13*'2. The tape'!$D$5:$D$13*(1-'2. The tape'!$J$5:$J$13)^($A32/4)*(1+$L$5)^($A32/4)*((1-'3. Assumptions'!$B$13)/($L$6)-'2. The tape'!$H$5:$H$13/12-'3. Assumptions'!$B$16)-'2. The tape'!$C$5:$C$13*'2. The tape'!$I$5:$I$13*(1+$L$5)^($A32/4))&gt;0)*('2. The tape'!$C$5:$C$13*'2. The tape'!$D$5:$D$13*(1-'2. The tape'!$J$5:$J$13)^($A32/4)*(1+$L$5)^($A32/4)*((1-'3. Assumptions'!$B$13)/($L$6)-'2. The tape'!$H$5:$H$13/12-'3. Assumptions'!$B$16)-'2. The tape'!$C$5:$C$13*'2. The tape'!$I$5:$I$13*(1+$L$5)^($A32/4)))</f>
        <v>223413189.16459</v>
      </c>
      <c r="N32" s="33" t="n">
        <f aca="false">'2. The tape'!$C$17*(1+MIN(MAX($N$5,'3. Assumptions'!$B$11),'3. Assumptions'!$B$10))^INT(($A32-1)/4)/4*(1-'3. Assumptions'!$B$13)</f>
        <v>2998091.25</v>
      </c>
      <c r="O32" s="33" t="n">
        <f aca="false">(1-'3. Assumptions'!$B$15)*SUMPRODUCT((('2. The tape'!$C$5:$C$13*'2. The tape'!$D$5:$D$13*(1-'2. The tape'!$J$5:$J$13)^($A32/4)*(1+$N$5)^($A32/4)*((1-'3. Assumptions'!$B$13)/($N$6)-'2. The tape'!$H$5:$H$13/12-'3. Assumptions'!$B$16)-'2. The tape'!$C$5:$C$13*'2. The tape'!$I$5:$I$13*(1+$N$5)^($A32/4))&gt;0)*('2. The tape'!$C$5:$C$13*'2. The tape'!$D$5:$D$13*(1-'2. The tape'!$J$5:$J$13)^($A32/4)*(1+$N$5)^($A32/4)*((1-'3. Assumptions'!$B$13)/($N$6)-'2. The tape'!$H$5:$H$13/12-'3. Assumptions'!$B$16)-'2. The tape'!$C$5:$C$13*'2. The tape'!$I$5:$I$13*(1+$N$5)^($A32/4)))</f>
        <v>64361985.2346945</v>
      </c>
      <c r="P32" s="33" t="n">
        <f aca="false">'2. The tape'!$C$17*(1+MIN(MAX($P$5,'3. Assumptions'!$B$11),'3. Assumptions'!$B$10))^INT(($A32-1)/4)/4*(1-'3. Assumptions'!$B$13)</f>
        <v>2998091.25</v>
      </c>
      <c r="Q32" s="33" t="n">
        <f aca="false">(1-'3. Assumptions'!$B$15)*SUMPRODUCT((('2. The tape'!$C$5:$C$13*'2. The tape'!$D$5:$D$13*(1-'2. The tape'!$J$5:$J$13)^($A32/4)*(1+$P$5)^($A32/4)*((1-'3. Assumptions'!$B$13)/($P$6)-'2. The tape'!$H$5:$H$13/12-'3. Assumptions'!$B$16)-'2. The tape'!$C$5:$C$13*'2. The tape'!$I$5:$I$13*(1+$P$5)^($A32/4))&gt;0)*('2. The tape'!$C$5:$C$13*'2. The tape'!$D$5:$D$13*(1-'2. The tape'!$J$5:$J$13)^($A32/4)*(1+$P$5)^($A32/4)*((1-'3. Assumptions'!$B$13)/($P$6)-'2. The tape'!$H$5:$H$13/12-'3. Assumptions'!$B$16)-'2. The tape'!$C$5:$C$13*'2. The tape'!$I$5:$I$13*(1+$P$5)^($A32/4)))</f>
        <v>67229577.572556</v>
      </c>
      <c r="R32" s="33" t="n">
        <f aca="false">'2. The tape'!$C$17*(1+MIN(MAX($R$5,'3. Assumptions'!$B$11),'3. Assumptions'!$B$10))^INT(($A32-1)/4)/4*(1-'3. Assumptions'!$B$13)</f>
        <v>2998091.25</v>
      </c>
      <c r="S32" s="33" t="n">
        <f aca="false">(1-'3. Assumptions'!$B$15)*SUMPRODUCT((('2. The tape'!$C$5:$C$13*'2. The tape'!$D$5:$D$13*(1-'2. The tape'!$J$5:$J$13)^($A32/4)*(1+$R$5)^($A32/4)*((1-'3. Assumptions'!$B$13)/($R$6)-'2. The tape'!$H$5:$H$13/12-'3. Assumptions'!$B$16)-'2. The tape'!$C$5:$C$13*'2. The tape'!$I$5:$I$13*(1+$R$5)^($A32/4))&gt;0)*('2. The tape'!$C$5:$C$13*'2. The tape'!$D$5:$D$13*(1-'2. The tape'!$J$5:$J$13)^($A32/4)*(1+$R$5)^($A32/4)*((1-'3. Assumptions'!$B$13)/($R$6)-'2. The tape'!$H$5:$H$13/12-'3. Assumptions'!$B$16)-'2. The tape'!$C$5:$C$13*'2. The tape'!$I$5:$I$13*(1+$R$5)^($A32/4)))</f>
        <v>65482270.8334649</v>
      </c>
      <c r="T32" s="33" t="n">
        <f aca="false">'2. The tape'!$C$17*(1+MIN(MAX($T$5,'3. Assumptions'!$B$11),'3. Assumptions'!$B$10))^INT(($A32-1)/4)/4*(1-'3. Assumptions'!$B$13)</f>
        <v>2998091.25</v>
      </c>
      <c r="U32" s="33" t="n">
        <f aca="false">(1-'3. Assumptions'!$B$15)*SUMPRODUCT((('2. The tape'!$C$5:$C$13*'2. The tape'!$D$5:$D$13*(1-'2. The tape'!$J$5:$J$13)^($A32/4)*(1+$T$5)^($A32/4)*((1-'3. Assumptions'!$B$13)/($T$6)-'2. The tape'!$H$5:$H$13/12-'3. Assumptions'!$B$16)-'2. The tape'!$C$5:$C$13*'2. The tape'!$I$5:$I$13*(1+$T$5)^($A32/4))&gt;0)*('2. The tape'!$C$5:$C$13*'2. The tape'!$D$5:$D$13*(1-'2. The tape'!$J$5:$J$13)^($A32/4)*(1+$T$5)^($A32/4)*((1-'3. Assumptions'!$B$13)/($T$6)-'2. The tape'!$H$5:$H$13/12-'3. Assumptions'!$B$16)-'2. The tape'!$C$5:$C$13*'2. The tape'!$I$5:$I$13*(1+$T$5)^($A32/4)))</f>
        <v>65435365.8378584</v>
      </c>
      <c r="V32" s="33" t="n">
        <f aca="false">'2. The tape'!$C$17*(1+MIN(MAX($V$5,'3. Assumptions'!$B$11),'3. Assumptions'!$B$10))^INT(($A32-1)/4)/4*(1-'3. Assumptions'!$B$13)</f>
        <v>2998091.25</v>
      </c>
      <c r="W32" s="33" t="n">
        <f aca="false">(1-'3. Assumptions'!$B$15)*SUMPRODUCT((('2. The tape'!$C$5:$C$13*'2. The tape'!$D$5:$D$13*(1-'2. The tape'!$J$5:$J$13)^($A32/4)*(1+$V$5)^($A32/4)*((1-'3. Assumptions'!$B$13)/($V$6)-'2. The tape'!$H$5:$H$13/12-'3. Assumptions'!$B$16)-'2. The tape'!$C$5:$C$13*'2. The tape'!$I$5:$I$13*(1+$V$5)^($A32/4))&gt;0)*('2. The tape'!$C$5:$C$13*'2. The tape'!$D$5:$D$13*(1-'2. The tape'!$J$5:$J$13)^($A32/4)*(1+$V$5)^($A32/4)*((1-'3. Assumptions'!$B$13)/($V$6)-'2. The tape'!$H$5:$H$13/12-'3. Assumptions'!$B$16)-'2. The tape'!$C$5:$C$13*'2. The tape'!$I$5:$I$13*(1+$V$5)^($A32/4)))</f>
        <v>65437249.9399577</v>
      </c>
      <c r="X32" s="33" t="n">
        <f aca="false">'2. The tape'!$C$17*(1+MIN(MAX($X$5,'3. Assumptions'!$B$11),'3. Assumptions'!$B$10))^INT(($A32-1)/4)/4*(1-'3. Assumptions'!$B$13)</f>
        <v>2998091.25</v>
      </c>
      <c r="Y32" s="33" t="n">
        <f aca="false">(1-'3. Assumptions'!$B$15)*SUMPRODUCT((('2. The tape'!$C$5:$C$13*'2. The tape'!$D$5:$D$13*(1-'2. The tape'!$J$5:$J$13)^($A32/4)*(1+$X$5)^($A32/4)*((1-'3. Assumptions'!$B$13)/($X$6)-'2. The tape'!$H$5:$H$13/12-'3. Assumptions'!$B$16)-'2. The tape'!$C$5:$C$13*'2. The tape'!$I$5:$I$13*(1+$X$5)^($A32/4))&gt;0)*('2. The tape'!$C$5:$C$13*'2. The tape'!$D$5:$D$13*(1-'2. The tape'!$J$5:$J$13)^($A32/4)*(1+$X$5)^($A32/4)*((1-'3. Assumptions'!$B$13)/($X$6)-'2. The tape'!$H$5:$H$13/12-'3. Assumptions'!$B$16)-'2. The tape'!$C$5:$C$13*'2. The tape'!$I$5:$I$13*(1+$X$5)^($A32/4)))</f>
        <v>65437247.9586854</v>
      </c>
      <c r="Z32" s="33" t="n">
        <f aca="false">'2. The tape'!$C$17*(1+MIN(MAX($Z$5,'3. Assumptions'!$B$11),'3. Assumptions'!$B$10))^INT(($A32-1)/4)/4*(1-'3. Assumptions'!$B$13)</f>
        <v>2998091.25</v>
      </c>
      <c r="AA32" s="33" t="n">
        <f aca="false">(1-'3. Assumptions'!$B$15)*SUMPRODUCT((('2. The tape'!$C$5:$C$13*'2. The tape'!$D$5:$D$13*(1-'2. The tape'!$J$5:$J$13)^($A32/4)*(1+$Z$5)^($A32/4)*((1-'3. Assumptions'!$B$13)/($Z$6)-'2. The tape'!$H$5:$H$13/12-'3. Assumptions'!$B$16)-'2. The tape'!$C$5:$C$13*'2. The tape'!$I$5:$I$13*(1+$Z$5)^($A32/4))&gt;0)*('2. The tape'!$C$5:$C$13*'2. The tape'!$D$5:$D$13*(1-'2. The tape'!$J$5:$J$13)^($A32/4)*(1+$Z$5)^($A32/4)*((1-'3. Assumptions'!$B$13)/($Z$6)-'2. The tape'!$H$5:$H$13/12-'3. Assumptions'!$B$16)-'2. The tape'!$C$5:$C$13*'2. The tape'!$I$5:$I$13*(1+$Z$5)^($A32/4)))</f>
        <v>65437247.9585982</v>
      </c>
      <c r="AB32" s="33" t="n">
        <f aca="false">'2. The tape'!$C$17*(1+MIN(MAX($AB$5,'3. Assumptions'!$B$11),'3. Assumptions'!$B$10))^INT(($A32-1)/4)/4*(1-'3. Assumptions'!$B$13)</f>
        <v>2998091.25</v>
      </c>
      <c r="AC32" s="33" t="n">
        <f aca="false">(1-'3. Assumptions'!$B$15)*SUMPRODUCT((('2. The tape'!$C$5:$C$13*'2. The tape'!$D$5:$D$13*(1-'2. The tape'!$J$5:$J$13)^($A32/4)*(1+$AB$5)^($A32/4)*((1-'3. Assumptions'!$B$13)/($AB$6)-'2. The tape'!$H$5:$H$13/12-'3. Assumptions'!$B$16)-'2. The tape'!$C$5:$C$13*'2. The tape'!$I$5:$I$13*(1+$AB$5)^($A32/4))&gt;0)*('2. The tape'!$C$5:$C$13*'2. The tape'!$D$5:$D$13*(1-'2. The tape'!$J$5:$J$13)^($A32/4)*(1+$AB$5)^($A32/4)*((1-'3. Assumptions'!$B$13)/($AB$6)-'2. The tape'!$H$5:$H$13/12-'3. Assumptions'!$B$16)-'2. The tape'!$C$5:$C$13*'2. The tape'!$I$5:$I$13*(1+$AB$5)^($A32/4)))</f>
        <v>65437247.9585982</v>
      </c>
      <c r="AD32" s="33" t="n">
        <f aca="false">'2. The tape'!$C$17*(1+MIN(MAX($AD$5,'3. Assumptions'!$B$11),'3. Assumptions'!$B$10))^INT(($A32-1)/4)/4*(1-'3. Assumptions'!$B$13)</f>
        <v>2998091.25</v>
      </c>
      <c r="AE32" s="33" t="n">
        <f aca="false">(1-'3. Assumptions'!$B$15)*SUMPRODUCT((('2. The tape'!$C$5:$C$13*'2. The tape'!$D$5:$D$13*(1-'2. The tape'!$J$5:$J$13)^($A32/4)*(1+$AD$5)^($A32/4)*((1-'3. Assumptions'!$B$13)/($AD$6)-'2. The tape'!$H$5:$H$13/12-'3. Assumptions'!$B$16)-'2. The tape'!$C$5:$C$13*'2. The tape'!$I$5:$I$13*(1+$AD$5)^($A32/4))&gt;0)*('2. The tape'!$C$5:$C$13*'2. The tape'!$D$5:$D$13*(1-'2. The tape'!$J$5:$J$13)^($A32/4)*(1+$AD$5)^($A32/4)*((1-'3. Assumptions'!$B$13)/($AD$6)-'2. The tape'!$H$5:$H$13/12-'3. Assumptions'!$B$16)-'2. The tape'!$C$5:$C$13*'2. The tape'!$I$5:$I$13*(1+$AD$5)^($A32/4)))</f>
        <v>65437247.9585982</v>
      </c>
      <c r="AF32" s="33" t="n">
        <f aca="false">'2. The tape'!$C$17*(1+MIN(MAX($AF$5,'3. Assumptions'!$B$11),'3. Assumptions'!$B$10))^INT(($A32-1)/4)/4*(1-'3. Assumptions'!$B$13)</f>
        <v>2998091.25</v>
      </c>
      <c r="AG32" s="33" t="n">
        <f aca="false">(1-'3. Assumptions'!$B$15)*SUMPRODUCT((('2. The tape'!$C$5:$C$13*'2. The tape'!$D$5:$D$13*(1-'2. The tape'!$J$5:$J$13)^($A32/4)*(1+$AF$5)^($A32/4)*((1-'3. Assumptions'!$B$13)/($AF$6)-'2. The tape'!$H$5:$H$13/12-'3. Assumptions'!$B$16)-'2. The tape'!$C$5:$C$13*'2. The tape'!$I$5:$I$13*(1+$AF$5)^($A32/4))&gt;0)*('2. The tape'!$C$5:$C$13*'2. The tape'!$D$5:$D$13*(1-'2. The tape'!$J$5:$J$13)^($A32/4)*(1+$AF$5)^($A32/4)*((1-'3. Assumptions'!$B$13)/($AF$6)-'2. The tape'!$H$5:$H$13/12-'3. Assumptions'!$B$16)-'2. The tape'!$C$5:$C$13*'2. The tape'!$I$5:$I$13*(1+$AF$5)^($A32/4)))</f>
        <v>65437247.9585982</v>
      </c>
      <c r="AH32" s="33" t="n">
        <f aca="false">'2. The tape'!$C$17*(1+MIN(MAX($AH$5,'3. Assumptions'!$B$11),'3. Assumptions'!$B$10))^INT(($A32-1)/4)/4*(1-'3. Assumptions'!$B$13)</f>
        <v>3270758.13401338</v>
      </c>
      <c r="AI32" s="33" t="n">
        <f aca="false">(1-'3. Assumptions'!$B$15)*SUMPRODUCT((('2. The tape'!$C$5:$C$13*'2. The tape'!$D$5:$D$13*(1-'2. The tape'!$J$5:$J$13)^($A32/4)*(1+$AH$5)^($A32/4)*((1-'3. Assumptions'!$B$13)/($AH$6)-'2. The tape'!$H$5:$H$13/12-'3. Assumptions'!$B$16)-'2. The tape'!$C$5:$C$13*'2. The tape'!$I$5:$I$13*(1+$AH$5)^($A32/4))&gt;0)*('2. The tape'!$C$5:$C$13*'2. The tape'!$D$5:$D$13*(1-'2. The tape'!$J$5:$J$13)^($A32/4)*(1+$AH$5)^($A32/4)*((1-'3. Assumptions'!$B$13)/($AH$6)-'2. The tape'!$H$5:$H$13/12-'3. Assumptions'!$B$16)-'2. The tape'!$C$5:$C$13*'2. The tape'!$I$5:$I$13*(1+$AH$5)^($A32/4)))</f>
        <v>157293553.990588</v>
      </c>
      <c r="AJ32" s="33" t="n">
        <f aca="false">'2. The tape'!$C$17*(1+MIN(MAX($AJ$5,'3. Assumptions'!$B$11),'3. Assumptions'!$B$10))^INT(($A32-1)/4)/4*(1-'3. Assumptions'!$B$13)</f>
        <v>3270758.13401338</v>
      </c>
      <c r="AK32" s="33" t="n">
        <f aca="false">(1-'3. Assumptions'!$B$15)*SUMPRODUCT((('2. The tape'!$C$5:$C$13*'2. The tape'!$D$5:$D$13*(1-'2. The tape'!$J$5:$J$13)^($A32/4)*(1+$AJ$5)^($A32/4)*((1-'3. Assumptions'!$B$13)/($AJ$6)-'2. The tape'!$H$5:$H$13/12-'3. Assumptions'!$B$16)-'2. The tape'!$C$5:$C$13*'2. The tape'!$I$5:$I$13*(1+$AJ$5)^($A32/4))&gt;0)*('2. The tape'!$C$5:$C$13*'2. The tape'!$D$5:$D$13*(1-'2. The tape'!$J$5:$J$13)^($A32/4)*(1+$AJ$5)^($A32/4)*((1-'3. Assumptions'!$B$13)/($AJ$6)-'2. The tape'!$H$5:$H$13/12-'3. Assumptions'!$B$16)-'2. The tape'!$C$5:$C$13*'2. The tape'!$I$5:$I$13*(1+$AJ$5)^($A32/4)))</f>
        <v>114174451.804149</v>
      </c>
      <c r="AL32" s="33" t="n">
        <f aca="false">'2. The tape'!$C$17*(1+MIN(MAX($AL$5,'3. Assumptions'!$B$11),'3. Assumptions'!$B$10))^INT(($A32-1)/4)/4*(1-'3. Assumptions'!$B$13)</f>
        <v>3270758.13401338</v>
      </c>
      <c r="AM32" s="33" t="n">
        <f aca="false">(1-'3. Assumptions'!$B$15)*SUMPRODUCT((('2. The tape'!$C$5:$C$13*'2. The tape'!$D$5:$D$13*(1-'2. The tape'!$J$5:$J$13)^($A32/4)*(1+$AL$5)^($A32/4)*((1-'3. Assumptions'!$B$13)/($AL$6)-'2. The tape'!$H$5:$H$13/12-'3. Assumptions'!$B$16)-'2. The tape'!$C$5:$C$13*'2. The tape'!$I$5:$I$13*(1+$AL$5)^($A32/4))&gt;0)*('2. The tape'!$C$5:$C$13*'2. The tape'!$D$5:$D$13*(1-'2. The tape'!$J$5:$J$13)^($A32/4)*(1+$AL$5)^($A32/4)*((1-'3. Assumptions'!$B$13)/($AL$6)-'2. The tape'!$H$5:$H$13/12-'3. Assumptions'!$B$16)-'2. The tape'!$C$5:$C$13*'2. The tape'!$I$5:$I$13*(1+$AL$5)^($A32/4)))</f>
        <v>130897913.154917</v>
      </c>
      <c r="AN32" s="33" t="n">
        <f aca="false">'2. The tape'!$C$17*(1+MIN(MAX($AN$5,'3. Assumptions'!$B$11),'3. Assumptions'!$B$10))^INT(($A32-1)/4)/4*(1-'3. Assumptions'!$B$13)</f>
        <v>3270758.13401338</v>
      </c>
      <c r="AO32" s="33" t="n">
        <f aca="false">(1-'3. Assumptions'!$B$15)*SUMPRODUCT((('2. The tape'!$C$5:$C$13*'2. The tape'!$D$5:$D$13*(1-'2. The tape'!$J$5:$J$13)^($A32/4)*(1+$AN$5)^($A32/4)*((1-'3. Assumptions'!$B$13)/($AN$6)-'2. The tape'!$H$5:$H$13/12-'3. Assumptions'!$B$16)-'2. The tape'!$C$5:$C$13*'2. The tape'!$I$5:$I$13*(1+$AN$5)^($A32/4))&gt;0)*('2. The tape'!$C$5:$C$13*'2. The tape'!$D$5:$D$13*(1-'2. The tape'!$J$5:$J$13)^($A32/4)*(1+$AN$5)^($A32/4)*((1-'3. Assumptions'!$B$13)/($AN$6)-'2. The tape'!$H$5:$H$13/12-'3. Assumptions'!$B$16)-'2. The tape'!$C$5:$C$13*'2. The tape'!$I$5:$I$13*(1+$AN$5)^($A32/4)))</f>
        <v>134029058.68322</v>
      </c>
      <c r="AP32" s="33" t="n">
        <f aca="false">'2. The tape'!$C$17*(1+MIN(MAX($AP$5,'3. Assumptions'!$B$11),'3. Assumptions'!$B$10))^INT(($A32-1)/4)/4*(1-'3. Assumptions'!$B$13)</f>
        <v>3270758.13401338</v>
      </c>
      <c r="AQ32" s="33" t="n">
        <f aca="false">(1-'3. Assumptions'!$B$15)*SUMPRODUCT((('2. The tape'!$C$5:$C$13*'2. The tape'!$D$5:$D$13*(1-'2. The tape'!$J$5:$J$13)^($A32/4)*(1+$AP$5)^($A32/4)*((1-'3. Assumptions'!$B$13)/($AP$6)-'2. The tape'!$H$5:$H$13/12-'3. Assumptions'!$B$16)-'2. The tape'!$C$5:$C$13*'2. The tape'!$I$5:$I$13*(1+$AP$5)^($A32/4))&gt;0)*('2. The tape'!$C$5:$C$13*'2. The tape'!$D$5:$D$13*(1-'2. The tape'!$J$5:$J$13)^($A32/4)*(1+$AP$5)^($A32/4)*((1-'3. Assumptions'!$B$13)/($AP$6)-'2. The tape'!$H$5:$H$13/12-'3. Assumptions'!$B$16)-'2. The tape'!$C$5:$C$13*'2. The tape'!$I$5:$I$13*(1+$AP$5)^($A32/4)))</f>
        <v>133642525.192979</v>
      </c>
      <c r="AR32" s="33" t="n">
        <f aca="false">'2. The tape'!$C$17*(1+MIN(MAX($AR$5,'3. Assumptions'!$B$11),'3. Assumptions'!$B$10))^INT(($A32-1)/4)/4*(1-'3. Assumptions'!$B$13)</f>
        <v>3270758.13401338</v>
      </c>
      <c r="AS32" s="33" t="n">
        <f aca="false">(1-'3. Assumptions'!$B$15)*SUMPRODUCT((('2. The tape'!$C$5:$C$13*'2. The tape'!$D$5:$D$13*(1-'2. The tape'!$J$5:$J$13)^($A32/4)*(1+$AR$5)^($A32/4)*((1-'3. Assumptions'!$B$13)/($AR$6)-'2. The tape'!$H$5:$H$13/12-'3. Assumptions'!$B$16)-'2. The tape'!$C$5:$C$13*'2. The tape'!$I$5:$I$13*(1+$AR$5)^($A32/4))&gt;0)*('2. The tape'!$C$5:$C$13*'2. The tape'!$D$5:$D$13*(1-'2. The tape'!$J$5:$J$13)^($A32/4)*(1+$AR$5)^($A32/4)*((1-'3. Assumptions'!$B$13)/($AR$6)-'2. The tape'!$H$5:$H$13/12-'3. Assumptions'!$B$16)-'2. The tape'!$C$5:$C$13*'2. The tape'!$I$5:$I$13*(1+$AR$5)^($A32/4)))</f>
        <v>133649010.671295</v>
      </c>
      <c r="AT32" s="33" t="n">
        <f aca="false">'2. The tape'!$C$17*(1+MIN(MAX($AT$5,'3. Assumptions'!$B$11),'3. Assumptions'!$B$10))^INT(($A32-1)/4)/4*(1-'3. Assumptions'!$B$13)</f>
        <v>3270758.13401338</v>
      </c>
      <c r="AU32" s="33" t="n">
        <f aca="false">(1-'3. Assumptions'!$B$15)*SUMPRODUCT((('2. The tape'!$C$5:$C$13*'2. The tape'!$D$5:$D$13*(1-'2. The tape'!$J$5:$J$13)^($A32/4)*(1+$AT$5)^($A32/4)*((1-'3. Assumptions'!$B$13)/($AT$6)-'2. The tape'!$H$5:$H$13/12-'3. Assumptions'!$B$16)-'2. The tape'!$C$5:$C$13*'2. The tape'!$I$5:$I$13*(1+$AT$5)^($A32/4))&gt;0)*('2. The tape'!$C$5:$C$13*'2. The tape'!$D$5:$D$13*(1-'2. The tape'!$J$5:$J$13)^($A32/4)*(1+$AT$5)^($A32/4)*((1-'3. Assumptions'!$B$13)/($AT$6)-'2. The tape'!$H$5:$H$13/12-'3. Assumptions'!$B$16)-'2. The tape'!$C$5:$C$13*'2. The tape'!$I$5:$I$13*(1+$AT$5)^($A32/4)))</f>
        <v>133649025.774342</v>
      </c>
      <c r="AV32" s="33" t="n">
        <f aca="false">'2. The tape'!$C$17*(1+MIN(MAX($AV$5,'3. Assumptions'!$B$11),'3. Assumptions'!$B$10))^INT(($A32-1)/4)/4*(1-'3. Assumptions'!$B$13)</f>
        <v>3270758.13401338</v>
      </c>
      <c r="AW32" s="33" t="n">
        <f aca="false">(1-'3. Assumptions'!$B$15)*SUMPRODUCT((('2. The tape'!$C$5:$C$13*'2. The tape'!$D$5:$D$13*(1-'2. The tape'!$J$5:$J$13)^($A32/4)*(1+$AV$5)^($A32/4)*((1-'3. Assumptions'!$B$13)/($AV$6)-'2. The tape'!$H$5:$H$13/12-'3. Assumptions'!$B$16)-'2. The tape'!$C$5:$C$13*'2. The tape'!$I$5:$I$13*(1+$AV$5)^($A32/4))&gt;0)*('2. The tape'!$C$5:$C$13*'2. The tape'!$D$5:$D$13*(1-'2. The tape'!$J$5:$J$13)^($A32/4)*(1+$AV$5)^($A32/4)*((1-'3. Assumptions'!$B$13)/($AV$6)-'2. The tape'!$H$5:$H$13/12-'3. Assumptions'!$B$16)-'2. The tape'!$C$5:$C$13*'2. The tape'!$I$5:$I$13*(1+$AV$5)^($A32/4)))</f>
        <v>133649025.773741</v>
      </c>
      <c r="AX32" s="33" t="n">
        <f aca="false">'2. The tape'!$C$17*(1+MIN(MAX($AX$5,'3. Assumptions'!$B$11),'3. Assumptions'!$B$10))^INT(($A32-1)/4)/4*(1-'3. Assumptions'!$B$13)</f>
        <v>3270758.13401338</v>
      </c>
      <c r="AY32" s="33" t="n">
        <f aca="false">(1-'3. Assumptions'!$B$15)*SUMPRODUCT((('2. The tape'!$C$5:$C$13*'2. The tape'!$D$5:$D$13*(1-'2. The tape'!$J$5:$J$13)^($A32/4)*(1+$AX$5)^($A32/4)*((1-'3. Assumptions'!$B$13)/($AX$6)-'2. The tape'!$H$5:$H$13/12-'3. Assumptions'!$B$16)-'2. The tape'!$C$5:$C$13*'2. The tape'!$I$5:$I$13*(1+$AX$5)^($A32/4))&gt;0)*('2. The tape'!$C$5:$C$13*'2. The tape'!$D$5:$D$13*(1-'2. The tape'!$J$5:$J$13)^($A32/4)*(1+$AX$5)^($A32/4)*((1-'3. Assumptions'!$B$13)/($AX$6)-'2. The tape'!$H$5:$H$13/12-'3. Assumptions'!$B$16)-'2. The tape'!$C$5:$C$13*'2. The tape'!$I$5:$I$13*(1+$AX$5)^($A32/4)))</f>
        <v>133649025.773741</v>
      </c>
      <c r="AZ32" s="33" t="n">
        <f aca="false">'2. The tape'!$C$17*(1+MIN(MAX($AZ$5,'3. Assumptions'!$B$11),'3. Assumptions'!$B$10))^INT(($A32-1)/4)/4*(1-'3. Assumptions'!$B$13)</f>
        <v>3270758.13401338</v>
      </c>
      <c r="BA32" s="33" t="n">
        <f aca="false">(1-'3. Assumptions'!$B$15)*SUMPRODUCT((('2. The tape'!$C$5:$C$13*'2. The tape'!$D$5:$D$13*(1-'2. The tape'!$J$5:$J$13)^($A32/4)*(1+$AZ$5)^($A32/4)*((1-'3. Assumptions'!$B$13)/($AZ$6)-'2. The tape'!$H$5:$H$13/12-'3. Assumptions'!$B$16)-'2. The tape'!$C$5:$C$13*'2. The tape'!$I$5:$I$13*(1+$AZ$5)^($A32/4))&gt;0)*('2. The tape'!$C$5:$C$13*'2. The tape'!$D$5:$D$13*(1-'2. The tape'!$J$5:$J$13)^($A32/4)*(1+$AZ$5)^($A32/4)*((1-'3. Assumptions'!$B$13)/($AZ$6)-'2. The tape'!$H$5:$H$13/12-'3. Assumptions'!$B$16)-'2. The tape'!$C$5:$C$13*'2. The tape'!$I$5:$I$13*(1+$AZ$5)^($A32/4)))</f>
        <v>133649025.773741</v>
      </c>
    </row>
    <row r="33" customFormat="false" ht="15" hidden="false" customHeight="false" outlineLevel="0" collapsed="false">
      <c r="A33" s="20" t="n">
        <v>18</v>
      </c>
      <c r="B33" s="33" t="n">
        <f aca="false">'2. The tape'!$C$17*(1+MIN(MAX($B$5,'3. Assumptions'!$B$11),'3. Assumptions'!$B$10))^INT(($A33-1)/4)/4*(1-'3. Assumptions'!$B$13)</f>
        <v>3270758.13401338</v>
      </c>
      <c r="C33" s="33" t="n">
        <f aca="false">(1-'3. Assumptions'!$B$15)*SUMPRODUCT((('2. The tape'!$C$5:$C$13*'2. The tape'!$D$5:$D$13*(1-'2. The tape'!$J$5:$J$13)^($A33/4)*(1+$B$5)^($A33/4)*((1-'3. Assumptions'!$B$13)/($B$6)-'2. The tape'!$H$5:$H$13/12-'3. Assumptions'!$B$16)-'2. The tape'!$C$5:$C$13*'2. The tape'!$I$5:$I$13*(1+$B$5)^($A33/4))&gt;0)*('2. The tape'!$C$5:$C$13*'2. The tape'!$D$5:$D$13*(1-'2. The tape'!$J$5:$J$13)^($A33/4)*(1+$B$5)^($A33/4)*((1-'3. Assumptions'!$B$13)/($B$6)-'2. The tape'!$H$5:$H$13/12-'3. Assumptions'!$B$16)-'2. The tape'!$C$5:$C$13*'2. The tape'!$I$5:$I$13*(1+$B$5)^($A33/4)))</f>
        <v>80262679.5037985</v>
      </c>
      <c r="D33" s="33" t="n">
        <f aca="false">'2. The tape'!$C$17*(1+MIN(MAX($D$5,'3. Assumptions'!$B$11),'3. Assumptions'!$B$10))^INT(($A33-1)/4)/4*(1-'3. Assumptions'!$B$13)</f>
        <v>3374378.11505891</v>
      </c>
      <c r="E33" s="33" t="n">
        <f aca="false">(1-'3. Assumptions'!$B$15)*SUMPRODUCT((('2. The tape'!$C$5:$C$13*'2. The tape'!$D$5:$D$13*(1-'2. The tape'!$J$5:$J$13)^($A33/4)*(1+$D$5)^($A33/4)*((1-'3. Assumptions'!$B$13)/($D$6)-'2. The tape'!$H$5:$H$13/12-'3. Assumptions'!$B$16)-'2. The tape'!$C$5:$C$13*'2. The tape'!$I$5:$I$13*(1+$D$5)^($A33/4))&gt;0)*('2. The tape'!$C$5:$C$13*'2. The tape'!$D$5:$D$13*(1-'2. The tape'!$J$5:$J$13)^($A33/4)*(1+$D$5)^($A33/4)*((1-'3. Assumptions'!$B$13)/($D$6)-'2. The tape'!$H$5:$H$13/12-'3. Assumptions'!$B$16)-'2. The tape'!$C$5:$C$13*'2. The tape'!$I$5:$I$13*(1+$D$5)^($A33/4)))</f>
        <v>84960331.2846918</v>
      </c>
      <c r="F33" s="33" t="n">
        <f aca="false">'2. The tape'!$C$17*(1+MIN(MAX($F$5,'3. Assumptions'!$B$11),'3. Assumptions'!$B$10))^INT(($A33-1)/4)/4*(1-'3. Assumptions'!$B$13)</f>
        <v>3119825.77709591</v>
      </c>
      <c r="G33" s="33" t="n">
        <f aca="false">(1-'3. Assumptions'!$B$15)*SUMPRODUCT((('2. The tape'!$C$5:$C$13*'2. The tape'!$D$5:$D$13*(1-'2. The tape'!$J$5:$J$13)^($A33/4)*(1+$F$5)^($A33/4)*((1-'3. Assumptions'!$B$13)/($F$6)-'2. The tape'!$H$5:$H$13/12-'3. Assumptions'!$B$16)-'2. The tape'!$C$5:$C$13*'2. The tape'!$I$5:$I$13*(1+$F$5)^($A33/4))&gt;0)*('2. The tape'!$C$5:$C$13*'2. The tape'!$D$5:$D$13*(1-'2. The tape'!$J$5:$J$13)^($A33/4)*(1+$F$5)^($A33/4)*((1-'3. Assumptions'!$B$13)/($F$6)-'2. The tape'!$H$5:$H$13/12-'3. Assumptions'!$B$16)-'2. The tape'!$C$5:$C$13*'2. The tape'!$I$5:$I$13*(1+$F$5)^($A33/4)))</f>
        <v>76108086.856102</v>
      </c>
      <c r="H33" s="33" t="n">
        <f aca="false">'2. The tape'!$C$17*(1+MIN(MAX($H$5,'3. Assumptions'!$B$11),'3. Assumptions'!$B$10))^INT(($A33-1)/4)/4*(1-'3. Assumptions'!$B$13)</f>
        <v>3374378.11505891</v>
      </c>
      <c r="I33" s="33" t="n">
        <f aca="false">(1-'3. Assumptions'!$B$15)*SUMPRODUCT((('2. The tape'!$C$5:$C$13*'2. The tape'!$D$5:$D$13*(1-'2. The tape'!$J$5:$J$13)^($A33/4)*(1+$H$5)^($A33/4)*((1-'3. Assumptions'!$B$13)/($H$6)-'2. The tape'!$H$5:$H$13/12-'3. Assumptions'!$B$16)-'2. The tape'!$C$5:$C$13*'2. The tape'!$I$5:$I$13*(1+$H$5)^($A33/4))&gt;0)*('2. The tape'!$C$5:$C$13*'2. The tape'!$D$5:$D$13*(1-'2. The tape'!$J$5:$J$13)^($A33/4)*(1+$H$5)^($A33/4)*((1-'3. Assumptions'!$B$13)/($H$6)-'2. The tape'!$H$5:$H$13/12-'3. Assumptions'!$B$16)-'2. The tape'!$C$5:$C$13*'2. The tape'!$I$5:$I$13*(1+$H$5)^($A33/4)))</f>
        <v>84960331.2846918</v>
      </c>
      <c r="J33" s="33" t="n">
        <f aca="false">'2. The tape'!$C$17*(1+MIN(MAX($J$5,'3. Assumptions'!$B$11),'3. Assumptions'!$B$10))^INT(($A33-1)/4)/4*(1-'3. Assumptions'!$B$13)</f>
        <v>3270758.13401338</v>
      </c>
      <c r="K33" s="33" t="n">
        <f aca="false">(1-'3. Assumptions'!$B$15)*SUMPRODUCT((('2. The tape'!$C$5:$C$13*'2. The tape'!$D$5:$D$13*(1-'2. The tape'!$J$5:$J$13)^($A33/4)*(1+$J$5)^($A33/4)*((1-'3. Assumptions'!$B$13)/($J$6)-'2. The tape'!$H$5:$H$13/12-'3. Assumptions'!$B$16)-'2. The tape'!$C$5:$C$13*'2. The tape'!$I$5:$I$13*(1+$J$5)^($A33/4))&gt;0)*('2. The tape'!$C$5:$C$13*'2. The tape'!$D$5:$D$13*(1-'2. The tape'!$J$5:$J$13)^($A33/4)*(1+$J$5)^($A33/4)*((1-'3. Assumptions'!$B$13)/($J$6)-'2. The tape'!$H$5:$H$13/12-'3. Assumptions'!$B$16)-'2. The tape'!$C$5:$C$13*'2. The tape'!$I$5:$I$13*(1+$J$5)^($A33/4)))</f>
        <v>66173305.2499864</v>
      </c>
      <c r="L33" s="33" t="n">
        <f aca="false">'2. The tape'!$C$17*(1+MIN(MAX($L$5,'3. Assumptions'!$B$11),'3. Assumptions'!$B$10))^INT(($A33-1)/4)/4*(1-'3. Assumptions'!$B$13)</f>
        <v>3374378.11505891</v>
      </c>
      <c r="M33" s="33" t="n">
        <f aca="false">(1-'3. Assumptions'!$B$15)*SUMPRODUCT((('2. The tape'!$C$5:$C$13*'2. The tape'!$D$5:$D$13*(1-'2. The tape'!$J$5:$J$13)^($A33/4)*(1+$L$5)^($A33/4)*((1-'3. Assumptions'!$B$13)/($L$6)-'2. The tape'!$H$5:$H$13/12-'3. Assumptions'!$B$16)-'2. The tape'!$C$5:$C$13*'2. The tape'!$I$5:$I$13*(1+$L$5)^($A33/4))&gt;0)*('2. The tape'!$C$5:$C$13*'2. The tape'!$D$5:$D$13*(1-'2. The tape'!$J$5:$J$13)^($A33/4)*(1+$L$5)^($A33/4)*((1-'3. Assumptions'!$B$13)/($L$6)-'2. The tape'!$H$5:$H$13/12-'3. Assumptions'!$B$16)-'2. The tape'!$C$5:$C$13*'2. The tape'!$I$5:$I$13*(1+$L$5)^($A33/4)))</f>
        <v>236989829.488496</v>
      </c>
      <c r="N33" s="33" t="n">
        <f aca="false">'2. The tape'!$C$17*(1+MIN(MAX($N$5,'3. Assumptions'!$B$11),'3. Assumptions'!$B$10))^INT(($A33-1)/4)/4*(1-'3. Assumptions'!$B$13)</f>
        <v>2998091.25</v>
      </c>
      <c r="O33" s="33" t="n">
        <f aca="false">(1-'3. Assumptions'!$B$15)*SUMPRODUCT((('2. The tape'!$C$5:$C$13*'2. The tape'!$D$5:$D$13*(1-'2. The tape'!$J$5:$J$13)^($A33/4)*(1+$N$5)^($A33/4)*((1-'3. Assumptions'!$B$13)/($N$6)-'2. The tape'!$H$5:$H$13/12-'3. Assumptions'!$B$16)-'2. The tape'!$C$5:$C$13*'2. The tape'!$I$5:$I$13*(1+$N$5)^($A33/4))&gt;0)*('2. The tape'!$C$5:$C$13*'2. The tape'!$D$5:$D$13*(1-'2. The tape'!$J$5:$J$13)^($A33/4)*(1+$N$5)^($A33/4)*((1-'3. Assumptions'!$B$13)/($N$6)-'2. The tape'!$H$5:$H$13/12-'3. Assumptions'!$B$16)-'2. The tape'!$C$5:$C$13*'2. The tape'!$I$5:$I$13*(1+$N$5)^($A33/4)))</f>
        <v>63453769.5951531</v>
      </c>
      <c r="P33" s="33" t="n">
        <f aca="false">'2. The tape'!$C$17*(1+MIN(MAX($P$5,'3. Assumptions'!$B$11),'3. Assumptions'!$B$10))^INT(($A33-1)/4)/4*(1-'3. Assumptions'!$B$13)</f>
        <v>2998091.25</v>
      </c>
      <c r="Q33" s="33" t="n">
        <f aca="false">(1-'3. Assumptions'!$B$15)*SUMPRODUCT((('2. The tape'!$C$5:$C$13*'2. The tape'!$D$5:$D$13*(1-'2. The tape'!$J$5:$J$13)^($A33/4)*(1+$P$5)^($A33/4)*((1-'3. Assumptions'!$B$13)/($P$6)-'2. The tape'!$H$5:$H$13/12-'3. Assumptions'!$B$16)-'2. The tape'!$C$5:$C$13*'2. The tape'!$I$5:$I$13*(1+$P$5)^($A33/4))&gt;0)*('2. The tape'!$C$5:$C$13*'2. The tape'!$D$5:$D$13*(1-'2. The tape'!$J$5:$J$13)^($A33/4)*(1+$P$5)^($A33/4)*((1-'3. Assumptions'!$B$13)/($P$6)-'2. The tape'!$H$5:$H$13/12-'3. Assumptions'!$B$16)-'2. The tape'!$C$5:$C$13*'2. The tape'!$I$5:$I$13*(1+$P$5)^($A33/4)))</f>
        <v>66451067.7585341</v>
      </c>
      <c r="R33" s="33" t="n">
        <f aca="false">'2. The tape'!$C$17*(1+MIN(MAX($R$5,'3. Assumptions'!$B$11),'3. Assumptions'!$B$10))^INT(($A33-1)/4)/4*(1-'3. Assumptions'!$B$13)</f>
        <v>2998091.25</v>
      </c>
      <c r="S33" s="33" t="n">
        <f aca="false">(1-'3. Assumptions'!$B$15)*SUMPRODUCT((('2. The tape'!$C$5:$C$13*'2. The tape'!$D$5:$D$13*(1-'2. The tape'!$J$5:$J$13)^($A33/4)*(1+$R$5)^($A33/4)*((1-'3. Assumptions'!$B$13)/($R$6)-'2. The tape'!$H$5:$H$13/12-'3. Assumptions'!$B$16)-'2. The tape'!$C$5:$C$13*'2. The tape'!$I$5:$I$13*(1+$R$5)^($A33/4))&gt;0)*('2. The tape'!$C$5:$C$13*'2. The tape'!$D$5:$D$13*(1-'2. The tape'!$J$5:$J$13)^($A33/4)*(1+$R$5)^($A33/4)*((1-'3. Assumptions'!$B$13)/($R$6)-'2. The tape'!$H$5:$H$13/12-'3. Assumptions'!$B$16)-'2. The tape'!$C$5:$C$13*'2. The tape'!$I$5:$I$13*(1+$R$5)^($A33/4)))</f>
        <v>64623811.4725268</v>
      </c>
      <c r="T33" s="33" t="n">
        <f aca="false">'2. The tape'!$C$17*(1+MIN(MAX($T$5,'3. Assumptions'!$B$11),'3. Assumptions'!$B$10))^INT(($A33-1)/4)/4*(1-'3. Assumptions'!$B$13)</f>
        <v>2998091.25</v>
      </c>
      <c r="U33" s="33" t="n">
        <f aca="false">(1-'3. Assumptions'!$B$15)*SUMPRODUCT((('2. The tape'!$C$5:$C$13*'2. The tape'!$D$5:$D$13*(1-'2. The tape'!$J$5:$J$13)^($A33/4)*(1+$T$5)^($A33/4)*((1-'3. Assumptions'!$B$13)/($T$6)-'2. The tape'!$H$5:$H$13/12-'3. Assumptions'!$B$16)-'2. The tape'!$C$5:$C$13*'2. The tape'!$I$5:$I$13*(1+$T$5)^($A33/4))&gt;0)*('2. The tape'!$C$5:$C$13*'2. The tape'!$D$5:$D$13*(1-'2. The tape'!$J$5:$J$13)^($A33/4)*(1+$T$5)^($A33/4)*((1-'3. Assumptions'!$B$13)/($T$6)-'2. The tape'!$H$5:$H$13/12-'3. Assumptions'!$B$16)-'2. The tape'!$C$5:$C$13*'2. The tape'!$I$5:$I$13*(1+$T$5)^($A33/4)))</f>
        <v>64574799.4788567</v>
      </c>
      <c r="V33" s="33" t="n">
        <f aca="false">'2. The tape'!$C$17*(1+MIN(MAX($V$5,'3. Assumptions'!$B$11),'3. Assumptions'!$B$10))^INT(($A33-1)/4)/4*(1-'3. Assumptions'!$B$13)</f>
        <v>2998091.25</v>
      </c>
      <c r="W33" s="33" t="n">
        <f aca="false">(1-'3. Assumptions'!$B$15)*SUMPRODUCT((('2. The tape'!$C$5:$C$13*'2. The tape'!$D$5:$D$13*(1-'2. The tape'!$J$5:$J$13)^($A33/4)*(1+$V$5)^($A33/4)*((1-'3. Assumptions'!$B$13)/($V$6)-'2. The tape'!$H$5:$H$13/12-'3. Assumptions'!$B$16)-'2. The tape'!$C$5:$C$13*'2. The tape'!$I$5:$I$13*(1+$V$5)^($A33/4))&gt;0)*('2. The tape'!$C$5:$C$13*'2. The tape'!$D$5:$D$13*(1-'2. The tape'!$J$5:$J$13)^($A33/4)*(1+$V$5)^($A33/4)*((1-'3. Assumptions'!$B$13)/($V$6)-'2. The tape'!$H$5:$H$13/12-'3. Assumptions'!$B$16)-'2. The tape'!$C$5:$C$13*'2. The tape'!$I$5:$I$13*(1+$V$5)^($A33/4)))</f>
        <v>64576768.176024</v>
      </c>
      <c r="X33" s="33" t="n">
        <f aca="false">'2. The tape'!$C$17*(1+MIN(MAX($X$5,'3. Assumptions'!$B$11),'3. Assumptions'!$B$10))^INT(($A33-1)/4)/4*(1-'3. Assumptions'!$B$13)</f>
        <v>2998091.25</v>
      </c>
      <c r="Y33" s="33" t="n">
        <f aca="false">(1-'3. Assumptions'!$B$15)*SUMPRODUCT((('2. The tape'!$C$5:$C$13*'2. The tape'!$D$5:$D$13*(1-'2. The tape'!$J$5:$J$13)^($A33/4)*(1+$X$5)^($A33/4)*((1-'3. Assumptions'!$B$13)/($X$6)-'2. The tape'!$H$5:$H$13/12-'3. Assumptions'!$B$16)-'2. The tape'!$C$5:$C$13*'2. The tape'!$I$5:$I$13*(1+$X$5)^($A33/4))&gt;0)*('2. The tape'!$C$5:$C$13*'2. The tape'!$D$5:$D$13*(1-'2. The tape'!$J$5:$J$13)^($A33/4)*(1+$X$5)^($A33/4)*((1-'3. Assumptions'!$B$13)/($X$6)-'2. The tape'!$H$5:$H$13/12-'3. Assumptions'!$B$16)-'2. The tape'!$C$5:$C$13*'2. The tape'!$I$5:$I$13*(1+$X$5)^($A33/4)))</f>
        <v>64576766.105792</v>
      </c>
      <c r="Z33" s="33" t="n">
        <f aca="false">'2. The tape'!$C$17*(1+MIN(MAX($Z$5,'3. Assumptions'!$B$11),'3. Assumptions'!$B$10))^INT(($A33-1)/4)/4*(1-'3. Assumptions'!$B$13)</f>
        <v>2998091.25</v>
      </c>
      <c r="AA33" s="33" t="n">
        <f aca="false">(1-'3. Assumptions'!$B$15)*SUMPRODUCT((('2. The tape'!$C$5:$C$13*'2. The tape'!$D$5:$D$13*(1-'2. The tape'!$J$5:$J$13)^($A33/4)*(1+$Z$5)^($A33/4)*((1-'3. Assumptions'!$B$13)/($Z$6)-'2. The tape'!$H$5:$H$13/12-'3. Assumptions'!$B$16)-'2. The tape'!$C$5:$C$13*'2. The tape'!$I$5:$I$13*(1+$Z$5)^($A33/4))&gt;0)*('2. The tape'!$C$5:$C$13*'2. The tape'!$D$5:$D$13*(1-'2. The tape'!$J$5:$J$13)^($A33/4)*(1+$Z$5)^($A33/4)*((1-'3. Assumptions'!$B$13)/($Z$6)-'2. The tape'!$H$5:$H$13/12-'3. Assumptions'!$B$16)-'2. The tape'!$C$5:$C$13*'2. The tape'!$I$5:$I$13*(1+$Z$5)^($A33/4)))</f>
        <v>64576766.1057009</v>
      </c>
      <c r="AB33" s="33" t="n">
        <f aca="false">'2. The tape'!$C$17*(1+MIN(MAX($AB$5,'3. Assumptions'!$B$11),'3. Assumptions'!$B$10))^INT(($A33-1)/4)/4*(1-'3. Assumptions'!$B$13)</f>
        <v>2998091.25</v>
      </c>
      <c r="AC33" s="33" t="n">
        <f aca="false">(1-'3. Assumptions'!$B$15)*SUMPRODUCT((('2. The tape'!$C$5:$C$13*'2. The tape'!$D$5:$D$13*(1-'2. The tape'!$J$5:$J$13)^($A33/4)*(1+$AB$5)^($A33/4)*((1-'3. Assumptions'!$B$13)/($AB$6)-'2. The tape'!$H$5:$H$13/12-'3. Assumptions'!$B$16)-'2. The tape'!$C$5:$C$13*'2. The tape'!$I$5:$I$13*(1+$AB$5)^($A33/4))&gt;0)*('2. The tape'!$C$5:$C$13*'2. The tape'!$D$5:$D$13*(1-'2. The tape'!$J$5:$J$13)^($A33/4)*(1+$AB$5)^($A33/4)*((1-'3. Assumptions'!$B$13)/($AB$6)-'2. The tape'!$H$5:$H$13/12-'3. Assumptions'!$B$16)-'2. The tape'!$C$5:$C$13*'2. The tape'!$I$5:$I$13*(1+$AB$5)^($A33/4)))</f>
        <v>64576766.1057009</v>
      </c>
      <c r="AD33" s="33" t="n">
        <f aca="false">'2. The tape'!$C$17*(1+MIN(MAX($AD$5,'3. Assumptions'!$B$11),'3. Assumptions'!$B$10))^INT(($A33-1)/4)/4*(1-'3. Assumptions'!$B$13)</f>
        <v>2998091.25</v>
      </c>
      <c r="AE33" s="33" t="n">
        <f aca="false">(1-'3. Assumptions'!$B$15)*SUMPRODUCT((('2. The tape'!$C$5:$C$13*'2. The tape'!$D$5:$D$13*(1-'2. The tape'!$J$5:$J$13)^($A33/4)*(1+$AD$5)^($A33/4)*((1-'3. Assumptions'!$B$13)/($AD$6)-'2. The tape'!$H$5:$H$13/12-'3. Assumptions'!$B$16)-'2. The tape'!$C$5:$C$13*'2. The tape'!$I$5:$I$13*(1+$AD$5)^($A33/4))&gt;0)*('2. The tape'!$C$5:$C$13*'2. The tape'!$D$5:$D$13*(1-'2. The tape'!$J$5:$J$13)^($A33/4)*(1+$AD$5)^($A33/4)*((1-'3. Assumptions'!$B$13)/($AD$6)-'2. The tape'!$H$5:$H$13/12-'3. Assumptions'!$B$16)-'2. The tape'!$C$5:$C$13*'2. The tape'!$I$5:$I$13*(1+$AD$5)^($A33/4)))</f>
        <v>64576766.1057009</v>
      </c>
      <c r="AF33" s="33" t="n">
        <f aca="false">'2. The tape'!$C$17*(1+MIN(MAX($AF$5,'3. Assumptions'!$B$11),'3. Assumptions'!$B$10))^INT(($A33-1)/4)/4*(1-'3. Assumptions'!$B$13)</f>
        <v>2998091.25</v>
      </c>
      <c r="AG33" s="33" t="n">
        <f aca="false">(1-'3. Assumptions'!$B$15)*SUMPRODUCT((('2. The tape'!$C$5:$C$13*'2. The tape'!$D$5:$D$13*(1-'2. The tape'!$J$5:$J$13)^($A33/4)*(1+$AF$5)^($A33/4)*((1-'3. Assumptions'!$B$13)/($AF$6)-'2. The tape'!$H$5:$H$13/12-'3. Assumptions'!$B$16)-'2. The tape'!$C$5:$C$13*'2. The tape'!$I$5:$I$13*(1+$AF$5)^($A33/4))&gt;0)*('2. The tape'!$C$5:$C$13*'2. The tape'!$D$5:$D$13*(1-'2. The tape'!$J$5:$J$13)^($A33/4)*(1+$AF$5)^($A33/4)*((1-'3. Assumptions'!$B$13)/($AF$6)-'2. The tape'!$H$5:$H$13/12-'3. Assumptions'!$B$16)-'2. The tape'!$C$5:$C$13*'2. The tape'!$I$5:$I$13*(1+$AF$5)^($A33/4)))</f>
        <v>64576766.1057009</v>
      </c>
      <c r="AH33" s="33" t="n">
        <f aca="false">'2. The tape'!$C$17*(1+MIN(MAX($AH$5,'3. Assumptions'!$B$11),'3. Assumptions'!$B$10))^INT(($A33-1)/4)/4*(1-'3. Assumptions'!$B$13)</f>
        <v>3270758.13401338</v>
      </c>
      <c r="AI33" s="33" t="n">
        <f aca="false">(1-'3. Assumptions'!$B$15)*SUMPRODUCT((('2. The tape'!$C$5:$C$13*'2. The tape'!$D$5:$D$13*(1-'2. The tape'!$J$5:$J$13)^($A33/4)*(1+$AH$5)^($A33/4)*((1-'3. Assumptions'!$B$13)/($AH$6)-'2. The tape'!$H$5:$H$13/12-'3. Assumptions'!$B$16)-'2. The tape'!$C$5:$C$13*'2. The tape'!$I$5:$I$13*(1+$AH$5)^($A33/4))&gt;0)*('2. The tape'!$C$5:$C$13*'2. The tape'!$D$5:$D$13*(1-'2. The tape'!$J$5:$J$13)^($A33/4)*(1+$AH$5)^($A33/4)*((1-'3. Assumptions'!$B$13)/($AH$6)-'2. The tape'!$H$5:$H$13/12-'3. Assumptions'!$B$16)-'2. The tape'!$C$5:$C$13*'2. The tape'!$I$5:$I$13*(1+$AH$5)^($A33/4)))</f>
        <v>157190662.929613</v>
      </c>
      <c r="AJ33" s="33" t="n">
        <f aca="false">'2. The tape'!$C$17*(1+MIN(MAX($AJ$5,'3. Assumptions'!$B$11),'3. Assumptions'!$B$10))^INT(($A33-1)/4)/4*(1-'3. Assumptions'!$B$13)</f>
        <v>3270758.13401338</v>
      </c>
      <c r="AK33" s="33" t="n">
        <f aca="false">(1-'3. Assumptions'!$B$15)*SUMPRODUCT((('2. The tape'!$C$5:$C$13*'2. The tape'!$D$5:$D$13*(1-'2. The tape'!$J$5:$J$13)^($A33/4)*(1+$AJ$5)^($A33/4)*((1-'3. Assumptions'!$B$13)/($AJ$6)-'2. The tape'!$H$5:$H$13/12-'3. Assumptions'!$B$16)-'2. The tape'!$C$5:$C$13*'2. The tape'!$I$5:$I$13*(1+$AJ$5)^($A33/4))&gt;0)*('2. The tape'!$C$5:$C$13*'2. The tape'!$D$5:$D$13*(1-'2. The tape'!$J$5:$J$13)^($A33/4)*(1+$AJ$5)^($A33/4)*((1-'3. Assumptions'!$B$13)/($AJ$6)-'2. The tape'!$H$5:$H$13/12-'3. Assumptions'!$B$16)-'2. The tape'!$C$5:$C$13*'2. The tape'!$I$5:$I$13*(1+$AJ$5)^($A33/4)))</f>
        <v>114077177.712948</v>
      </c>
      <c r="AL33" s="33" t="n">
        <f aca="false">'2. The tape'!$C$17*(1+MIN(MAX($AL$5,'3. Assumptions'!$B$11),'3. Assumptions'!$B$10))^INT(($A33-1)/4)/4*(1-'3. Assumptions'!$B$13)</f>
        <v>3270758.13401338</v>
      </c>
      <c r="AM33" s="33" t="n">
        <f aca="false">(1-'3. Assumptions'!$B$15)*SUMPRODUCT((('2. The tape'!$C$5:$C$13*'2. The tape'!$D$5:$D$13*(1-'2. The tape'!$J$5:$J$13)^($A33/4)*(1+$AL$5)^($A33/4)*((1-'3. Assumptions'!$B$13)/($AL$6)-'2. The tape'!$H$5:$H$13/12-'3. Assumptions'!$B$16)-'2. The tape'!$C$5:$C$13*'2. The tape'!$I$5:$I$13*(1+$AL$5)^($A33/4))&gt;0)*('2. The tape'!$C$5:$C$13*'2. The tape'!$D$5:$D$13*(1-'2. The tape'!$J$5:$J$13)^($A33/4)*(1+$AL$5)^($A33/4)*((1-'3. Assumptions'!$B$13)/($AL$6)-'2. The tape'!$H$5:$H$13/12-'3. Assumptions'!$B$16)-'2. The tape'!$C$5:$C$13*'2. The tape'!$I$5:$I$13*(1+$AL$5)^($A33/4)))</f>
        <v>130798460.55878</v>
      </c>
      <c r="AN33" s="33" t="n">
        <f aca="false">'2. The tape'!$C$17*(1+MIN(MAX($AN$5,'3. Assumptions'!$B$11),'3. Assumptions'!$B$10))^INT(($A33-1)/4)/4*(1-'3. Assumptions'!$B$13)</f>
        <v>3270758.13401338</v>
      </c>
      <c r="AO33" s="33" t="n">
        <f aca="false">(1-'3. Assumptions'!$B$15)*SUMPRODUCT((('2. The tape'!$C$5:$C$13*'2. The tape'!$D$5:$D$13*(1-'2. The tape'!$J$5:$J$13)^($A33/4)*(1+$AN$5)^($A33/4)*((1-'3. Assumptions'!$B$13)/($AN$6)-'2. The tape'!$H$5:$H$13/12-'3. Assumptions'!$B$16)-'2. The tape'!$C$5:$C$13*'2. The tape'!$I$5:$I$13*(1+$AN$5)^($A33/4))&gt;0)*('2. The tape'!$C$5:$C$13*'2. The tape'!$D$5:$D$13*(1-'2. The tape'!$J$5:$J$13)^($A33/4)*(1+$AN$5)^($A33/4)*((1-'3. Assumptions'!$B$13)/($AN$6)-'2. The tape'!$H$5:$H$13/12-'3. Assumptions'!$B$16)-'2. The tape'!$C$5:$C$13*'2. The tape'!$I$5:$I$13*(1+$AN$5)^($A33/4)))</f>
        <v>133929198.204059</v>
      </c>
      <c r="AP33" s="33" t="n">
        <f aca="false">'2. The tape'!$C$17*(1+MIN(MAX($AP$5,'3. Assumptions'!$B$11),'3. Assumptions'!$B$10))^INT(($A33-1)/4)/4*(1-'3. Assumptions'!$B$13)</f>
        <v>3270758.13401338</v>
      </c>
      <c r="AQ33" s="33" t="n">
        <f aca="false">(1-'3. Assumptions'!$B$15)*SUMPRODUCT((('2. The tape'!$C$5:$C$13*'2. The tape'!$D$5:$D$13*(1-'2. The tape'!$J$5:$J$13)^($A33/4)*(1+$AP$5)^($A33/4)*((1-'3. Assumptions'!$B$13)/($AP$6)-'2. The tape'!$H$5:$H$13/12-'3. Assumptions'!$B$16)-'2. The tape'!$C$5:$C$13*'2. The tape'!$I$5:$I$13*(1+$AP$5)^($A33/4))&gt;0)*('2. The tape'!$C$5:$C$13*'2. The tape'!$D$5:$D$13*(1-'2. The tape'!$J$5:$J$13)^($A33/4)*(1+$AP$5)^($A33/4)*((1-'3. Assumptions'!$B$13)/($AP$6)-'2. The tape'!$H$5:$H$13/12-'3. Assumptions'!$B$16)-'2. The tape'!$C$5:$C$13*'2. The tape'!$I$5:$I$13*(1+$AP$5)^($A33/4)))</f>
        <v>133542715.066141</v>
      </c>
      <c r="AR33" s="33" t="n">
        <f aca="false">'2. The tape'!$C$17*(1+MIN(MAX($AR$5,'3. Assumptions'!$B$11),'3. Assumptions'!$B$10))^INT(($A33-1)/4)/4*(1-'3. Assumptions'!$B$13)</f>
        <v>3270758.13401338</v>
      </c>
      <c r="AS33" s="33" t="n">
        <f aca="false">(1-'3. Assumptions'!$B$15)*SUMPRODUCT((('2. The tape'!$C$5:$C$13*'2. The tape'!$D$5:$D$13*(1-'2. The tape'!$J$5:$J$13)^($A33/4)*(1+$AR$5)^($A33/4)*((1-'3. Assumptions'!$B$13)/($AR$6)-'2. The tape'!$H$5:$H$13/12-'3. Assumptions'!$B$16)-'2. The tape'!$C$5:$C$13*'2. The tape'!$I$5:$I$13*(1+$AR$5)^($A33/4))&gt;0)*('2. The tape'!$C$5:$C$13*'2. The tape'!$D$5:$D$13*(1-'2. The tape'!$J$5:$J$13)^($A33/4)*(1+$AR$5)^($A33/4)*((1-'3. Assumptions'!$B$13)/($AR$6)-'2. The tape'!$H$5:$H$13/12-'3. Assumptions'!$B$16)-'2. The tape'!$C$5:$C$13*'2. The tape'!$I$5:$I$13*(1+$AR$5)^($A33/4)))</f>
        <v>133549199.699617</v>
      </c>
      <c r="AT33" s="33" t="n">
        <f aca="false">'2. The tape'!$C$17*(1+MIN(MAX($AT$5,'3. Assumptions'!$B$11),'3. Assumptions'!$B$10))^INT(($A33-1)/4)/4*(1-'3. Assumptions'!$B$13)</f>
        <v>3270758.13401338</v>
      </c>
      <c r="AU33" s="33" t="n">
        <f aca="false">(1-'3. Assumptions'!$B$15)*SUMPRODUCT((('2. The tape'!$C$5:$C$13*'2. The tape'!$D$5:$D$13*(1-'2. The tape'!$J$5:$J$13)^($A33/4)*(1+$AT$5)^($A33/4)*((1-'3. Assumptions'!$B$13)/($AT$6)-'2. The tape'!$H$5:$H$13/12-'3. Assumptions'!$B$16)-'2. The tape'!$C$5:$C$13*'2. The tape'!$I$5:$I$13*(1+$AT$5)^($A33/4))&gt;0)*('2. The tape'!$C$5:$C$13*'2. The tape'!$D$5:$D$13*(1-'2. The tape'!$J$5:$J$13)^($A33/4)*(1+$AT$5)^($A33/4)*((1-'3. Assumptions'!$B$13)/($AT$6)-'2. The tape'!$H$5:$H$13/12-'3. Assumptions'!$B$16)-'2. The tape'!$C$5:$C$13*'2. The tape'!$I$5:$I$13*(1+$AT$5)^($A33/4)))</f>
        <v>133549214.800697</v>
      </c>
      <c r="AV33" s="33" t="n">
        <f aca="false">'2. The tape'!$C$17*(1+MIN(MAX($AV$5,'3. Assumptions'!$B$11),'3. Assumptions'!$B$10))^INT(($A33-1)/4)/4*(1-'3. Assumptions'!$B$13)</f>
        <v>3270758.13401338</v>
      </c>
      <c r="AW33" s="33" t="n">
        <f aca="false">(1-'3. Assumptions'!$B$15)*SUMPRODUCT((('2. The tape'!$C$5:$C$13*'2. The tape'!$D$5:$D$13*(1-'2. The tape'!$J$5:$J$13)^($A33/4)*(1+$AV$5)^($A33/4)*((1-'3. Assumptions'!$B$13)/($AV$6)-'2. The tape'!$H$5:$H$13/12-'3. Assumptions'!$B$16)-'2. The tape'!$C$5:$C$13*'2. The tape'!$I$5:$I$13*(1+$AV$5)^($A33/4))&gt;0)*('2. The tape'!$C$5:$C$13*'2. The tape'!$D$5:$D$13*(1-'2. The tape'!$J$5:$J$13)^($A33/4)*(1+$AV$5)^($A33/4)*((1-'3. Assumptions'!$B$13)/($AV$6)-'2. The tape'!$H$5:$H$13/12-'3. Assumptions'!$B$16)-'2. The tape'!$C$5:$C$13*'2. The tape'!$I$5:$I$13*(1+$AV$5)^($A33/4)))</f>
        <v>133549214.800095</v>
      </c>
      <c r="AX33" s="33" t="n">
        <f aca="false">'2. The tape'!$C$17*(1+MIN(MAX($AX$5,'3. Assumptions'!$B$11),'3. Assumptions'!$B$10))^INT(($A33-1)/4)/4*(1-'3. Assumptions'!$B$13)</f>
        <v>3270758.13401338</v>
      </c>
      <c r="AY33" s="33" t="n">
        <f aca="false">(1-'3. Assumptions'!$B$15)*SUMPRODUCT((('2. The tape'!$C$5:$C$13*'2. The tape'!$D$5:$D$13*(1-'2. The tape'!$J$5:$J$13)^($A33/4)*(1+$AX$5)^($A33/4)*((1-'3. Assumptions'!$B$13)/($AX$6)-'2. The tape'!$H$5:$H$13/12-'3. Assumptions'!$B$16)-'2. The tape'!$C$5:$C$13*'2. The tape'!$I$5:$I$13*(1+$AX$5)^($A33/4))&gt;0)*('2. The tape'!$C$5:$C$13*'2. The tape'!$D$5:$D$13*(1-'2. The tape'!$J$5:$J$13)^($A33/4)*(1+$AX$5)^($A33/4)*((1-'3. Assumptions'!$B$13)/($AX$6)-'2. The tape'!$H$5:$H$13/12-'3. Assumptions'!$B$16)-'2. The tape'!$C$5:$C$13*'2. The tape'!$I$5:$I$13*(1+$AX$5)^($A33/4)))</f>
        <v>133549214.800095</v>
      </c>
      <c r="AZ33" s="33" t="n">
        <f aca="false">'2. The tape'!$C$17*(1+MIN(MAX($AZ$5,'3. Assumptions'!$B$11),'3. Assumptions'!$B$10))^INT(($A33-1)/4)/4*(1-'3. Assumptions'!$B$13)</f>
        <v>3270758.13401338</v>
      </c>
      <c r="BA33" s="33" t="n">
        <f aca="false">(1-'3. Assumptions'!$B$15)*SUMPRODUCT((('2. The tape'!$C$5:$C$13*'2. The tape'!$D$5:$D$13*(1-'2. The tape'!$J$5:$J$13)^($A33/4)*(1+$AZ$5)^($A33/4)*((1-'3. Assumptions'!$B$13)/($AZ$6)-'2. The tape'!$H$5:$H$13/12-'3. Assumptions'!$B$16)-'2. The tape'!$C$5:$C$13*'2. The tape'!$I$5:$I$13*(1+$AZ$5)^($A33/4))&gt;0)*('2. The tape'!$C$5:$C$13*'2. The tape'!$D$5:$D$13*(1-'2. The tape'!$J$5:$J$13)^($A33/4)*(1+$AZ$5)^($A33/4)*((1-'3. Assumptions'!$B$13)/($AZ$6)-'2. The tape'!$H$5:$H$13/12-'3. Assumptions'!$B$16)-'2. The tape'!$C$5:$C$13*'2. The tape'!$I$5:$I$13*(1+$AZ$5)^($A33/4)))</f>
        <v>133549214.800095</v>
      </c>
    </row>
    <row r="34" customFormat="false" ht="15" hidden="false" customHeight="false" outlineLevel="0" collapsed="false">
      <c r="A34" s="20" t="n">
        <v>19</v>
      </c>
      <c r="B34" s="33" t="n">
        <f aca="false">'2. The tape'!$C$17*(1+MIN(MAX($B$5,'3. Assumptions'!$B$11),'3. Assumptions'!$B$10))^INT(($A34-1)/4)/4*(1-'3. Assumptions'!$B$13)</f>
        <v>3270758.13401338</v>
      </c>
      <c r="C34" s="33" t="n">
        <f aca="false">(1-'3. Assumptions'!$B$15)*SUMPRODUCT((('2. The tape'!$C$5:$C$13*'2. The tape'!$D$5:$D$13*(1-'2. The tape'!$J$5:$J$13)^($A34/4)*(1+$B$5)^($A34/4)*((1-'3. Assumptions'!$B$13)/($B$6)-'2. The tape'!$H$5:$H$13/12-'3. Assumptions'!$B$16)-'2. The tape'!$C$5:$C$13*'2. The tape'!$I$5:$I$13*(1+$B$5)^($A34/4))&gt;0)*('2. The tape'!$C$5:$C$13*'2. The tape'!$D$5:$D$13*(1-'2. The tape'!$J$5:$J$13)^($A34/4)*(1+$B$5)^($A34/4)*((1-'3. Assumptions'!$B$13)/($B$6)-'2. The tape'!$H$5:$H$13/12-'3. Assumptions'!$B$16)-'2. The tape'!$C$5:$C$13*'2. The tape'!$I$5:$I$13*(1+$B$5)^($A34/4)))</f>
        <v>80169599.2102954</v>
      </c>
      <c r="D34" s="33" t="n">
        <f aca="false">'2. The tape'!$C$17*(1+MIN(MAX($D$5,'3. Assumptions'!$B$11),'3. Assumptions'!$B$10))^INT(($A34-1)/4)/4*(1-'3. Assumptions'!$B$13)</f>
        <v>3374378.11505891</v>
      </c>
      <c r="E34" s="33" t="n">
        <f aca="false">(1-'3. Assumptions'!$B$15)*SUMPRODUCT((('2. The tape'!$C$5:$C$13*'2. The tape'!$D$5:$D$13*(1-'2. The tape'!$J$5:$J$13)^($A34/4)*(1+$D$5)^($A34/4)*((1-'3. Assumptions'!$B$13)/($D$6)-'2. The tape'!$H$5:$H$13/12-'3. Assumptions'!$B$16)-'2. The tape'!$C$5:$C$13*'2. The tape'!$I$5:$I$13*(1+$D$5)^($A34/4))&gt;0)*('2. The tape'!$C$5:$C$13*'2. The tape'!$D$5:$D$13*(1-'2. The tape'!$J$5:$J$13)^($A34/4)*(1+$D$5)^($A34/4)*((1-'3. Assumptions'!$B$13)/($D$6)-'2. The tape'!$H$5:$H$13/12-'3. Assumptions'!$B$16)-'2. The tape'!$C$5:$C$13*'2. The tape'!$I$5:$I$13*(1+$D$5)^($A34/4)))</f>
        <v>85130389.2019384</v>
      </c>
      <c r="F34" s="33" t="n">
        <f aca="false">'2. The tape'!$C$17*(1+MIN(MAX($F$5,'3. Assumptions'!$B$11),'3. Assumptions'!$B$10))^INT(($A34-1)/4)/4*(1-'3. Assumptions'!$B$13)</f>
        <v>3119825.77709591</v>
      </c>
      <c r="G34" s="33" t="n">
        <f aca="false">(1-'3. Assumptions'!$B$15)*SUMPRODUCT((('2. The tape'!$C$5:$C$13*'2. The tape'!$D$5:$D$13*(1-'2. The tape'!$J$5:$J$13)^($A34/4)*(1+$F$5)^($A34/4)*((1-'3. Assumptions'!$B$13)/($F$6)-'2. The tape'!$H$5:$H$13/12-'3. Assumptions'!$B$16)-'2. The tape'!$C$5:$C$13*'2. The tape'!$I$5:$I$13*(1+$F$5)^($A34/4))&gt;0)*('2. The tape'!$C$5:$C$13*'2. The tape'!$D$5:$D$13*(1-'2. The tape'!$J$5:$J$13)^($A34/4)*(1+$F$5)^($A34/4)*((1-'3. Assumptions'!$B$13)/($F$6)-'2. The tape'!$H$5:$H$13/12-'3. Assumptions'!$B$16)-'2. The tape'!$C$5:$C$13*'2. The tape'!$I$5:$I$13*(1+$F$5)^($A34/4)))</f>
        <v>75795685.1120427</v>
      </c>
      <c r="H34" s="33" t="n">
        <f aca="false">'2. The tape'!$C$17*(1+MIN(MAX($H$5,'3. Assumptions'!$B$11),'3. Assumptions'!$B$10))^INT(($A34-1)/4)/4*(1-'3. Assumptions'!$B$13)</f>
        <v>3374378.11505891</v>
      </c>
      <c r="I34" s="33" t="n">
        <f aca="false">(1-'3. Assumptions'!$B$15)*SUMPRODUCT((('2. The tape'!$C$5:$C$13*'2. The tape'!$D$5:$D$13*(1-'2. The tape'!$J$5:$J$13)^($A34/4)*(1+$H$5)^($A34/4)*((1-'3. Assumptions'!$B$13)/($H$6)-'2. The tape'!$H$5:$H$13/12-'3. Assumptions'!$B$16)-'2. The tape'!$C$5:$C$13*'2. The tape'!$I$5:$I$13*(1+$H$5)^($A34/4))&gt;0)*('2. The tape'!$C$5:$C$13*'2. The tape'!$D$5:$D$13*(1-'2. The tape'!$J$5:$J$13)^($A34/4)*(1+$H$5)^($A34/4)*((1-'3. Assumptions'!$B$13)/($H$6)-'2. The tape'!$H$5:$H$13/12-'3. Assumptions'!$B$16)-'2. The tape'!$C$5:$C$13*'2. The tape'!$I$5:$I$13*(1+$H$5)^($A34/4)))</f>
        <v>85130389.2019384</v>
      </c>
      <c r="J34" s="33" t="n">
        <f aca="false">'2. The tape'!$C$17*(1+MIN(MAX($J$5,'3. Assumptions'!$B$11),'3. Assumptions'!$B$10))^INT(($A34-1)/4)/4*(1-'3. Assumptions'!$B$13)</f>
        <v>3270758.13401338</v>
      </c>
      <c r="K34" s="33" t="n">
        <f aca="false">(1-'3. Assumptions'!$B$15)*SUMPRODUCT((('2. The tape'!$C$5:$C$13*'2. The tape'!$D$5:$D$13*(1-'2. The tape'!$J$5:$J$13)^($A34/4)*(1+$J$5)^($A34/4)*((1-'3. Assumptions'!$B$13)/($J$6)-'2. The tape'!$H$5:$H$13/12-'3. Assumptions'!$B$16)-'2. The tape'!$C$5:$C$13*'2. The tape'!$I$5:$I$13*(1+$J$5)^($A34/4))&gt;0)*('2. The tape'!$C$5:$C$13*'2. The tape'!$D$5:$D$13*(1-'2. The tape'!$J$5:$J$13)^($A34/4)*(1+$J$5)^($A34/4)*((1-'3. Assumptions'!$B$13)/($J$6)-'2. The tape'!$H$5:$H$13/12-'3. Assumptions'!$B$16)-'2. The tape'!$C$5:$C$13*'2. The tape'!$I$5:$I$13*(1+$J$5)^($A34/4)))</f>
        <v>66082020.0074874</v>
      </c>
      <c r="L34" s="33" t="n">
        <f aca="false">'2. The tape'!$C$17*(1+MIN(MAX($L$5,'3. Assumptions'!$B$11),'3. Assumptions'!$B$10))^INT(($A34-1)/4)/4*(1-'3. Assumptions'!$B$13)</f>
        <v>3374378.11505891</v>
      </c>
      <c r="M34" s="33" t="n">
        <f aca="false">(1-'3. Assumptions'!$B$15)*SUMPRODUCT((('2. The tape'!$C$5:$C$13*'2. The tape'!$D$5:$D$13*(1-'2. The tape'!$J$5:$J$13)^($A34/4)*(1+$L$5)^($A34/4)*((1-'3. Assumptions'!$B$13)/($L$6)-'2. The tape'!$H$5:$H$13/12-'3. Assumptions'!$B$16)-'2. The tape'!$C$5:$C$13*'2. The tape'!$I$5:$I$13*(1+$L$5)^($A34/4))&gt;0)*('2. The tape'!$C$5:$C$13*'2. The tape'!$D$5:$D$13*(1-'2. The tape'!$J$5:$J$13)^($A34/4)*(1+$L$5)^($A34/4)*((1-'3. Assumptions'!$B$13)/($L$6)-'2. The tape'!$H$5:$H$13/12-'3. Assumptions'!$B$16)-'2. The tape'!$C$5:$C$13*'2. The tape'!$I$5:$I$13*(1+$L$5)^($A34/4)))</f>
        <v>251390511.060114</v>
      </c>
      <c r="N34" s="33" t="n">
        <f aca="false">'2. The tape'!$C$17*(1+MIN(MAX($N$5,'3. Assumptions'!$B$11),'3. Assumptions'!$B$10))^INT(($A34-1)/4)/4*(1-'3. Assumptions'!$B$13)</f>
        <v>2998091.25</v>
      </c>
      <c r="O34" s="33" t="n">
        <f aca="false">(1-'3. Assumptions'!$B$15)*SUMPRODUCT((('2. The tape'!$C$5:$C$13*'2. The tape'!$D$5:$D$13*(1-'2. The tape'!$J$5:$J$13)^($A34/4)*(1+$N$5)^($A34/4)*((1-'3. Assumptions'!$B$13)/($N$6)-'2. The tape'!$H$5:$H$13/12-'3. Assumptions'!$B$16)-'2. The tape'!$C$5:$C$13*'2. The tape'!$I$5:$I$13*(1+$N$5)^($A34/4))&gt;0)*('2. The tape'!$C$5:$C$13*'2. The tape'!$D$5:$D$13*(1-'2. The tape'!$J$5:$J$13)^($A34/4)*(1+$N$5)^($A34/4)*((1-'3. Assumptions'!$B$13)/($N$6)-'2. The tape'!$H$5:$H$13/12-'3. Assumptions'!$B$16)-'2. The tape'!$C$5:$C$13*'2. The tape'!$I$5:$I$13*(1+$N$5)^($A34/4)))</f>
        <v>62558120.9161819</v>
      </c>
      <c r="P34" s="33" t="n">
        <f aca="false">'2. The tape'!$C$17*(1+MIN(MAX($P$5,'3. Assumptions'!$B$11),'3. Assumptions'!$B$10))^INT(($A34-1)/4)/4*(1-'3. Assumptions'!$B$13)</f>
        <v>2998091.25</v>
      </c>
      <c r="Q34" s="33" t="n">
        <f aca="false">(1-'3. Assumptions'!$B$15)*SUMPRODUCT((('2. The tape'!$C$5:$C$13*'2. The tape'!$D$5:$D$13*(1-'2. The tape'!$J$5:$J$13)^($A34/4)*(1+$P$5)^($A34/4)*((1-'3. Assumptions'!$B$13)/($P$6)-'2. The tape'!$H$5:$H$13/12-'3. Assumptions'!$B$16)-'2. The tape'!$C$5:$C$13*'2. The tape'!$I$5:$I$13*(1+$P$5)^($A34/4))&gt;0)*('2. The tape'!$C$5:$C$13*'2. The tape'!$D$5:$D$13*(1-'2. The tape'!$J$5:$J$13)^($A34/4)*(1+$P$5)^($A34/4)*((1-'3. Assumptions'!$B$13)/($P$6)-'2. The tape'!$H$5:$H$13/12-'3. Assumptions'!$B$16)-'2. The tape'!$C$5:$C$13*'2. The tape'!$I$5:$I$13*(1+$P$5)^($A34/4)))</f>
        <v>65681311.6380913</v>
      </c>
      <c r="R34" s="33" t="n">
        <f aca="false">'2. The tape'!$C$17*(1+MIN(MAX($R$5,'3. Assumptions'!$B$11),'3. Assumptions'!$B$10))^INT(($A34-1)/4)/4*(1-'3. Assumptions'!$B$13)</f>
        <v>2998091.25</v>
      </c>
      <c r="S34" s="33" t="n">
        <f aca="false">(1-'3. Assumptions'!$B$15)*SUMPRODUCT((('2. The tape'!$C$5:$C$13*'2. The tape'!$D$5:$D$13*(1-'2. The tape'!$J$5:$J$13)^($A34/4)*(1+$R$5)^($A34/4)*((1-'3. Assumptions'!$B$13)/($R$6)-'2. The tape'!$H$5:$H$13/12-'3. Assumptions'!$B$16)-'2. The tape'!$C$5:$C$13*'2. The tape'!$I$5:$I$13*(1+$R$5)^($A34/4))&gt;0)*('2. The tape'!$C$5:$C$13*'2. The tape'!$D$5:$D$13*(1-'2. The tape'!$J$5:$J$13)^($A34/4)*(1+$R$5)^($A34/4)*((1-'3. Assumptions'!$B$13)/($R$6)-'2. The tape'!$H$5:$H$13/12-'3. Assumptions'!$B$16)-'2. The tape'!$C$5:$C$13*'2. The tape'!$I$5:$I$13*(1+$R$5)^($A34/4)))</f>
        <v>63776352.5711776</v>
      </c>
      <c r="T34" s="33" t="n">
        <f aca="false">'2. The tape'!$C$17*(1+MIN(MAX($T$5,'3. Assumptions'!$B$11),'3. Assumptions'!$B$10))^INT(($A34-1)/4)/4*(1-'3. Assumptions'!$B$13)</f>
        <v>2998091.25</v>
      </c>
      <c r="U34" s="33" t="n">
        <f aca="false">(1-'3. Assumptions'!$B$15)*SUMPRODUCT((('2. The tape'!$C$5:$C$13*'2. The tape'!$D$5:$D$13*(1-'2. The tape'!$J$5:$J$13)^($A34/4)*(1+$T$5)^($A34/4)*((1-'3. Assumptions'!$B$13)/($T$6)-'2. The tape'!$H$5:$H$13/12-'3. Assumptions'!$B$16)-'2. The tape'!$C$5:$C$13*'2. The tape'!$I$5:$I$13*(1+$T$5)^($A34/4))&gt;0)*('2. The tape'!$C$5:$C$13*'2. The tape'!$D$5:$D$13*(1-'2. The tape'!$J$5:$J$13)^($A34/4)*(1+$T$5)^($A34/4)*((1-'3. Assumptions'!$B$13)/($T$6)-'2. The tape'!$H$5:$H$13/12-'3. Assumptions'!$B$16)-'2. The tape'!$C$5:$C$13*'2. The tape'!$I$5:$I$13*(1+$T$5)^($A34/4)))</f>
        <v>63725297.2018703</v>
      </c>
      <c r="V34" s="33" t="n">
        <f aca="false">'2. The tape'!$C$17*(1+MIN(MAX($V$5,'3. Assumptions'!$B$11),'3. Assumptions'!$B$10))^INT(($A34-1)/4)/4*(1-'3. Assumptions'!$B$13)</f>
        <v>2998091.25</v>
      </c>
      <c r="W34" s="33" t="n">
        <f aca="false">(1-'3. Assumptions'!$B$15)*SUMPRODUCT((('2. The tape'!$C$5:$C$13*'2. The tape'!$D$5:$D$13*(1-'2. The tape'!$J$5:$J$13)^($A34/4)*(1+$V$5)^($A34/4)*((1-'3. Assumptions'!$B$13)/($V$6)-'2. The tape'!$H$5:$H$13/12-'3. Assumptions'!$B$16)-'2. The tape'!$C$5:$C$13*'2. The tape'!$I$5:$I$13*(1+$V$5)^($A34/4))&gt;0)*('2. The tape'!$C$5:$C$13*'2. The tape'!$D$5:$D$13*(1-'2. The tape'!$J$5:$J$13)^($A34/4)*(1+$V$5)^($A34/4)*((1-'3. Assumptions'!$B$13)/($V$6)-'2. The tape'!$H$5:$H$13/12-'3. Assumptions'!$B$16)-'2. The tape'!$C$5:$C$13*'2. The tape'!$I$5:$I$13*(1+$V$5)^($A34/4)))</f>
        <v>63727347.9351693</v>
      </c>
      <c r="X34" s="33" t="n">
        <f aca="false">'2. The tape'!$C$17*(1+MIN(MAX($X$5,'3. Assumptions'!$B$11),'3. Assumptions'!$B$10))^INT(($A34-1)/4)/4*(1-'3. Assumptions'!$B$13)</f>
        <v>2998091.25</v>
      </c>
      <c r="Y34" s="33" t="n">
        <f aca="false">(1-'3. Assumptions'!$B$15)*SUMPRODUCT((('2. The tape'!$C$5:$C$13*'2. The tape'!$D$5:$D$13*(1-'2. The tape'!$J$5:$J$13)^($A34/4)*(1+$X$5)^($A34/4)*((1-'3. Assumptions'!$B$13)/($X$6)-'2. The tape'!$H$5:$H$13/12-'3. Assumptions'!$B$16)-'2. The tape'!$C$5:$C$13*'2. The tape'!$I$5:$I$13*(1+$X$5)^($A34/4))&gt;0)*('2. The tape'!$C$5:$C$13*'2. The tape'!$D$5:$D$13*(1-'2. The tape'!$J$5:$J$13)^($A34/4)*(1+$X$5)^($A34/4)*((1-'3. Assumptions'!$B$13)/($X$6)-'2. The tape'!$H$5:$H$13/12-'3. Assumptions'!$B$16)-'2. The tape'!$C$5:$C$13*'2. The tape'!$I$5:$I$13*(1+$X$5)^($A34/4)))</f>
        <v>63727345.7786683</v>
      </c>
      <c r="Z34" s="33" t="n">
        <f aca="false">'2. The tape'!$C$17*(1+MIN(MAX($Z$5,'3. Assumptions'!$B$11),'3. Assumptions'!$B$10))^INT(($A34-1)/4)/4*(1-'3. Assumptions'!$B$13)</f>
        <v>2998091.25</v>
      </c>
      <c r="AA34" s="33" t="n">
        <f aca="false">(1-'3. Assumptions'!$B$15)*SUMPRODUCT((('2. The tape'!$C$5:$C$13*'2. The tape'!$D$5:$D$13*(1-'2. The tape'!$J$5:$J$13)^($A34/4)*(1+$Z$5)^($A34/4)*((1-'3. Assumptions'!$B$13)/($Z$6)-'2. The tape'!$H$5:$H$13/12-'3. Assumptions'!$B$16)-'2. The tape'!$C$5:$C$13*'2. The tape'!$I$5:$I$13*(1+$Z$5)^($A34/4))&gt;0)*('2. The tape'!$C$5:$C$13*'2. The tape'!$D$5:$D$13*(1-'2. The tape'!$J$5:$J$13)^($A34/4)*(1+$Z$5)^($A34/4)*((1-'3. Assumptions'!$B$13)/($Z$6)-'2. The tape'!$H$5:$H$13/12-'3. Assumptions'!$B$16)-'2. The tape'!$C$5:$C$13*'2. The tape'!$I$5:$I$13*(1+$Z$5)^($A34/4)))</f>
        <v>63727345.7785734</v>
      </c>
      <c r="AB34" s="33" t="n">
        <f aca="false">'2. The tape'!$C$17*(1+MIN(MAX($AB$5,'3. Assumptions'!$B$11),'3. Assumptions'!$B$10))^INT(($A34-1)/4)/4*(1-'3. Assumptions'!$B$13)</f>
        <v>2998091.25</v>
      </c>
      <c r="AC34" s="33" t="n">
        <f aca="false">(1-'3. Assumptions'!$B$15)*SUMPRODUCT((('2. The tape'!$C$5:$C$13*'2. The tape'!$D$5:$D$13*(1-'2. The tape'!$J$5:$J$13)^($A34/4)*(1+$AB$5)^($A34/4)*((1-'3. Assumptions'!$B$13)/($AB$6)-'2. The tape'!$H$5:$H$13/12-'3. Assumptions'!$B$16)-'2. The tape'!$C$5:$C$13*'2. The tape'!$I$5:$I$13*(1+$AB$5)^($A34/4))&gt;0)*('2. The tape'!$C$5:$C$13*'2. The tape'!$D$5:$D$13*(1-'2. The tape'!$J$5:$J$13)^($A34/4)*(1+$AB$5)^($A34/4)*((1-'3. Assumptions'!$B$13)/($AB$6)-'2. The tape'!$H$5:$H$13/12-'3. Assumptions'!$B$16)-'2. The tape'!$C$5:$C$13*'2. The tape'!$I$5:$I$13*(1+$AB$5)^($A34/4)))</f>
        <v>63727345.7785734</v>
      </c>
      <c r="AD34" s="33" t="n">
        <f aca="false">'2. The tape'!$C$17*(1+MIN(MAX($AD$5,'3. Assumptions'!$B$11),'3. Assumptions'!$B$10))^INT(($A34-1)/4)/4*(1-'3. Assumptions'!$B$13)</f>
        <v>2998091.25</v>
      </c>
      <c r="AE34" s="33" t="n">
        <f aca="false">(1-'3. Assumptions'!$B$15)*SUMPRODUCT((('2. The tape'!$C$5:$C$13*'2. The tape'!$D$5:$D$13*(1-'2. The tape'!$J$5:$J$13)^($A34/4)*(1+$AD$5)^($A34/4)*((1-'3. Assumptions'!$B$13)/($AD$6)-'2. The tape'!$H$5:$H$13/12-'3. Assumptions'!$B$16)-'2. The tape'!$C$5:$C$13*'2. The tape'!$I$5:$I$13*(1+$AD$5)^($A34/4))&gt;0)*('2. The tape'!$C$5:$C$13*'2. The tape'!$D$5:$D$13*(1-'2. The tape'!$J$5:$J$13)^($A34/4)*(1+$AD$5)^($A34/4)*((1-'3. Assumptions'!$B$13)/($AD$6)-'2. The tape'!$H$5:$H$13/12-'3. Assumptions'!$B$16)-'2. The tape'!$C$5:$C$13*'2. The tape'!$I$5:$I$13*(1+$AD$5)^($A34/4)))</f>
        <v>63727345.7785734</v>
      </c>
      <c r="AF34" s="33" t="n">
        <f aca="false">'2. The tape'!$C$17*(1+MIN(MAX($AF$5,'3. Assumptions'!$B$11),'3. Assumptions'!$B$10))^INT(($A34-1)/4)/4*(1-'3. Assumptions'!$B$13)</f>
        <v>2998091.25</v>
      </c>
      <c r="AG34" s="33" t="n">
        <f aca="false">(1-'3. Assumptions'!$B$15)*SUMPRODUCT((('2. The tape'!$C$5:$C$13*'2. The tape'!$D$5:$D$13*(1-'2. The tape'!$J$5:$J$13)^($A34/4)*(1+$AF$5)^($A34/4)*((1-'3. Assumptions'!$B$13)/($AF$6)-'2. The tape'!$H$5:$H$13/12-'3. Assumptions'!$B$16)-'2. The tape'!$C$5:$C$13*'2. The tape'!$I$5:$I$13*(1+$AF$5)^($A34/4))&gt;0)*('2. The tape'!$C$5:$C$13*'2. The tape'!$D$5:$D$13*(1-'2. The tape'!$J$5:$J$13)^($A34/4)*(1+$AF$5)^($A34/4)*((1-'3. Assumptions'!$B$13)/($AF$6)-'2. The tape'!$H$5:$H$13/12-'3. Assumptions'!$B$16)-'2. The tape'!$C$5:$C$13*'2. The tape'!$I$5:$I$13*(1+$AF$5)^($A34/4)))</f>
        <v>63727345.7785734</v>
      </c>
      <c r="AH34" s="33" t="n">
        <f aca="false">'2. The tape'!$C$17*(1+MIN(MAX($AH$5,'3. Assumptions'!$B$11),'3. Assumptions'!$B$10))^INT(($A34-1)/4)/4*(1-'3. Assumptions'!$B$13)</f>
        <v>3270758.13401338</v>
      </c>
      <c r="AI34" s="33" t="n">
        <f aca="false">(1-'3. Assumptions'!$B$15)*SUMPRODUCT((('2. The tape'!$C$5:$C$13*'2. The tape'!$D$5:$D$13*(1-'2. The tape'!$J$5:$J$13)^($A34/4)*(1+$AH$5)^($A34/4)*((1-'3. Assumptions'!$B$13)/($AH$6)-'2. The tape'!$H$5:$H$13/12-'3. Assumptions'!$B$16)-'2. The tape'!$C$5:$C$13*'2. The tape'!$I$5:$I$13*(1+$AH$5)^($A34/4))&gt;0)*('2. The tape'!$C$5:$C$13*'2. The tape'!$D$5:$D$13*(1-'2. The tape'!$J$5:$J$13)^($A34/4)*(1+$AH$5)^($A34/4)*((1-'3. Assumptions'!$B$13)/($AH$6)-'2. The tape'!$H$5:$H$13/12-'3. Assumptions'!$B$16)-'2. The tape'!$C$5:$C$13*'2. The tape'!$I$5:$I$13*(1+$AH$5)^($A34/4)))</f>
        <v>157087781.657627</v>
      </c>
      <c r="AJ34" s="33" t="n">
        <f aca="false">'2. The tape'!$C$17*(1+MIN(MAX($AJ$5,'3. Assumptions'!$B$11),'3. Assumptions'!$B$10))^INT(($A34-1)/4)/4*(1-'3. Assumptions'!$B$13)</f>
        <v>3270758.13401338</v>
      </c>
      <c r="AK34" s="33" t="n">
        <f aca="false">(1-'3. Assumptions'!$B$15)*SUMPRODUCT((('2. The tape'!$C$5:$C$13*'2. The tape'!$D$5:$D$13*(1-'2. The tape'!$J$5:$J$13)^($A34/4)*(1+$AJ$5)^($A34/4)*((1-'3. Assumptions'!$B$13)/($AJ$6)-'2. The tape'!$H$5:$H$13/12-'3. Assumptions'!$B$16)-'2. The tape'!$C$5:$C$13*'2. The tape'!$I$5:$I$13*(1+$AJ$5)^($A34/4))&gt;0)*('2. The tape'!$C$5:$C$13*'2. The tape'!$D$5:$D$13*(1-'2. The tape'!$J$5:$J$13)^($A34/4)*(1+$AJ$5)^($A34/4)*((1-'3. Assumptions'!$B$13)/($AJ$6)-'2. The tape'!$H$5:$H$13/12-'3. Assumptions'!$B$16)-'2. The tape'!$C$5:$C$13*'2. The tape'!$I$5:$I$13*(1+$AJ$5)^($A34/4)))</f>
        <v>113979789.297034</v>
      </c>
      <c r="AL34" s="33" t="n">
        <f aca="false">'2. The tape'!$C$17*(1+MIN(MAX($AL$5,'3. Assumptions'!$B$11),'3. Assumptions'!$B$10))^INT(($A34-1)/4)/4*(1-'3. Assumptions'!$B$13)</f>
        <v>3270758.13401338</v>
      </c>
      <c r="AM34" s="33" t="n">
        <f aca="false">(1-'3. Assumptions'!$B$15)*SUMPRODUCT((('2. The tape'!$C$5:$C$13*'2. The tape'!$D$5:$D$13*(1-'2. The tape'!$J$5:$J$13)^($A34/4)*(1+$AL$5)^($A34/4)*((1-'3. Assumptions'!$B$13)/($AL$6)-'2. The tape'!$H$5:$H$13/12-'3. Assumptions'!$B$16)-'2. The tape'!$C$5:$C$13*'2. The tape'!$I$5:$I$13*(1+$AL$5)^($A34/4))&gt;0)*('2. The tape'!$C$5:$C$13*'2. The tape'!$D$5:$D$13*(1-'2. The tape'!$J$5:$J$13)^($A34/4)*(1+$AL$5)^($A34/4)*((1-'3. Assumptions'!$B$13)/($AL$6)-'2. The tape'!$H$5:$H$13/12-'3. Assumptions'!$B$16)-'2. The tape'!$C$5:$C$13*'2. The tape'!$I$5:$I$13*(1+$AL$5)^($A34/4)))</f>
        <v>130698941.774618</v>
      </c>
      <c r="AN34" s="33" t="n">
        <f aca="false">'2. The tape'!$C$17*(1+MIN(MAX($AN$5,'3. Assumptions'!$B$11),'3. Assumptions'!$B$10))^INT(($A34-1)/4)/4*(1-'3. Assumptions'!$B$13)</f>
        <v>3270758.13401338</v>
      </c>
      <c r="AO34" s="33" t="n">
        <f aca="false">(1-'3. Assumptions'!$B$15)*SUMPRODUCT((('2. The tape'!$C$5:$C$13*'2. The tape'!$D$5:$D$13*(1-'2. The tape'!$J$5:$J$13)^($A34/4)*(1+$AN$5)^($A34/4)*((1-'3. Assumptions'!$B$13)/($AN$6)-'2. The tape'!$H$5:$H$13/12-'3. Assumptions'!$B$16)-'2. The tape'!$C$5:$C$13*'2. The tape'!$I$5:$I$13*(1+$AN$5)^($A34/4))&gt;0)*('2. The tape'!$C$5:$C$13*'2. The tape'!$D$5:$D$13*(1-'2. The tape'!$J$5:$J$13)^($A34/4)*(1+$AN$5)^($A34/4)*((1-'3. Assumptions'!$B$13)/($AN$6)-'2. The tape'!$H$5:$H$13/12-'3. Assumptions'!$B$16)-'2. The tape'!$C$5:$C$13*'2. The tape'!$I$5:$I$13*(1+$AN$5)^($A34/4)))</f>
        <v>133829280.549539</v>
      </c>
      <c r="AP34" s="33" t="n">
        <f aca="false">'2. The tape'!$C$17*(1+MIN(MAX($AP$5,'3. Assumptions'!$B$11),'3. Assumptions'!$B$10))^INT(($A34-1)/4)/4*(1-'3. Assumptions'!$B$13)</f>
        <v>3270758.13401338</v>
      </c>
      <c r="AQ34" s="33" t="n">
        <f aca="false">(1-'3. Assumptions'!$B$15)*SUMPRODUCT((('2. The tape'!$C$5:$C$13*'2. The tape'!$D$5:$D$13*(1-'2. The tape'!$J$5:$J$13)^($A34/4)*(1+$AP$5)^($A34/4)*((1-'3. Assumptions'!$B$13)/($AP$6)-'2. The tape'!$H$5:$H$13/12-'3. Assumptions'!$B$16)-'2. The tape'!$C$5:$C$13*'2. The tape'!$I$5:$I$13*(1+$AP$5)^($A34/4))&gt;0)*('2. The tape'!$C$5:$C$13*'2. The tape'!$D$5:$D$13*(1-'2. The tape'!$J$5:$J$13)^($A34/4)*(1+$AP$5)^($A34/4)*((1-'3. Assumptions'!$B$13)/($AP$6)-'2. The tape'!$H$5:$H$13/12-'3. Assumptions'!$B$16)-'2. The tape'!$C$5:$C$13*'2. The tape'!$I$5:$I$13*(1+$AP$5)^($A34/4)))</f>
        <v>133442846.651347</v>
      </c>
      <c r="AR34" s="33" t="n">
        <f aca="false">'2. The tape'!$C$17*(1+MIN(MAX($AR$5,'3. Assumptions'!$B$11),'3. Assumptions'!$B$10))^INT(($A34-1)/4)/4*(1-'3. Assumptions'!$B$13)</f>
        <v>3270758.13401338</v>
      </c>
      <c r="AS34" s="33" t="n">
        <f aca="false">(1-'3. Assumptions'!$B$15)*SUMPRODUCT((('2. The tape'!$C$5:$C$13*'2. The tape'!$D$5:$D$13*(1-'2. The tape'!$J$5:$J$13)^($A34/4)*(1+$AR$5)^($A34/4)*((1-'3. Assumptions'!$B$13)/($AR$6)-'2. The tape'!$H$5:$H$13/12-'3. Assumptions'!$B$16)-'2. The tape'!$C$5:$C$13*'2. The tape'!$I$5:$I$13*(1+$AR$5)^($A34/4))&gt;0)*('2. The tape'!$C$5:$C$13*'2. The tape'!$D$5:$D$13*(1-'2. The tape'!$J$5:$J$13)^($A34/4)*(1+$AR$5)^($A34/4)*((1-'3. Assumptions'!$B$13)/($AR$6)-'2. The tape'!$H$5:$H$13/12-'3. Assumptions'!$B$16)-'2. The tape'!$C$5:$C$13*'2. The tape'!$I$5:$I$13*(1+$AR$5)^($A34/4)))</f>
        <v>133449330.458651</v>
      </c>
      <c r="AT34" s="33" t="n">
        <f aca="false">'2. The tape'!$C$17*(1+MIN(MAX($AT$5,'3. Assumptions'!$B$11),'3. Assumptions'!$B$10))^INT(($A34-1)/4)/4*(1-'3. Assumptions'!$B$13)</f>
        <v>3270758.13401338</v>
      </c>
      <c r="AU34" s="33" t="n">
        <f aca="false">(1-'3. Assumptions'!$B$15)*SUMPRODUCT((('2. The tape'!$C$5:$C$13*'2. The tape'!$D$5:$D$13*(1-'2. The tape'!$J$5:$J$13)^($A34/4)*(1+$AT$5)^($A34/4)*((1-'3. Assumptions'!$B$13)/($AT$6)-'2. The tape'!$H$5:$H$13/12-'3. Assumptions'!$B$16)-'2. The tape'!$C$5:$C$13*'2. The tape'!$I$5:$I$13*(1+$AT$5)^($A34/4))&gt;0)*('2. The tape'!$C$5:$C$13*'2. The tape'!$D$5:$D$13*(1-'2. The tape'!$J$5:$J$13)^($A34/4)*(1+$AT$5)^($A34/4)*((1-'3. Assumptions'!$B$13)/($AT$6)-'2. The tape'!$H$5:$H$13/12-'3. Assumptions'!$B$16)-'2. The tape'!$C$5:$C$13*'2. The tape'!$I$5:$I$13*(1+$AT$5)^($A34/4)))</f>
        <v>133449345.557807</v>
      </c>
      <c r="AV34" s="33" t="n">
        <f aca="false">'2. The tape'!$C$17*(1+MIN(MAX($AV$5,'3. Assumptions'!$B$11),'3. Assumptions'!$B$10))^INT(($A34-1)/4)/4*(1-'3. Assumptions'!$B$13)</f>
        <v>3270758.13401338</v>
      </c>
      <c r="AW34" s="33" t="n">
        <f aca="false">(1-'3. Assumptions'!$B$15)*SUMPRODUCT((('2. The tape'!$C$5:$C$13*'2. The tape'!$D$5:$D$13*(1-'2. The tape'!$J$5:$J$13)^($A34/4)*(1+$AV$5)^($A34/4)*((1-'3. Assumptions'!$B$13)/($AV$6)-'2. The tape'!$H$5:$H$13/12-'3. Assumptions'!$B$16)-'2. The tape'!$C$5:$C$13*'2. The tape'!$I$5:$I$13*(1+$AV$5)^($A34/4))&gt;0)*('2. The tape'!$C$5:$C$13*'2. The tape'!$D$5:$D$13*(1-'2. The tape'!$J$5:$J$13)^($A34/4)*(1+$AV$5)^($A34/4)*((1-'3. Assumptions'!$B$13)/($AV$6)-'2. The tape'!$H$5:$H$13/12-'3. Assumptions'!$B$16)-'2. The tape'!$C$5:$C$13*'2. The tape'!$I$5:$I$13*(1+$AV$5)^($A34/4)))</f>
        <v>133449345.557206</v>
      </c>
      <c r="AX34" s="33" t="n">
        <f aca="false">'2. The tape'!$C$17*(1+MIN(MAX($AX$5,'3. Assumptions'!$B$11),'3. Assumptions'!$B$10))^INT(($A34-1)/4)/4*(1-'3. Assumptions'!$B$13)</f>
        <v>3270758.13401338</v>
      </c>
      <c r="AY34" s="33" t="n">
        <f aca="false">(1-'3. Assumptions'!$B$15)*SUMPRODUCT((('2. The tape'!$C$5:$C$13*'2. The tape'!$D$5:$D$13*(1-'2. The tape'!$J$5:$J$13)^($A34/4)*(1+$AX$5)^($A34/4)*((1-'3. Assumptions'!$B$13)/($AX$6)-'2. The tape'!$H$5:$H$13/12-'3. Assumptions'!$B$16)-'2. The tape'!$C$5:$C$13*'2. The tape'!$I$5:$I$13*(1+$AX$5)^($A34/4))&gt;0)*('2. The tape'!$C$5:$C$13*'2. The tape'!$D$5:$D$13*(1-'2. The tape'!$J$5:$J$13)^($A34/4)*(1+$AX$5)^($A34/4)*((1-'3. Assumptions'!$B$13)/($AX$6)-'2. The tape'!$H$5:$H$13/12-'3. Assumptions'!$B$16)-'2. The tape'!$C$5:$C$13*'2. The tape'!$I$5:$I$13*(1+$AX$5)^($A34/4)))</f>
        <v>133449345.557206</v>
      </c>
      <c r="AZ34" s="33" t="n">
        <f aca="false">'2. The tape'!$C$17*(1+MIN(MAX($AZ$5,'3. Assumptions'!$B$11),'3. Assumptions'!$B$10))^INT(($A34-1)/4)/4*(1-'3. Assumptions'!$B$13)</f>
        <v>3270758.13401338</v>
      </c>
      <c r="BA34" s="33" t="n">
        <f aca="false">(1-'3. Assumptions'!$B$15)*SUMPRODUCT((('2. The tape'!$C$5:$C$13*'2. The tape'!$D$5:$D$13*(1-'2. The tape'!$J$5:$J$13)^($A34/4)*(1+$AZ$5)^($A34/4)*((1-'3. Assumptions'!$B$13)/($AZ$6)-'2. The tape'!$H$5:$H$13/12-'3. Assumptions'!$B$16)-'2. The tape'!$C$5:$C$13*'2. The tape'!$I$5:$I$13*(1+$AZ$5)^($A34/4))&gt;0)*('2. The tape'!$C$5:$C$13*'2. The tape'!$D$5:$D$13*(1-'2. The tape'!$J$5:$J$13)^($A34/4)*(1+$AZ$5)^($A34/4)*((1-'3. Assumptions'!$B$13)/($AZ$6)-'2. The tape'!$H$5:$H$13/12-'3. Assumptions'!$B$16)-'2. The tape'!$C$5:$C$13*'2. The tape'!$I$5:$I$13*(1+$AZ$5)^($A34/4)))</f>
        <v>133449345.557206</v>
      </c>
    </row>
    <row r="35" customFormat="false" ht="15" hidden="false" customHeight="false" outlineLevel="0" collapsed="false">
      <c r="A35" s="20" t="n">
        <v>20</v>
      </c>
      <c r="B35" s="33" t="n">
        <f aca="false">'2. The tape'!$C$17*(1+MIN(MAX($B$5,'3. Assumptions'!$B$11),'3. Assumptions'!$B$10))^INT(($A35-1)/4)/4*(1-'3. Assumptions'!$B$13)</f>
        <v>3270758.13401338</v>
      </c>
      <c r="C35" s="33" t="n">
        <f aca="false">(1-'3. Assumptions'!$B$15)*SUMPRODUCT((('2. The tape'!$C$5:$C$13*'2. The tape'!$D$5:$D$13*(1-'2. The tape'!$J$5:$J$13)^($A35/4)*(1+$B$5)^($A35/4)*((1-'3. Assumptions'!$B$13)/($B$6)-'2. The tape'!$H$5:$H$13/12-'3. Assumptions'!$B$16)-'2. The tape'!$C$5:$C$13*'2. The tape'!$I$5:$I$13*(1+$B$5)^($A35/4))&gt;0)*('2. The tape'!$C$5:$C$13*'2. The tape'!$D$5:$D$13*(1-'2. The tape'!$J$5:$J$13)^($A35/4)*(1+$B$5)^($A35/4)*((1-'3. Assumptions'!$B$13)/($B$6)-'2. The tape'!$H$5:$H$13/12-'3. Assumptions'!$B$16)-'2. The tape'!$C$5:$C$13*'2. The tape'!$I$5:$I$13*(1+$B$5)^($A35/4)))</f>
        <v>80076304.4749517</v>
      </c>
      <c r="D35" s="33" t="n">
        <f aca="false">'2. The tape'!$C$17*(1+MIN(MAX($D$5,'3. Assumptions'!$B$11),'3. Assumptions'!$B$10))^INT(($A35-1)/4)/4*(1-'3. Assumptions'!$B$13)</f>
        <v>3374378.11505891</v>
      </c>
      <c r="E35" s="33" t="n">
        <f aca="false">(1-'3. Assumptions'!$B$15)*SUMPRODUCT((('2. The tape'!$C$5:$C$13*'2. The tape'!$D$5:$D$13*(1-'2. The tape'!$J$5:$J$13)^($A35/4)*(1+$D$5)^($A35/4)*((1-'3. Assumptions'!$B$13)/($D$6)-'2. The tape'!$H$5:$H$13/12-'3. Assumptions'!$B$16)-'2. The tape'!$C$5:$C$13*'2. The tape'!$I$5:$I$13*(1+$D$5)^($A35/4))&gt;0)*('2. The tape'!$C$5:$C$13*'2. The tape'!$D$5:$D$13*(1-'2. The tape'!$J$5:$J$13)^($A35/4)*(1+$D$5)^($A35/4)*((1-'3. Assumptions'!$B$13)/($D$6)-'2. The tape'!$H$5:$H$13/12-'3. Assumptions'!$B$16)-'2. The tape'!$C$5:$C$13*'2. The tape'!$I$5:$I$13*(1+$D$5)^($A35/4)))</f>
        <v>85300444.090732</v>
      </c>
      <c r="F35" s="33" t="n">
        <f aca="false">'2. The tape'!$C$17*(1+MIN(MAX($F$5,'3. Assumptions'!$B$11),'3. Assumptions'!$B$10))^INT(($A35-1)/4)/4*(1-'3. Assumptions'!$B$13)</f>
        <v>3119825.77709591</v>
      </c>
      <c r="G35" s="33" t="n">
        <f aca="false">(1-'3. Assumptions'!$B$15)*SUMPRODUCT((('2. The tape'!$C$5:$C$13*'2. The tape'!$D$5:$D$13*(1-'2. The tape'!$J$5:$J$13)^($A35/4)*(1+$F$5)^($A35/4)*((1-'3. Assumptions'!$B$13)/($F$6)-'2. The tape'!$H$5:$H$13/12-'3. Assumptions'!$B$16)-'2. The tape'!$C$5:$C$13*'2. The tape'!$I$5:$I$13*(1+$F$5)^($A35/4))&gt;0)*('2. The tape'!$C$5:$C$13*'2. The tape'!$D$5:$D$13*(1-'2. The tape'!$J$5:$J$13)^($A35/4)*(1+$F$5)^($A35/4)*((1-'3. Assumptions'!$B$13)/($F$6)-'2. The tape'!$H$5:$H$13/12-'3. Assumptions'!$B$16)-'2. The tape'!$C$5:$C$13*'2. The tape'!$I$5:$I$13*(1+$F$5)^($A35/4)))</f>
        <v>75484261.7879</v>
      </c>
      <c r="H35" s="33" t="n">
        <f aca="false">'2. The tape'!$C$17*(1+MIN(MAX($H$5,'3. Assumptions'!$B$11),'3. Assumptions'!$B$10))^INT(($A35-1)/4)/4*(1-'3. Assumptions'!$B$13)</f>
        <v>3374378.11505891</v>
      </c>
      <c r="I35" s="33" t="n">
        <f aca="false">(1-'3. Assumptions'!$B$15)*SUMPRODUCT((('2. The tape'!$C$5:$C$13*'2. The tape'!$D$5:$D$13*(1-'2. The tape'!$J$5:$J$13)^($A35/4)*(1+$H$5)^($A35/4)*((1-'3. Assumptions'!$B$13)/($H$6)-'2. The tape'!$H$5:$H$13/12-'3. Assumptions'!$B$16)-'2. The tape'!$C$5:$C$13*'2. The tape'!$I$5:$I$13*(1+$H$5)^($A35/4))&gt;0)*('2. The tape'!$C$5:$C$13*'2. The tape'!$D$5:$D$13*(1-'2. The tape'!$J$5:$J$13)^($A35/4)*(1+$H$5)^($A35/4)*((1-'3. Assumptions'!$B$13)/($H$6)-'2. The tape'!$H$5:$H$13/12-'3. Assumptions'!$B$16)-'2. The tape'!$C$5:$C$13*'2. The tape'!$I$5:$I$13*(1+$H$5)^($A35/4)))</f>
        <v>85300444.090732</v>
      </c>
      <c r="J35" s="33" t="n">
        <f aca="false">'2. The tape'!$C$17*(1+MIN(MAX($J$5,'3. Assumptions'!$B$11),'3. Assumptions'!$B$10))^INT(($A35-1)/4)/4*(1-'3. Assumptions'!$B$13)</f>
        <v>3270758.13401338</v>
      </c>
      <c r="K35" s="33" t="n">
        <f aca="false">(1-'3. Assumptions'!$B$15)*SUMPRODUCT((('2. The tape'!$C$5:$C$13*'2. The tape'!$D$5:$D$13*(1-'2. The tape'!$J$5:$J$13)^($A35/4)*(1+$J$5)^($A35/4)*((1-'3. Assumptions'!$B$13)/($J$6)-'2. The tape'!$H$5:$H$13/12-'3. Assumptions'!$B$16)-'2. The tape'!$C$5:$C$13*'2. The tape'!$I$5:$I$13*(1+$J$5)^($A35/4))&gt;0)*('2. The tape'!$C$5:$C$13*'2. The tape'!$D$5:$D$13*(1-'2. The tape'!$J$5:$J$13)^($A35/4)*(1+$J$5)^($A35/4)*((1-'3. Assumptions'!$B$13)/($J$6)-'2. The tape'!$H$5:$H$13/12-'3. Assumptions'!$B$16)-'2. The tape'!$C$5:$C$13*'2. The tape'!$I$5:$I$13*(1+$J$5)^($A35/4)))</f>
        <v>65990479.7860488</v>
      </c>
      <c r="L35" s="33" t="n">
        <f aca="false">'2. The tape'!$C$17*(1+MIN(MAX($L$5,'3. Assumptions'!$B$11),'3. Assumptions'!$B$10))^INT(($A35-1)/4)/4*(1-'3. Assumptions'!$B$13)</f>
        <v>3374378.11505891</v>
      </c>
      <c r="M35" s="33" t="n">
        <f aca="false">(1-'3. Assumptions'!$B$15)*SUMPRODUCT((('2. The tape'!$C$5:$C$13*'2. The tape'!$D$5:$D$13*(1-'2. The tape'!$J$5:$J$13)^($A35/4)*(1+$L$5)^($A35/4)*((1-'3. Assumptions'!$B$13)/($L$6)-'2. The tape'!$H$5:$H$13/12-'3. Assumptions'!$B$16)-'2. The tape'!$C$5:$C$13*'2. The tape'!$I$5:$I$13*(1+$L$5)^($A35/4))&gt;0)*('2. The tape'!$C$5:$C$13*'2. The tape'!$D$5:$D$13*(1-'2. The tape'!$J$5:$J$13)^($A35/4)*(1+$L$5)^($A35/4)*((1-'3. Assumptions'!$B$13)/($L$6)-'2. The tape'!$H$5:$H$13/12-'3. Assumptions'!$B$16)-'2. The tape'!$C$5:$C$13*'2. The tape'!$I$5:$I$13*(1+$L$5)^($A35/4)))</f>
        <v>266665176.126033</v>
      </c>
      <c r="N35" s="33" t="n">
        <f aca="false">'2. The tape'!$C$17*(1+MIN(MAX($N$5,'3. Assumptions'!$B$11),'3. Assumptions'!$B$10))^INT(($A35-1)/4)/4*(1-'3. Assumptions'!$B$13)</f>
        <v>2998091.25</v>
      </c>
      <c r="O35" s="33" t="n">
        <f aca="false">(1-'3. Assumptions'!$B$15)*SUMPRODUCT((('2. The tape'!$C$5:$C$13*'2. The tape'!$D$5:$D$13*(1-'2. The tape'!$J$5:$J$13)^($A35/4)*(1+$N$5)^($A35/4)*((1-'3. Assumptions'!$B$13)/($N$6)-'2. The tape'!$H$5:$H$13/12-'3. Assumptions'!$B$16)-'2. The tape'!$C$5:$C$13*'2. The tape'!$I$5:$I$13*(1+$N$5)^($A35/4))&gt;0)*('2. The tape'!$C$5:$C$13*'2. The tape'!$D$5:$D$13*(1-'2. The tape'!$J$5:$J$13)^($A35/4)*(1+$N$5)^($A35/4)*((1-'3. Assumptions'!$B$13)/($N$6)-'2. The tape'!$H$5:$H$13/12-'3. Assumptions'!$B$16)-'2. The tape'!$C$5:$C$13*'2. The tape'!$I$5:$I$13*(1+$N$5)^($A35/4)))</f>
        <v>61674865.9976644</v>
      </c>
      <c r="P35" s="33" t="n">
        <f aca="false">'2. The tape'!$C$17*(1+MIN(MAX($P$5,'3. Assumptions'!$B$11),'3. Assumptions'!$B$10))^INT(($A35-1)/4)/4*(1-'3. Assumptions'!$B$13)</f>
        <v>2998091.25</v>
      </c>
      <c r="Q35" s="33" t="n">
        <f aca="false">(1-'3. Assumptions'!$B$15)*SUMPRODUCT((('2. The tape'!$C$5:$C$13*'2. The tape'!$D$5:$D$13*(1-'2. The tape'!$J$5:$J$13)^($A35/4)*(1+$P$5)^($A35/4)*((1-'3. Assumptions'!$B$13)/($P$6)-'2. The tape'!$H$5:$H$13/12-'3. Assumptions'!$B$16)-'2. The tape'!$C$5:$C$13*'2. The tape'!$I$5:$I$13*(1+$P$5)^($A35/4))&gt;0)*('2. The tape'!$C$5:$C$13*'2. The tape'!$D$5:$D$13*(1-'2. The tape'!$J$5:$J$13)^($A35/4)*(1+$P$5)^($A35/4)*((1-'3. Assumptions'!$B$13)/($P$6)-'2. The tape'!$H$5:$H$13/12-'3. Assumptions'!$B$16)-'2. The tape'!$C$5:$C$13*'2. The tape'!$I$5:$I$13*(1+$P$5)^($A35/4)))</f>
        <v>64920210.8530612</v>
      </c>
      <c r="R35" s="33" t="n">
        <f aca="false">'2. The tape'!$C$17*(1+MIN(MAX($R$5,'3. Assumptions'!$B$11),'3. Assumptions'!$B$10))^INT(($A35-1)/4)/4*(1-'3. Assumptions'!$B$13)</f>
        <v>2998091.25</v>
      </c>
      <c r="S35" s="33" t="n">
        <f aca="false">(1-'3. Assumptions'!$B$15)*SUMPRODUCT((('2. The tape'!$C$5:$C$13*'2. The tape'!$D$5:$D$13*(1-'2. The tape'!$J$5:$J$13)^($A35/4)*(1+$R$5)^($A35/4)*((1-'3. Assumptions'!$B$13)/($R$6)-'2. The tape'!$H$5:$H$13/12-'3. Assumptions'!$B$16)-'2. The tape'!$C$5:$C$13*'2. The tape'!$I$5:$I$13*(1+$R$5)^($A35/4))&gt;0)*('2. The tape'!$C$5:$C$13*'2. The tape'!$D$5:$D$13*(1-'2. The tape'!$J$5:$J$13)^($A35/4)*(1+$R$5)^($A35/4)*((1-'3. Assumptions'!$B$13)/($R$6)-'2. The tape'!$H$5:$H$13/12-'3. Assumptions'!$B$16)-'2. The tape'!$C$5:$C$13*'2. The tape'!$I$5:$I$13*(1+$R$5)^($A35/4)))</f>
        <v>62939753.6179029</v>
      </c>
      <c r="T35" s="33" t="n">
        <f aca="false">'2. The tape'!$C$17*(1+MIN(MAX($T$5,'3. Assumptions'!$B$11),'3. Assumptions'!$B$10))^INT(($A35-1)/4)/4*(1-'3. Assumptions'!$B$13)</f>
        <v>2998091.25</v>
      </c>
      <c r="U35" s="33" t="n">
        <f aca="false">(1-'3. Assumptions'!$B$15)*SUMPRODUCT((('2. The tape'!$C$5:$C$13*'2. The tape'!$D$5:$D$13*(1-'2. The tape'!$J$5:$J$13)^($A35/4)*(1+$T$5)^($A35/4)*((1-'3. Assumptions'!$B$13)/($T$6)-'2. The tape'!$H$5:$H$13/12-'3. Assumptions'!$B$16)-'2. The tape'!$C$5:$C$13*'2. The tape'!$I$5:$I$13*(1+$T$5)^($A35/4))&gt;0)*('2. The tape'!$C$5:$C$13*'2. The tape'!$D$5:$D$13*(1-'2. The tape'!$J$5:$J$13)^($A35/4)*(1+$T$5)^($A35/4)*((1-'3. Assumptions'!$B$13)/($T$6)-'2. The tape'!$H$5:$H$13/12-'3. Assumptions'!$B$16)-'2. The tape'!$C$5:$C$13*'2. The tape'!$I$5:$I$13*(1+$T$5)^($A35/4)))</f>
        <v>62886717.2193309</v>
      </c>
      <c r="V35" s="33" t="n">
        <f aca="false">'2. The tape'!$C$17*(1+MIN(MAX($V$5,'3. Assumptions'!$B$11),'3. Assumptions'!$B$10))^INT(($A35-1)/4)/4*(1-'3. Assumptions'!$B$13)</f>
        <v>2998091.25</v>
      </c>
      <c r="W35" s="33" t="n">
        <f aca="false">(1-'3. Assumptions'!$B$15)*SUMPRODUCT((('2. The tape'!$C$5:$C$13*'2. The tape'!$D$5:$D$13*(1-'2. The tape'!$J$5:$J$13)^($A35/4)*(1+$V$5)^($A35/4)*((1-'3. Assumptions'!$B$13)/($V$6)-'2. The tape'!$H$5:$H$13/12-'3. Assumptions'!$B$16)-'2. The tape'!$C$5:$C$13*'2. The tape'!$I$5:$I$13*(1+$V$5)^($A35/4))&gt;0)*('2. The tape'!$C$5:$C$13*'2. The tape'!$D$5:$D$13*(1-'2. The tape'!$J$5:$J$13)^($A35/4)*(1+$V$5)^($A35/4)*((1-'3. Assumptions'!$B$13)/($V$6)-'2. The tape'!$H$5:$H$13/12-'3. Assumptions'!$B$16)-'2. The tape'!$C$5:$C$13*'2. The tape'!$I$5:$I$13*(1+$V$5)^($A35/4)))</f>
        <v>62888847.4812346</v>
      </c>
      <c r="X35" s="33" t="n">
        <f aca="false">'2. The tape'!$C$17*(1+MIN(MAX($X$5,'3. Assumptions'!$B$11),'3. Assumptions'!$B$10))^INT(($A35-1)/4)/4*(1-'3. Assumptions'!$B$13)</f>
        <v>2998091.25</v>
      </c>
      <c r="Y35" s="33" t="n">
        <f aca="false">(1-'3. Assumptions'!$B$15)*SUMPRODUCT((('2. The tape'!$C$5:$C$13*'2. The tape'!$D$5:$D$13*(1-'2. The tape'!$J$5:$J$13)^($A35/4)*(1+$X$5)^($A35/4)*((1-'3. Assumptions'!$B$13)/($X$6)-'2. The tape'!$H$5:$H$13/12-'3. Assumptions'!$B$16)-'2. The tape'!$C$5:$C$13*'2. The tape'!$I$5:$I$13*(1+$X$5)^($A35/4))&gt;0)*('2. The tape'!$C$5:$C$13*'2. The tape'!$D$5:$D$13*(1-'2. The tape'!$J$5:$J$13)^($A35/4)*(1+$X$5)^($A35/4)*((1-'3. Assumptions'!$B$13)/($X$6)-'2. The tape'!$H$5:$H$13/12-'3. Assumptions'!$B$16)-'2. The tape'!$C$5:$C$13*'2. The tape'!$I$5:$I$13*(1+$X$5)^($A35/4)))</f>
        <v>62888845.2411014</v>
      </c>
      <c r="Z35" s="33" t="n">
        <f aca="false">'2. The tape'!$C$17*(1+MIN(MAX($Z$5,'3. Assumptions'!$B$11),'3. Assumptions'!$B$10))^INT(($A35-1)/4)/4*(1-'3. Assumptions'!$B$13)</f>
        <v>2998091.25</v>
      </c>
      <c r="AA35" s="33" t="n">
        <f aca="false">(1-'3. Assumptions'!$B$15)*SUMPRODUCT((('2. The tape'!$C$5:$C$13*'2. The tape'!$D$5:$D$13*(1-'2. The tape'!$J$5:$J$13)^($A35/4)*(1+$Z$5)^($A35/4)*((1-'3. Assumptions'!$B$13)/($Z$6)-'2. The tape'!$H$5:$H$13/12-'3. Assumptions'!$B$16)-'2. The tape'!$C$5:$C$13*'2. The tape'!$I$5:$I$13*(1+$Z$5)^($A35/4))&gt;0)*('2. The tape'!$C$5:$C$13*'2. The tape'!$D$5:$D$13*(1-'2. The tape'!$J$5:$J$13)^($A35/4)*(1+$Z$5)^($A35/4)*((1-'3. Assumptions'!$B$13)/($Z$6)-'2. The tape'!$H$5:$H$13/12-'3. Assumptions'!$B$16)-'2. The tape'!$C$5:$C$13*'2. The tape'!$I$5:$I$13*(1+$Z$5)^($A35/4)))</f>
        <v>62888845.2410028</v>
      </c>
      <c r="AB35" s="33" t="n">
        <f aca="false">'2. The tape'!$C$17*(1+MIN(MAX($AB$5,'3. Assumptions'!$B$11),'3. Assumptions'!$B$10))^INT(($A35-1)/4)/4*(1-'3. Assumptions'!$B$13)</f>
        <v>2998091.25</v>
      </c>
      <c r="AC35" s="33" t="n">
        <f aca="false">(1-'3. Assumptions'!$B$15)*SUMPRODUCT((('2. The tape'!$C$5:$C$13*'2. The tape'!$D$5:$D$13*(1-'2. The tape'!$J$5:$J$13)^($A35/4)*(1+$AB$5)^($A35/4)*((1-'3. Assumptions'!$B$13)/($AB$6)-'2. The tape'!$H$5:$H$13/12-'3. Assumptions'!$B$16)-'2. The tape'!$C$5:$C$13*'2. The tape'!$I$5:$I$13*(1+$AB$5)^($A35/4))&gt;0)*('2. The tape'!$C$5:$C$13*'2. The tape'!$D$5:$D$13*(1-'2. The tape'!$J$5:$J$13)^($A35/4)*(1+$AB$5)^($A35/4)*((1-'3. Assumptions'!$B$13)/($AB$6)-'2. The tape'!$H$5:$H$13/12-'3. Assumptions'!$B$16)-'2. The tape'!$C$5:$C$13*'2. The tape'!$I$5:$I$13*(1+$AB$5)^($A35/4)))</f>
        <v>62888845.2410028</v>
      </c>
      <c r="AD35" s="33" t="n">
        <f aca="false">'2. The tape'!$C$17*(1+MIN(MAX($AD$5,'3. Assumptions'!$B$11),'3. Assumptions'!$B$10))^INT(($A35-1)/4)/4*(1-'3. Assumptions'!$B$13)</f>
        <v>2998091.25</v>
      </c>
      <c r="AE35" s="33" t="n">
        <f aca="false">(1-'3. Assumptions'!$B$15)*SUMPRODUCT((('2. The tape'!$C$5:$C$13*'2. The tape'!$D$5:$D$13*(1-'2. The tape'!$J$5:$J$13)^($A35/4)*(1+$AD$5)^($A35/4)*((1-'3. Assumptions'!$B$13)/($AD$6)-'2. The tape'!$H$5:$H$13/12-'3. Assumptions'!$B$16)-'2. The tape'!$C$5:$C$13*'2. The tape'!$I$5:$I$13*(1+$AD$5)^($A35/4))&gt;0)*('2. The tape'!$C$5:$C$13*'2. The tape'!$D$5:$D$13*(1-'2. The tape'!$J$5:$J$13)^($A35/4)*(1+$AD$5)^($A35/4)*((1-'3. Assumptions'!$B$13)/($AD$6)-'2. The tape'!$H$5:$H$13/12-'3. Assumptions'!$B$16)-'2. The tape'!$C$5:$C$13*'2. The tape'!$I$5:$I$13*(1+$AD$5)^($A35/4)))</f>
        <v>62888845.2410028</v>
      </c>
      <c r="AF35" s="33" t="n">
        <f aca="false">'2. The tape'!$C$17*(1+MIN(MAX($AF$5,'3. Assumptions'!$B$11),'3. Assumptions'!$B$10))^INT(($A35-1)/4)/4*(1-'3. Assumptions'!$B$13)</f>
        <v>2998091.25</v>
      </c>
      <c r="AG35" s="33" t="n">
        <f aca="false">(1-'3. Assumptions'!$B$15)*SUMPRODUCT((('2. The tape'!$C$5:$C$13*'2. The tape'!$D$5:$D$13*(1-'2. The tape'!$J$5:$J$13)^($A35/4)*(1+$AF$5)^($A35/4)*((1-'3. Assumptions'!$B$13)/($AF$6)-'2. The tape'!$H$5:$H$13/12-'3. Assumptions'!$B$16)-'2. The tape'!$C$5:$C$13*'2. The tape'!$I$5:$I$13*(1+$AF$5)^($A35/4))&gt;0)*('2. The tape'!$C$5:$C$13*'2. The tape'!$D$5:$D$13*(1-'2. The tape'!$J$5:$J$13)^($A35/4)*(1+$AF$5)^($A35/4)*((1-'3. Assumptions'!$B$13)/($AF$6)-'2. The tape'!$H$5:$H$13/12-'3. Assumptions'!$B$16)-'2. The tape'!$C$5:$C$13*'2. The tape'!$I$5:$I$13*(1+$AF$5)^($A35/4)))</f>
        <v>62888845.2410028</v>
      </c>
      <c r="AH35" s="33" t="n">
        <f aca="false">'2. The tape'!$C$17*(1+MIN(MAX($AH$5,'3. Assumptions'!$B$11),'3. Assumptions'!$B$10))^INT(($A35-1)/4)/4*(1-'3. Assumptions'!$B$13)</f>
        <v>3270758.13401338</v>
      </c>
      <c r="AI35" s="33" t="n">
        <f aca="false">(1-'3. Assumptions'!$B$15)*SUMPRODUCT((('2. The tape'!$C$5:$C$13*'2. The tape'!$D$5:$D$13*(1-'2. The tape'!$J$5:$J$13)^($A35/4)*(1+$AH$5)^($A35/4)*((1-'3. Assumptions'!$B$13)/($AH$6)-'2. The tape'!$H$5:$H$13/12-'3. Assumptions'!$B$16)-'2. The tape'!$C$5:$C$13*'2. The tape'!$I$5:$I$13*(1+$AH$5)^($A35/4))&gt;0)*('2. The tape'!$C$5:$C$13*'2. The tape'!$D$5:$D$13*(1-'2. The tape'!$J$5:$J$13)^($A35/4)*(1+$AH$5)^($A35/4)*((1-'3. Assumptions'!$B$13)/($AH$6)-'2. The tape'!$H$5:$H$13/12-'3. Assumptions'!$B$16)-'2. The tape'!$C$5:$C$13*'2. The tape'!$I$5:$I$13*(1+$AH$5)^($A35/4)))</f>
        <v>156984907.276362</v>
      </c>
      <c r="AJ35" s="33" t="n">
        <f aca="false">'2. The tape'!$C$17*(1+MIN(MAX($AJ$5,'3. Assumptions'!$B$11),'3. Assumptions'!$B$10))^INT(($A35-1)/4)/4*(1-'3. Assumptions'!$B$13)</f>
        <v>3270758.13401338</v>
      </c>
      <c r="AK35" s="33" t="n">
        <f aca="false">(1-'3. Assumptions'!$B$15)*SUMPRODUCT((('2. The tape'!$C$5:$C$13*'2. The tape'!$D$5:$D$13*(1-'2. The tape'!$J$5:$J$13)^($A35/4)*(1+$AJ$5)^($A35/4)*((1-'3. Assumptions'!$B$13)/($AJ$6)-'2. The tape'!$H$5:$H$13/12-'3. Assumptions'!$B$16)-'2. The tape'!$C$5:$C$13*'2. The tape'!$I$5:$I$13*(1+$AJ$5)^($A35/4))&gt;0)*('2. The tape'!$C$5:$C$13*'2. The tape'!$D$5:$D$13*(1-'2. The tape'!$J$5:$J$13)^($A35/4)*(1+$AJ$5)^($A35/4)*((1-'3. Assumptions'!$B$13)/($AJ$6)-'2. The tape'!$H$5:$H$13/12-'3. Assumptions'!$B$16)-'2. The tape'!$C$5:$C$13*'2. The tape'!$I$5:$I$13*(1+$AJ$5)^($A35/4)))</f>
        <v>113882283.728319</v>
      </c>
      <c r="AL35" s="33" t="n">
        <f aca="false">'2. The tape'!$C$17*(1+MIN(MAX($AL$5,'3. Assumptions'!$B$11),'3. Assumptions'!$B$10))^INT(($A35-1)/4)/4*(1-'3. Assumptions'!$B$13)</f>
        <v>3270758.13401338</v>
      </c>
      <c r="AM35" s="33" t="n">
        <f aca="false">(1-'3. Assumptions'!$B$15)*SUMPRODUCT((('2. The tape'!$C$5:$C$13*'2. The tape'!$D$5:$D$13*(1-'2. The tape'!$J$5:$J$13)^($A35/4)*(1+$AL$5)^($A35/4)*((1-'3. Assumptions'!$B$13)/($AL$6)-'2. The tape'!$H$5:$H$13/12-'3. Assumptions'!$B$16)-'2. The tape'!$C$5:$C$13*'2. The tape'!$I$5:$I$13*(1+$AL$5)^($A35/4))&gt;0)*('2. The tape'!$C$5:$C$13*'2. The tape'!$D$5:$D$13*(1-'2. The tape'!$J$5:$J$13)^($A35/4)*(1+$AL$5)^($A35/4)*((1-'3. Assumptions'!$B$13)/($AL$6)-'2. The tape'!$H$5:$H$13/12-'3. Assumptions'!$B$16)-'2. The tape'!$C$5:$C$13*'2. The tape'!$I$5:$I$13*(1+$AL$5)^($A35/4)))</f>
        <v>130599353.94712</v>
      </c>
      <c r="AN35" s="33" t="n">
        <f aca="false">'2. The tape'!$C$17*(1+MIN(MAX($AN$5,'3. Assumptions'!$B$11),'3. Assumptions'!$B$10))^INT(($A35-1)/4)/4*(1-'3. Assumptions'!$B$13)</f>
        <v>3270758.13401338</v>
      </c>
      <c r="AO35" s="33" t="n">
        <f aca="false">(1-'3. Assumptions'!$B$15)*SUMPRODUCT((('2. The tape'!$C$5:$C$13*'2. The tape'!$D$5:$D$13*(1-'2. The tape'!$J$5:$J$13)^($A35/4)*(1+$AN$5)^($A35/4)*((1-'3. Assumptions'!$B$13)/($AN$6)-'2. The tape'!$H$5:$H$13/12-'3. Assumptions'!$B$16)-'2. The tape'!$C$5:$C$13*'2. The tape'!$I$5:$I$13*(1+$AN$5)^($A35/4))&gt;0)*('2. The tape'!$C$5:$C$13*'2. The tape'!$D$5:$D$13*(1-'2. The tape'!$J$5:$J$13)^($A35/4)*(1+$AN$5)^($A35/4)*((1-'3. Assumptions'!$B$13)/($AN$6)-'2. The tape'!$H$5:$H$13/12-'3. Assumptions'!$B$16)-'2. The tape'!$C$5:$C$13*'2. The tape'!$I$5:$I$13*(1+$AN$5)^($A35/4)))</f>
        <v>133729302.859253</v>
      </c>
      <c r="AP35" s="33" t="n">
        <f aca="false">'2. The tape'!$C$17*(1+MIN(MAX($AP$5,'3. Assumptions'!$B$11),'3. Assumptions'!$B$10))^INT(($A35-1)/4)/4*(1-'3. Assumptions'!$B$13)</f>
        <v>3270758.13401338</v>
      </c>
      <c r="AQ35" s="33" t="n">
        <f aca="false">(1-'3. Assumptions'!$B$15)*SUMPRODUCT((('2. The tape'!$C$5:$C$13*'2. The tape'!$D$5:$D$13*(1-'2. The tape'!$J$5:$J$13)^($A35/4)*(1+$AP$5)^($A35/4)*((1-'3. Assumptions'!$B$13)/($AP$6)-'2. The tape'!$H$5:$H$13/12-'3. Assumptions'!$B$16)-'2. The tape'!$C$5:$C$13*'2. The tape'!$I$5:$I$13*(1+$AP$5)^($A35/4))&gt;0)*('2. The tape'!$C$5:$C$13*'2. The tape'!$D$5:$D$13*(1-'2. The tape'!$J$5:$J$13)^($A35/4)*(1+$AP$5)^($A35/4)*((1-'3. Assumptions'!$B$13)/($AP$6)-'2. The tape'!$H$5:$H$13/12-'3. Assumptions'!$B$16)-'2. The tape'!$C$5:$C$13*'2. The tape'!$I$5:$I$13*(1+$AP$5)^($A35/4)))</f>
        <v>133342917.088823</v>
      </c>
      <c r="AR35" s="33" t="n">
        <f aca="false">'2. The tape'!$C$17*(1+MIN(MAX($AR$5,'3. Assumptions'!$B$11),'3. Assumptions'!$B$10))^INT(($A35-1)/4)/4*(1-'3. Assumptions'!$B$13)</f>
        <v>3270758.13401338</v>
      </c>
      <c r="AS35" s="33" t="n">
        <f aca="false">(1-'3. Assumptions'!$B$15)*SUMPRODUCT((('2. The tape'!$C$5:$C$13*'2. The tape'!$D$5:$D$13*(1-'2. The tape'!$J$5:$J$13)^($A35/4)*(1+$AR$5)^($A35/4)*((1-'3. Assumptions'!$B$13)/($AR$6)-'2. The tape'!$H$5:$H$13/12-'3. Assumptions'!$B$16)-'2. The tape'!$C$5:$C$13*'2. The tape'!$I$5:$I$13*(1+$AR$5)^($A35/4))&gt;0)*('2. The tape'!$C$5:$C$13*'2. The tape'!$D$5:$D$13*(1-'2. The tape'!$J$5:$J$13)^($A35/4)*(1+$AR$5)^($A35/4)*((1-'3. Assumptions'!$B$13)/($AR$6)-'2. The tape'!$H$5:$H$13/12-'3. Assumptions'!$B$16)-'2. The tape'!$C$5:$C$13*'2. The tape'!$I$5:$I$13*(1+$AR$5)^($A35/4)))</f>
        <v>133349400.088612</v>
      </c>
      <c r="AT35" s="33" t="n">
        <f aca="false">'2. The tape'!$C$17*(1+MIN(MAX($AT$5,'3. Assumptions'!$B$11),'3. Assumptions'!$B$10))^INT(($A35-1)/4)/4*(1-'3. Assumptions'!$B$13)</f>
        <v>3270758.13401338</v>
      </c>
      <c r="AU35" s="33" t="n">
        <f aca="false">(1-'3. Assumptions'!$B$15)*SUMPRODUCT((('2. The tape'!$C$5:$C$13*'2. The tape'!$D$5:$D$13*(1-'2. The tape'!$J$5:$J$13)^($A35/4)*(1+$AT$5)^($A35/4)*((1-'3. Assumptions'!$B$13)/($AT$6)-'2. The tape'!$H$5:$H$13/12-'3. Assumptions'!$B$16)-'2. The tape'!$C$5:$C$13*'2. The tape'!$I$5:$I$13*(1+$AT$5)^($A35/4))&gt;0)*('2. The tape'!$C$5:$C$13*'2. The tape'!$D$5:$D$13*(1-'2. The tape'!$J$5:$J$13)^($A35/4)*(1+$AT$5)^($A35/4)*((1-'3. Assumptions'!$B$13)/($AT$6)-'2. The tape'!$H$5:$H$13/12-'3. Assumptions'!$B$16)-'2. The tape'!$C$5:$C$13*'2. The tape'!$I$5:$I$13*(1+$AT$5)^($A35/4)))</f>
        <v>133349415.185888</v>
      </c>
      <c r="AV35" s="33" t="n">
        <f aca="false">'2. The tape'!$C$17*(1+MIN(MAX($AV$5,'3. Assumptions'!$B$11),'3. Assumptions'!$B$10))^INT(($A35-1)/4)/4*(1-'3. Assumptions'!$B$13)</f>
        <v>3270758.13401338</v>
      </c>
      <c r="AW35" s="33" t="n">
        <f aca="false">(1-'3. Assumptions'!$B$15)*SUMPRODUCT((('2. The tape'!$C$5:$C$13*'2. The tape'!$D$5:$D$13*(1-'2. The tape'!$J$5:$J$13)^($A35/4)*(1+$AV$5)^($A35/4)*((1-'3. Assumptions'!$B$13)/($AV$6)-'2. The tape'!$H$5:$H$13/12-'3. Assumptions'!$B$16)-'2. The tape'!$C$5:$C$13*'2. The tape'!$I$5:$I$13*(1+$AV$5)^($A35/4))&gt;0)*('2. The tape'!$C$5:$C$13*'2. The tape'!$D$5:$D$13*(1-'2. The tape'!$J$5:$J$13)^($A35/4)*(1+$AV$5)^($A35/4)*((1-'3. Assumptions'!$B$13)/($AV$6)-'2. The tape'!$H$5:$H$13/12-'3. Assumptions'!$B$16)-'2. The tape'!$C$5:$C$13*'2. The tape'!$I$5:$I$13*(1+$AV$5)^($A35/4)))</f>
        <v>133349415.185286</v>
      </c>
      <c r="AX35" s="33" t="n">
        <f aca="false">'2. The tape'!$C$17*(1+MIN(MAX($AX$5,'3. Assumptions'!$B$11),'3. Assumptions'!$B$10))^INT(($A35-1)/4)/4*(1-'3. Assumptions'!$B$13)</f>
        <v>3270758.13401338</v>
      </c>
      <c r="AY35" s="33" t="n">
        <f aca="false">(1-'3. Assumptions'!$B$15)*SUMPRODUCT((('2. The tape'!$C$5:$C$13*'2. The tape'!$D$5:$D$13*(1-'2. The tape'!$J$5:$J$13)^($A35/4)*(1+$AX$5)^($A35/4)*((1-'3. Assumptions'!$B$13)/($AX$6)-'2. The tape'!$H$5:$H$13/12-'3. Assumptions'!$B$16)-'2. The tape'!$C$5:$C$13*'2. The tape'!$I$5:$I$13*(1+$AX$5)^($A35/4))&gt;0)*('2. The tape'!$C$5:$C$13*'2. The tape'!$D$5:$D$13*(1-'2. The tape'!$J$5:$J$13)^($A35/4)*(1+$AX$5)^($A35/4)*((1-'3. Assumptions'!$B$13)/($AX$6)-'2. The tape'!$H$5:$H$13/12-'3. Assumptions'!$B$16)-'2. The tape'!$C$5:$C$13*'2. The tape'!$I$5:$I$13*(1+$AX$5)^($A35/4)))</f>
        <v>133349415.185286</v>
      </c>
      <c r="AZ35" s="33" t="n">
        <f aca="false">'2. The tape'!$C$17*(1+MIN(MAX($AZ$5,'3. Assumptions'!$B$11),'3. Assumptions'!$B$10))^INT(($A35-1)/4)/4*(1-'3. Assumptions'!$B$13)</f>
        <v>3270758.13401338</v>
      </c>
      <c r="BA35" s="33" t="n">
        <f aca="false">(1-'3. Assumptions'!$B$15)*SUMPRODUCT((('2. The tape'!$C$5:$C$13*'2. The tape'!$D$5:$D$13*(1-'2. The tape'!$J$5:$J$13)^($A35/4)*(1+$AZ$5)^($A35/4)*((1-'3. Assumptions'!$B$13)/($AZ$6)-'2. The tape'!$H$5:$H$13/12-'3. Assumptions'!$B$16)-'2. The tape'!$C$5:$C$13*'2. The tape'!$I$5:$I$13*(1+$AZ$5)^($A35/4))&gt;0)*('2. The tape'!$C$5:$C$13*'2. The tape'!$D$5:$D$13*(1-'2. The tape'!$J$5:$J$13)^($A35/4)*(1+$AZ$5)^($A35/4)*((1-'3. Assumptions'!$B$13)/($AZ$6)-'2. The tape'!$H$5:$H$13/12-'3. Assumptions'!$B$16)-'2. The tape'!$C$5:$C$13*'2. The tape'!$I$5:$I$13*(1+$AZ$5)^($A35/4)))</f>
        <v>133349415.185286</v>
      </c>
    </row>
    <row r="36" customFormat="false" ht="15" hidden="false" customHeight="false" outlineLevel="0" collapsed="false">
      <c r="A36" s="20" t="n">
        <v>21</v>
      </c>
      <c r="B36" s="33" t="n">
        <f aca="false">'2. The tape'!$C$17*(1+MIN(MAX($B$5,'3. Assumptions'!$B$11),'3. Assumptions'!$B$10))^INT(($A36-1)/4)/4*(1-'3. Assumptions'!$B$13)</f>
        <v>3342714.81296168</v>
      </c>
      <c r="C36" s="33" t="n">
        <f aca="false">(1-'3. Assumptions'!$B$15)*SUMPRODUCT((('2. The tape'!$C$5:$C$13*'2. The tape'!$D$5:$D$13*(1-'2. The tape'!$J$5:$J$13)^($A36/4)*(1+$B$5)^($A36/4)*((1-'3. Assumptions'!$B$13)/($B$6)-'2. The tape'!$H$5:$H$13/12-'3. Assumptions'!$B$16)-'2. The tape'!$C$5:$C$13*'2. The tape'!$I$5:$I$13*(1+$B$5)^($A36/4))&gt;0)*('2. The tape'!$C$5:$C$13*'2. The tape'!$D$5:$D$13*(1-'2. The tape'!$J$5:$J$13)^($A36/4)*(1+$B$5)^($A36/4)*((1-'3. Assumptions'!$B$13)/($B$6)-'2. The tape'!$H$5:$H$13/12-'3. Assumptions'!$B$16)-'2. The tape'!$C$5:$C$13*'2. The tape'!$I$5:$I$13*(1+$B$5)^($A36/4)))</f>
        <v>79982792.5112692</v>
      </c>
      <c r="D36" s="33" t="n">
        <f aca="false">'2. The tape'!$C$17*(1+MIN(MAX($D$5,'3. Assumptions'!$B$11),'3. Assumptions'!$B$10))^INT(($A36-1)/4)/4*(1-'3. Assumptions'!$B$13)</f>
        <v>3475609.45851068</v>
      </c>
      <c r="E36" s="33" t="n">
        <f aca="false">(1-'3. Assumptions'!$B$15)*SUMPRODUCT((('2. The tape'!$C$5:$C$13*'2. The tape'!$D$5:$D$13*(1-'2. The tape'!$J$5:$J$13)^($A36/4)*(1+$D$5)^($A36/4)*((1-'3. Assumptions'!$B$13)/($D$6)-'2. The tape'!$H$5:$H$13/12-'3. Assumptions'!$B$16)-'2. The tape'!$C$5:$C$13*'2. The tape'!$I$5:$I$13*(1+$D$5)^($A36/4))&gt;0)*('2. The tape'!$C$5:$C$13*'2. The tape'!$D$5:$D$13*(1-'2. The tape'!$J$5:$J$13)^($A36/4)*(1+$D$5)^($A36/4)*((1-'3. Assumptions'!$B$13)/($D$6)-'2. The tape'!$H$5:$H$13/12-'3. Assumptions'!$B$16)-'2. The tape'!$C$5:$C$13*'2. The tape'!$I$5:$I$13*(1+$D$5)^($A36/4)))</f>
        <v>85470490.5277483</v>
      </c>
      <c r="F36" s="33" t="n">
        <f aca="false">'2. The tape'!$C$17*(1+MIN(MAX($F$5,'3. Assumptions'!$B$11),'3. Assumptions'!$B$10))^INT(($A36-1)/4)/4*(1-'3. Assumptions'!$B$13)</f>
        <v>3151024.03486687</v>
      </c>
      <c r="G36" s="33" t="n">
        <f aca="false">(1-'3. Assumptions'!$B$15)*SUMPRODUCT((('2. The tape'!$C$5:$C$13*'2. The tape'!$D$5:$D$13*(1-'2. The tape'!$J$5:$J$13)^($A36/4)*(1+$F$5)^($A36/4)*((1-'3. Assumptions'!$B$13)/($F$6)-'2. The tape'!$H$5:$H$13/12-'3. Assumptions'!$B$16)-'2. The tape'!$C$5:$C$13*'2. The tape'!$I$5:$I$13*(1+$F$5)^($A36/4))&gt;0)*('2. The tape'!$C$5:$C$13*'2. The tape'!$D$5:$D$13*(1-'2. The tape'!$J$5:$J$13)^($A36/4)*(1+$F$5)^($A36/4)*((1-'3. Assumptions'!$B$13)/($F$6)-'2. The tape'!$H$5:$H$13/12-'3. Assumptions'!$B$16)-'2. The tape'!$C$5:$C$13*'2. The tape'!$I$5:$I$13*(1+$F$5)^($A36/4)))</f>
        <v>75173811.8069015</v>
      </c>
      <c r="H36" s="33" t="n">
        <f aca="false">'2. The tape'!$C$17*(1+MIN(MAX($H$5,'3. Assumptions'!$B$11),'3. Assumptions'!$B$10))^INT(($A36-1)/4)/4*(1-'3. Assumptions'!$B$13)</f>
        <v>3475609.45851068</v>
      </c>
      <c r="I36" s="33" t="n">
        <f aca="false">(1-'3. Assumptions'!$B$15)*SUMPRODUCT((('2. The tape'!$C$5:$C$13*'2. The tape'!$D$5:$D$13*(1-'2. The tape'!$J$5:$J$13)^($A36/4)*(1+$H$5)^($A36/4)*((1-'3. Assumptions'!$B$13)/($H$6)-'2. The tape'!$H$5:$H$13/12-'3. Assumptions'!$B$16)-'2. The tape'!$C$5:$C$13*'2. The tape'!$I$5:$I$13*(1+$H$5)^($A36/4))&gt;0)*('2. The tape'!$C$5:$C$13*'2. The tape'!$D$5:$D$13*(1-'2. The tape'!$J$5:$J$13)^($A36/4)*(1+$H$5)^($A36/4)*((1-'3. Assumptions'!$B$13)/($H$6)-'2. The tape'!$H$5:$H$13/12-'3. Assumptions'!$B$16)-'2. The tape'!$C$5:$C$13*'2. The tape'!$I$5:$I$13*(1+$H$5)^($A36/4)))</f>
        <v>85470490.5277483</v>
      </c>
      <c r="J36" s="33" t="n">
        <f aca="false">'2. The tape'!$C$17*(1+MIN(MAX($J$5,'3. Assumptions'!$B$11),'3. Assumptions'!$B$10))^INT(($A36-1)/4)/4*(1-'3. Assumptions'!$B$13)</f>
        <v>3342714.81296168</v>
      </c>
      <c r="K36" s="33" t="n">
        <f aca="false">(1-'3. Assumptions'!$B$15)*SUMPRODUCT((('2. The tape'!$C$5:$C$13*'2. The tape'!$D$5:$D$13*(1-'2. The tape'!$J$5:$J$13)^($A36/4)*(1+$J$5)^($A36/4)*((1-'3. Assumptions'!$B$13)/($J$6)-'2. The tape'!$H$5:$H$13/12-'3. Assumptions'!$B$16)-'2. The tape'!$C$5:$C$13*'2. The tape'!$I$5:$I$13*(1+$J$5)^($A36/4))&gt;0)*('2. The tape'!$C$5:$C$13*'2. The tape'!$D$5:$D$13*(1-'2. The tape'!$J$5:$J$13)^($A36/4)*(1+$J$5)^($A36/4)*((1-'3. Assumptions'!$B$13)/($J$6)-'2. The tape'!$H$5:$H$13/12-'3. Assumptions'!$B$16)-'2. The tape'!$C$5:$C$13*'2. The tape'!$I$5:$I$13*(1+$J$5)^($A36/4)))</f>
        <v>65898681.821956</v>
      </c>
      <c r="L36" s="33" t="n">
        <f aca="false">'2. The tape'!$C$17*(1+MIN(MAX($L$5,'3. Assumptions'!$B$11),'3. Assumptions'!$B$10))^INT(($A36-1)/4)/4*(1-'3. Assumptions'!$B$13)</f>
        <v>3475609.45851068</v>
      </c>
      <c r="M36" s="33" t="n">
        <f aca="false">(1-'3. Assumptions'!$B$15)*SUMPRODUCT((('2. The tape'!$C$5:$C$13*'2. The tape'!$D$5:$D$13*(1-'2. The tape'!$J$5:$J$13)^($A36/4)*(1+$L$5)^($A36/4)*((1-'3. Assumptions'!$B$13)/($L$6)-'2. The tape'!$H$5:$H$13/12-'3. Assumptions'!$B$16)-'2. The tape'!$C$5:$C$13*'2. The tape'!$I$5:$I$13*(1+$L$5)^($A36/4))&gt;0)*('2. The tape'!$C$5:$C$13*'2. The tape'!$D$5:$D$13*(1-'2. The tape'!$J$5:$J$13)^($A36/4)*(1+$L$5)^($A36/4)*((1-'3. Assumptions'!$B$13)/($L$6)-'2. The tape'!$H$5:$H$13/12-'3. Assumptions'!$B$16)-'2. The tape'!$C$5:$C$13*'2. The tape'!$I$5:$I$13*(1+$L$5)^($A36/4)))</f>
        <v>282866788.421012</v>
      </c>
      <c r="N36" s="33" t="n">
        <f aca="false">'2. The tape'!$C$17*(1+MIN(MAX($N$5,'3. Assumptions'!$B$11),'3. Assumptions'!$B$10))^INT(($A36-1)/4)/4*(1-'3. Assumptions'!$B$13)</f>
        <v>2998091.25</v>
      </c>
      <c r="O36" s="33" t="n">
        <f aca="false">(1-'3. Assumptions'!$B$15)*SUMPRODUCT((('2. The tape'!$C$5:$C$13*'2. The tape'!$D$5:$D$13*(1-'2. The tape'!$J$5:$J$13)^($A36/4)*(1+$N$5)^($A36/4)*((1-'3. Assumptions'!$B$13)/($N$6)-'2. The tape'!$H$5:$H$13/12-'3. Assumptions'!$B$16)-'2. The tape'!$C$5:$C$13*'2. The tape'!$I$5:$I$13*(1+$N$5)^($A36/4))&gt;0)*('2. The tape'!$C$5:$C$13*'2. The tape'!$D$5:$D$13*(1-'2. The tape'!$J$5:$J$13)^($A36/4)*(1+$N$5)^($A36/4)*((1-'3. Assumptions'!$B$13)/($N$6)-'2. The tape'!$H$5:$H$13/12-'3. Assumptions'!$B$16)-'2. The tape'!$C$5:$C$13*'2. The tape'!$I$5:$I$13*(1+$N$5)^($A36/4)))</f>
        <v>60803834.0356698</v>
      </c>
      <c r="P36" s="33" t="n">
        <f aca="false">'2. The tape'!$C$17*(1+MIN(MAX($P$5,'3. Assumptions'!$B$11),'3. Assumptions'!$B$10))^INT(($A36-1)/4)/4*(1-'3. Assumptions'!$B$13)</f>
        <v>2998091.25</v>
      </c>
      <c r="Q36" s="33" t="n">
        <f aca="false">(1-'3. Assumptions'!$B$15)*SUMPRODUCT((('2. The tape'!$C$5:$C$13*'2. The tape'!$D$5:$D$13*(1-'2. The tape'!$J$5:$J$13)^($A36/4)*(1+$P$5)^($A36/4)*((1-'3. Assumptions'!$B$13)/($P$6)-'2. The tape'!$H$5:$H$13/12-'3. Assumptions'!$B$16)-'2. The tape'!$C$5:$C$13*'2. The tape'!$I$5:$I$13*(1+$P$5)^($A36/4))&gt;0)*('2. The tape'!$C$5:$C$13*'2. The tape'!$D$5:$D$13*(1-'2. The tape'!$J$5:$J$13)^($A36/4)*(1+$P$5)^($A36/4)*((1-'3. Assumptions'!$B$13)/($P$6)-'2. The tape'!$H$5:$H$13/12-'3. Assumptions'!$B$16)-'2. The tape'!$C$5:$C$13*'2. The tape'!$I$5:$I$13*(1+$P$5)^($A36/4)))</f>
        <v>64167668.1620943</v>
      </c>
      <c r="R36" s="33" t="n">
        <f aca="false">'2. The tape'!$C$17*(1+MIN(MAX($R$5,'3. Assumptions'!$B$11),'3. Assumptions'!$B$10))^INT(($A36-1)/4)/4*(1-'3. Assumptions'!$B$13)</f>
        <v>2998091.25</v>
      </c>
      <c r="S36" s="33" t="n">
        <f aca="false">(1-'3. Assumptions'!$B$15)*SUMPRODUCT((('2. The tape'!$C$5:$C$13*'2. The tape'!$D$5:$D$13*(1-'2. The tape'!$J$5:$J$13)^($A36/4)*(1+$R$5)^($A36/4)*((1-'3. Assumptions'!$B$13)/($R$6)-'2. The tape'!$H$5:$H$13/12-'3. Assumptions'!$B$16)-'2. The tape'!$C$5:$C$13*'2. The tape'!$I$5:$I$13*(1+$R$5)^($A36/4))&gt;0)*('2. The tape'!$C$5:$C$13*'2. The tape'!$D$5:$D$13*(1-'2. The tape'!$J$5:$J$13)^($A36/4)*(1+$R$5)^($A36/4)*((1-'3. Assumptions'!$B$13)/($R$6)-'2. The tape'!$H$5:$H$13/12-'3. Assumptions'!$B$16)-'2. The tape'!$C$5:$C$13*'2. The tape'!$I$5:$I$13*(1+$R$5)^($A36/4)))</f>
        <v>62113875.906449</v>
      </c>
      <c r="T36" s="33" t="n">
        <f aca="false">'2. The tape'!$C$17*(1+MIN(MAX($T$5,'3. Assumptions'!$B$11),'3. Assumptions'!$B$10))^INT(($A36-1)/4)/4*(1-'3. Assumptions'!$B$13)</f>
        <v>2998091.25</v>
      </c>
      <c r="U36" s="33" t="n">
        <f aca="false">(1-'3. Assumptions'!$B$15)*SUMPRODUCT((('2. The tape'!$C$5:$C$13*'2. The tape'!$D$5:$D$13*(1-'2. The tape'!$J$5:$J$13)^($A36/4)*(1+$T$5)^($A36/4)*((1-'3. Assumptions'!$B$13)/($T$6)-'2. The tape'!$H$5:$H$13/12-'3. Assumptions'!$B$16)-'2. The tape'!$C$5:$C$13*'2. The tape'!$I$5:$I$13*(1+$T$5)^($A36/4))&gt;0)*('2. The tape'!$C$5:$C$13*'2. The tape'!$D$5:$D$13*(1-'2. The tape'!$J$5:$J$13)^($A36/4)*(1+$T$5)^($A36/4)*((1-'3. Assumptions'!$B$13)/($T$6)-'2. The tape'!$H$5:$H$13/12-'3. Assumptions'!$B$16)-'2. The tape'!$C$5:$C$13*'2. The tape'!$I$5:$I$13*(1+$T$5)^($A36/4)))</f>
        <v>62058919.5711215</v>
      </c>
      <c r="V36" s="33" t="n">
        <f aca="false">'2. The tape'!$C$17*(1+MIN(MAX($V$5,'3. Assumptions'!$B$11),'3. Assumptions'!$B$10))^INT(($A36-1)/4)/4*(1-'3. Assumptions'!$B$13)</f>
        <v>2998091.25</v>
      </c>
      <c r="W36" s="33" t="n">
        <f aca="false">(1-'3. Assumptions'!$B$15)*SUMPRODUCT((('2. The tape'!$C$5:$C$13*'2. The tape'!$D$5:$D$13*(1-'2. The tape'!$J$5:$J$13)^($A36/4)*(1+$V$5)^($A36/4)*((1-'3. Assumptions'!$B$13)/($V$6)-'2. The tape'!$H$5:$H$13/12-'3. Assumptions'!$B$16)-'2. The tape'!$C$5:$C$13*'2. The tape'!$I$5:$I$13*(1+$V$5)^($A36/4))&gt;0)*('2. The tape'!$C$5:$C$13*'2. The tape'!$D$5:$D$13*(1-'2. The tape'!$J$5:$J$13)^($A36/4)*(1+$V$5)^($A36/4)*((1-'3. Assumptions'!$B$13)/($V$6)-'2. The tape'!$H$5:$H$13/12-'3. Assumptions'!$B$16)-'2. The tape'!$C$5:$C$13*'2. The tape'!$I$5:$I$13*(1+$V$5)^($A36/4)))</f>
        <v>62061126.9046165</v>
      </c>
      <c r="X36" s="33" t="n">
        <f aca="false">'2. The tape'!$C$17*(1+MIN(MAX($X$5,'3. Assumptions'!$B$11),'3. Assumptions'!$B$10))^INT(($A36-1)/4)/4*(1-'3. Assumptions'!$B$13)</f>
        <v>2998091.25</v>
      </c>
      <c r="Y36" s="33" t="n">
        <f aca="false">(1-'3. Assumptions'!$B$15)*SUMPRODUCT((('2. The tape'!$C$5:$C$13*'2. The tape'!$D$5:$D$13*(1-'2. The tape'!$J$5:$J$13)^($A36/4)*(1+$X$5)^($A36/4)*((1-'3. Assumptions'!$B$13)/($X$6)-'2. The tape'!$H$5:$H$13/12-'3. Assumptions'!$B$16)-'2. The tape'!$C$5:$C$13*'2. The tape'!$I$5:$I$13*(1+$X$5)^($A36/4))&gt;0)*('2. The tape'!$C$5:$C$13*'2. The tape'!$D$5:$D$13*(1-'2. The tape'!$J$5:$J$13)^($A36/4)*(1+$X$5)^($A36/4)*((1-'3. Assumptions'!$B$13)/($X$6)-'2. The tape'!$H$5:$H$13/12-'3. Assumptions'!$B$16)-'2. The tape'!$C$5:$C$13*'2. The tape'!$I$5:$I$13*(1+$X$5)^($A36/4)))</f>
        <v>62061124.5834347</v>
      </c>
      <c r="Z36" s="33" t="n">
        <f aca="false">'2. The tape'!$C$17*(1+MIN(MAX($Z$5,'3. Assumptions'!$B$11),'3. Assumptions'!$B$10))^INT(($A36-1)/4)/4*(1-'3. Assumptions'!$B$13)</f>
        <v>2998091.25</v>
      </c>
      <c r="AA36" s="33" t="n">
        <f aca="false">(1-'3. Assumptions'!$B$15)*SUMPRODUCT((('2. The tape'!$C$5:$C$13*'2. The tape'!$D$5:$D$13*(1-'2. The tape'!$J$5:$J$13)^($A36/4)*(1+$Z$5)^($A36/4)*((1-'3. Assumptions'!$B$13)/($Z$6)-'2. The tape'!$H$5:$H$13/12-'3. Assumptions'!$B$16)-'2. The tape'!$C$5:$C$13*'2. The tape'!$I$5:$I$13*(1+$Z$5)^($A36/4))&gt;0)*('2. The tape'!$C$5:$C$13*'2. The tape'!$D$5:$D$13*(1-'2. The tape'!$J$5:$J$13)^($A36/4)*(1+$Z$5)^($A36/4)*((1-'3. Assumptions'!$B$13)/($Z$6)-'2. The tape'!$H$5:$H$13/12-'3. Assumptions'!$B$16)-'2. The tape'!$C$5:$C$13*'2. The tape'!$I$5:$I$13*(1+$Z$5)^($A36/4)))</f>
        <v>62061124.5833325</v>
      </c>
      <c r="AB36" s="33" t="n">
        <f aca="false">'2. The tape'!$C$17*(1+MIN(MAX($AB$5,'3. Assumptions'!$B$11),'3. Assumptions'!$B$10))^INT(($A36-1)/4)/4*(1-'3. Assumptions'!$B$13)</f>
        <v>2998091.25</v>
      </c>
      <c r="AC36" s="33" t="n">
        <f aca="false">(1-'3. Assumptions'!$B$15)*SUMPRODUCT((('2. The tape'!$C$5:$C$13*'2. The tape'!$D$5:$D$13*(1-'2. The tape'!$J$5:$J$13)^($A36/4)*(1+$AB$5)^($A36/4)*((1-'3. Assumptions'!$B$13)/($AB$6)-'2. The tape'!$H$5:$H$13/12-'3. Assumptions'!$B$16)-'2. The tape'!$C$5:$C$13*'2. The tape'!$I$5:$I$13*(1+$AB$5)^($A36/4))&gt;0)*('2. The tape'!$C$5:$C$13*'2. The tape'!$D$5:$D$13*(1-'2. The tape'!$J$5:$J$13)^($A36/4)*(1+$AB$5)^($A36/4)*((1-'3. Assumptions'!$B$13)/($AB$6)-'2. The tape'!$H$5:$H$13/12-'3. Assumptions'!$B$16)-'2. The tape'!$C$5:$C$13*'2. The tape'!$I$5:$I$13*(1+$AB$5)^($A36/4)))</f>
        <v>62061124.5833325</v>
      </c>
      <c r="AD36" s="33" t="n">
        <f aca="false">'2. The tape'!$C$17*(1+MIN(MAX($AD$5,'3. Assumptions'!$B$11),'3. Assumptions'!$B$10))^INT(($A36-1)/4)/4*(1-'3. Assumptions'!$B$13)</f>
        <v>2998091.25</v>
      </c>
      <c r="AE36" s="33" t="n">
        <f aca="false">(1-'3. Assumptions'!$B$15)*SUMPRODUCT((('2. The tape'!$C$5:$C$13*'2. The tape'!$D$5:$D$13*(1-'2. The tape'!$J$5:$J$13)^($A36/4)*(1+$AD$5)^($A36/4)*((1-'3. Assumptions'!$B$13)/($AD$6)-'2. The tape'!$H$5:$H$13/12-'3. Assumptions'!$B$16)-'2. The tape'!$C$5:$C$13*'2. The tape'!$I$5:$I$13*(1+$AD$5)^($A36/4))&gt;0)*('2. The tape'!$C$5:$C$13*'2. The tape'!$D$5:$D$13*(1-'2. The tape'!$J$5:$J$13)^($A36/4)*(1+$AD$5)^($A36/4)*((1-'3. Assumptions'!$B$13)/($AD$6)-'2. The tape'!$H$5:$H$13/12-'3. Assumptions'!$B$16)-'2. The tape'!$C$5:$C$13*'2. The tape'!$I$5:$I$13*(1+$AD$5)^($A36/4)))</f>
        <v>62061124.5833325</v>
      </c>
      <c r="AF36" s="33" t="n">
        <f aca="false">'2. The tape'!$C$17*(1+MIN(MAX($AF$5,'3. Assumptions'!$B$11),'3. Assumptions'!$B$10))^INT(($A36-1)/4)/4*(1-'3. Assumptions'!$B$13)</f>
        <v>2998091.25</v>
      </c>
      <c r="AG36" s="33" t="n">
        <f aca="false">(1-'3. Assumptions'!$B$15)*SUMPRODUCT((('2. The tape'!$C$5:$C$13*'2. The tape'!$D$5:$D$13*(1-'2. The tape'!$J$5:$J$13)^($A36/4)*(1+$AF$5)^($A36/4)*((1-'3. Assumptions'!$B$13)/($AF$6)-'2. The tape'!$H$5:$H$13/12-'3. Assumptions'!$B$16)-'2. The tape'!$C$5:$C$13*'2. The tape'!$I$5:$I$13*(1+$AF$5)^($A36/4))&gt;0)*('2. The tape'!$C$5:$C$13*'2. The tape'!$D$5:$D$13*(1-'2. The tape'!$J$5:$J$13)^($A36/4)*(1+$AF$5)^($A36/4)*((1-'3. Assumptions'!$B$13)/($AF$6)-'2. The tape'!$H$5:$H$13/12-'3. Assumptions'!$B$16)-'2. The tape'!$C$5:$C$13*'2. The tape'!$I$5:$I$13*(1+$AF$5)^($A36/4)))</f>
        <v>62061124.5833325</v>
      </c>
      <c r="AH36" s="33" t="n">
        <f aca="false">'2. The tape'!$C$17*(1+MIN(MAX($AH$5,'3. Assumptions'!$B$11),'3. Assumptions'!$B$10))^INT(($A36-1)/4)/4*(1-'3. Assumptions'!$B$13)</f>
        <v>3342714.81296168</v>
      </c>
      <c r="AI36" s="33" t="n">
        <f aca="false">(1-'3. Assumptions'!$B$15)*SUMPRODUCT((('2. The tape'!$C$5:$C$13*'2. The tape'!$D$5:$D$13*(1-'2. The tape'!$J$5:$J$13)^($A36/4)*(1+$AH$5)^($A36/4)*((1-'3. Assumptions'!$B$13)/($AH$6)-'2. The tape'!$H$5:$H$13/12-'3. Assumptions'!$B$16)-'2. The tape'!$C$5:$C$13*'2. The tape'!$I$5:$I$13*(1+$AH$5)^($A36/4))&gt;0)*('2. The tape'!$C$5:$C$13*'2. The tape'!$D$5:$D$13*(1-'2. The tape'!$J$5:$J$13)^($A36/4)*(1+$AH$5)^($A36/4)*((1-'3. Assumptions'!$B$13)/($AH$6)-'2. The tape'!$H$5:$H$13/12-'3. Assumptions'!$B$16)-'2. The tape'!$C$5:$C$13*'2. The tape'!$I$5:$I$13*(1+$AH$5)^($A36/4)))</f>
        <v>156882036.874919</v>
      </c>
      <c r="AJ36" s="33" t="n">
        <f aca="false">'2. The tape'!$C$17*(1+MIN(MAX($AJ$5,'3. Assumptions'!$B$11),'3. Assumptions'!$B$10))^INT(($A36-1)/4)/4*(1-'3. Assumptions'!$B$13)</f>
        <v>3342714.81296168</v>
      </c>
      <c r="AK36" s="33" t="n">
        <f aca="false">(1-'3. Assumptions'!$B$15)*SUMPRODUCT((('2. The tape'!$C$5:$C$13*'2. The tape'!$D$5:$D$13*(1-'2. The tape'!$J$5:$J$13)^($A36/4)*(1+$AJ$5)^($A36/4)*((1-'3. Assumptions'!$B$13)/($AJ$6)-'2. The tape'!$H$5:$H$13/12-'3. Assumptions'!$B$16)-'2. The tape'!$C$5:$C$13*'2. The tape'!$I$5:$I$13*(1+$AJ$5)^($A36/4))&gt;0)*('2. The tape'!$C$5:$C$13*'2. The tape'!$D$5:$D$13*(1-'2. The tape'!$J$5:$J$13)^($A36/4)*(1+$AJ$5)^($A36/4)*((1-'3. Assumptions'!$B$13)/($AJ$6)-'2. The tape'!$H$5:$H$13/12-'3. Assumptions'!$B$16)-'2. The tape'!$C$5:$C$13*'2. The tape'!$I$5:$I$13*(1+$AJ$5)^($A36/4)))</f>
        <v>113784658.165621</v>
      </c>
      <c r="AL36" s="33" t="n">
        <f aca="false">'2. The tape'!$C$17*(1+MIN(MAX($AL$5,'3. Assumptions'!$B$11),'3. Assumptions'!$B$10))^INT(($A36-1)/4)/4*(1-'3. Assumptions'!$B$13)</f>
        <v>3342714.81296168</v>
      </c>
      <c r="AM36" s="33" t="n">
        <f aca="false">(1-'3. Assumptions'!$B$15)*SUMPRODUCT((('2. The tape'!$C$5:$C$13*'2. The tape'!$D$5:$D$13*(1-'2. The tape'!$J$5:$J$13)^($A36/4)*(1+$AL$5)^($A36/4)*((1-'3. Assumptions'!$B$13)/($AL$6)-'2. The tape'!$H$5:$H$13/12-'3. Assumptions'!$B$16)-'2. The tape'!$C$5:$C$13*'2. The tape'!$I$5:$I$13*(1+$AL$5)^($A36/4))&gt;0)*('2. The tape'!$C$5:$C$13*'2. The tape'!$D$5:$D$13*(1-'2. The tape'!$J$5:$J$13)^($A36/4)*(1+$AL$5)^($A36/4)*((1-'3. Assumptions'!$B$13)/($AL$6)-'2. The tape'!$H$5:$H$13/12-'3. Assumptions'!$B$16)-'2. The tape'!$C$5:$C$13*'2. The tape'!$I$5:$I$13*(1+$AL$5)^($A36/4)))</f>
        <v>130499694.20807</v>
      </c>
      <c r="AN36" s="33" t="n">
        <f aca="false">'2. The tape'!$C$17*(1+MIN(MAX($AN$5,'3. Assumptions'!$B$11),'3. Assumptions'!$B$10))^INT(($A36-1)/4)/4*(1-'3. Assumptions'!$B$13)</f>
        <v>3342714.81296168</v>
      </c>
      <c r="AO36" s="33" t="n">
        <f aca="false">(1-'3. Assumptions'!$B$15)*SUMPRODUCT((('2. The tape'!$C$5:$C$13*'2. The tape'!$D$5:$D$13*(1-'2. The tape'!$J$5:$J$13)^($A36/4)*(1+$AN$5)^($A36/4)*((1-'3. Assumptions'!$B$13)/($AN$6)-'2. The tape'!$H$5:$H$13/12-'3. Assumptions'!$B$16)-'2. The tape'!$C$5:$C$13*'2. The tape'!$I$5:$I$13*(1+$AN$5)^($A36/4))&gt;0)*('2. The tape'!$C$5:$C$13*'2. The tape'!$D$5:$D$13*(1-'2. The tape'!$J$5:$J$13)^($A36/4)*(1+$AN$5)^($A36/4)*((1-'3. Assumptions'!$B$13)/($AN$6)-'2. The tape'!$H$5:$H$13/12-'3. Assumptions'!$B$16)-'2. The tape'!$C$5:$C$13*'2. The tape'!$I$5:$I$13*(1+$AN$5)^($A36/4)))</f>
        <v>133629262.259921</v>
      </c>
      <c r="AP36" s="33" t="n">
        <f aca="false">'2. The tape'!$C$17*(1+MIN(MAX($AP$5,'3. Assumptions'!$B$11),'3. Assumptions'!$B$10))^INT(($A36-1)/4)/4*(1-'3. Assumptions'!$B$13)</f>
        <v>3342714.81296168</v>
      </c>
      <c r="AQ36" s="33" t="n">
        <f aca="false">(1-'3. Assumptions'!$B$15)*SUMPRODUCT((('2. The tape'!$C$5:$C$13*'2. The tape'!$D$5:$D$13*(1-'2. The tape'!$J$5:$J$13)^($A36/4)*(1+$AP$5)^($A36/4)*((1-'3. Assumptions'!$B$13)/($AP$6)-'2. The tape'!$H$5:$H$13/12-'3. Assumptions'!$B$16)-'2. The tape'!$C$5:$C$13*'2. The tape'!$I$5:$I$13*(1+$AP$5)^($A36/4))&gt;0)*('2. The tape'!$C$5:$C$13*'2. The tape'!$D$5:$D$13*(1-'2. The tape'!$J$5:$J$13)^($A36/4)*(1+$AP$5)^($A36/4)*((1-'3. Assumptions'!$B$13)/($AP$6)-'2. The tape'!$H$5:$H$13/12-'3. Assumptions'!$B$16)-'2. The tape'!$C$5:$C$13*'2. The tape'!$I$5:$I$13*(1+$AP$5)^($A36/4)))</f>
        <v>133242923.505911</v>
      </c>
      <c r="AR36" s="33" t="n">
        <f aca="false">'2. The tape'!$C$17*(1+MIN(MAX($AR$5,'3. Assumptions'!$B$11),'3. Assumptions'!$B$10))^INT(($A36-1)/4)/4*(1-'3. Assumptions'!$B$13)</f>
        <v>3342714.81296168</v>
      </c>
      <c r="AS36" s="33" t="n">
        <f aca="false">(1-'3. Assumptions'!$B$15)*SUMPRODUCT((('2. The tape'!$C$5:$C$13*'2. The tape'!$D$5:$D$13*(1-'2. The tape'!$J$5:$J$13)^($A36/4)*(1+$AR$5)^($A36/4)*((1-'3. Assumptions'!$B$13)/($AR$6)-'2. The tape'!$H$5:$H$13/12-'3. Assumptions'!$B$16)-'2. The tape'!$C$5:$C$13*'2. The tape'!$I$5:$I$13*(1+$AR$5)^($A36/4))&gt;0)*('2. The tape'!$C$5:$C$13*'2. The tape'!$D$5:$D$13*(1-'2. The tape'!$J$5:$J$13)^($A36/4)*(1+$AR$5)^($A36/4)*((1-'3. Assumptions'!$B$13)/($AR$6)-'2. The tape'!$H$5:$H$13/12-'3. Assumptions'!$B$16)-'2. The tape'!$C$5:$C$13*'2. The tape'!$I$5:$I$13*(1+$AR$5)^($A36/4)))</f>
        <v>133249405.716832</v>
      </c>
      <c r="AT36" s="33" t="n">
        <f aca="false">'2. The tape'!$C$17*(1+MIN(MAX($AT$5,'3. Assumptions'!$B$11),'3. Assumptions'!$B$10))^INT(($A36-1)/4)/4*(1-'3. Assumptions'!$B$13)</f>
        <v>3342714.81296168</v>
      </c>
      <c r="AU36" s="33" t="n">
        <f aca="false">(1-'3. Assumptions'!$B$15)*SUMPRODUCT((('2. The tape'!$C$5:$C$13*'2. The tape'!$D$5:$D$13*(1-'2. The tape'!$J$5:$J$13)^($A36/4)*(1+$AT$5)^($A36/4)*((1-'3. Assumptions'!$B$13)/($AT$6)-'2. The tape'!$H$5:$H$13/12-'3. Assumptions'!$B$16)-'2. The tape'!$C$5:$C$13*'2. The tape'!$I$5:$I$13*(1+$AT$5)^($A36/4))&gt;0)*('2. The tape'!$C$5:$C$13*'2. The tape'!$D$5:$D$13*(1-'2. The tape'!$J$5:$J$13)^($A36/4)*(1+$AT$5)^($A36/4)*((1-'3. Assumptions'!$B$13)/($AT$6)-'2. The tape'!$H$5:$H$13/12-'3. Assumptions'!$B$16)-'2. The tape'!$C$5:$C$13*'2. The tape'!$I$5:$I$13*(1+$AT$5)^($A36/4)))</f>
        <v>133249420.81227</v>
      </c>
      <c r="AV36" s="33" t="n">
        <f aca="false">'2. The tape'!$C$17*(1+MIN(MAX($AV$5,'3. Assumptions'!$B$11),'3. Assumptions'!$B$10))^INT(($A36-1)/4)/4*(1-'3. Assumptions'!$B$13)</f>
        <v>3342714.81296168</v>
      </c>
      <c r="AW36" s="33" t="n">
        <f aca="false">(1-'3. Assumptions'!$B$15)*SUMPRODUCT((('2. The tape'!$C$5:$C$13*'2. The tape'!$D$5:$D$13*(1-'2. The tape'!$J$5:$J$13)^($A36/4)*(1+$AV$5)^($A36/4)*((1-'3. Assumptions'!$B$13)/($AV$6)-'2. The tape'!$H$5:$H$13/12-'3. Assumptions'!$B$16)-'2. The tape'!$C$5:$C$13*'2. The tape'!$I$5:$I$13*(1+$AV$5)^($A36/4))&gt;0)*('2. The tape'!$C$5:$C$13*'2. The tape'!$D$5:$D$13*(1-'2. The tape'!$J$5:$J$13)^($A36/4)*(1+$AV$5)^($A36/4)*((1-'3. Assumptions'!$B$13)/($AV$6)-'2. The tape'!$H$5:$H$13/12-'3. Assumptions'!$B$16)-'2. The tape'!$C$5:$C$13*'2. The tape'!$I$5:$I$13*(1+$AV$5)^($A36/4)))</f>
        <v>133249420.811669</v>
      </c>
      <c r="AX36" s="33" t="n">
        <f aca="false">'2. The tape'!$C$17*(1+MIN(MAX($AX$5,'3. Assumptions'!$B$11),'3. Assumptions'!$B$10))^INT(($A36-1)/4)/4*(1-'3. Assumptions'!$B$13)</f>
        <v>3342714.81296168</v>
      </c>
      <c r="AY36" s="33" t="n">
        <f aca="false">(1-'3. Assumptions'!$B$15)*SUMPRODUCT((('2. The tape'!$C$5:$C$13*'2. The tape'!$D$5:$D$13*(1-'2. The tape'!$J$5:$J$13)^($A36/4)*(1+$AX$5)^($A36/4)*((1-'3. Assumptions'!$B$13)/($AX$6)-'2. The tape'!$H$5:$H$13/12-'3. Assumptions'!$B$16)-'2. The tape'!$C$5:$C$13*'2. The tape'!$I$5:$I$13*(1+$AX$5)^($A36/4))&gt;0)*('2. The tape'!$C$5:$C$13*'2. The tape'!$D$5:$D$13*(1-'2. The tape'!$J$5:$J$13)^($A36/4)*(1+$AX$5)^($A36/4)*((1-'3. Assumptions'!$B$13)/($AX$6)-'2. The tape'!$H$5:$H$13/12-'3. Assumptions'!$B$16)-'2. The tape'!$C$5:$C$13*'2. The tape'!$I$5:$I$13*(1+$AX$5)^($A36/4)))</f>
        <v>133249420.811669</v>
      </c>
      <c r="AZ36" s="33" t="n">
        <f aca="false">'2. The tape'!$C$17*(1+MIN(MAX($AZ$5,'3. Assumptions'!$B$11),'3. Assumptions'!$B$10))^INT(($A36-1)/4)/4*(1-'3. Assumptions'!$B$13)</f>
        <v>3342714.81296168</v>
      </c>
      <c r="BA36" s="33" t="n">
        <f aca="false">(1-'3. Assumptions'!$B$15)*SUMPRODUCT((('2. The tape'!$C$5:$C$13*'2. The tape'!$D$5:$D$13*(1-'2. The tape'!$J$5:$J$13)^($A36/4)*(1+$AZ$5)^($A36/4)*((1-'3. Assumptions'!$B$13)/($AZ$6)-'2. The tape'!$H$5:$H$13/12-'3. Assumptions'!$B$16)-'2. The tape'!$C$5:$C$13*'2. The tape'!$I$5:$I$13*(1+$AZ$5)^($A36/4))&gt;0)*('2. The tape'!$C$5:$C$13*'2. The tape'!$D$5:$D$13*(1-'2. The tape'!$J$5:$J$13)^($A36/4)*(1+$AZ$5)^($A36/4)*((1-'3. Assumptions'!$B$13)/($AZ$6)-'2. The tape'!$H$5:$H$13/12-'3. Assumptions'!$B$16)-'2. The tape'!$C$5:$C$13*'2. The tape'!$I$5:$I$13*(1+$AZ$5)^($A36/4)))</f>
        <v>133249420.811669</v>
      </c>
    </row>
    <row r="37" customFormat="false" ht="15" hidden="false" customHeight="false" outlineLevel="0" collapsed="false">
      <c r="A37" s="20" t="n">
        <v>22</v>
      </c>
      <c r="B37" s="33" t="n">
        <f aca="false">'2. The tape'!$C$17*(1+MIN(MAX($B$5,'3. Assumptions'!$B$11),'3. Assumptions'!$B$10))^INT(($A37-1)/4)/4*(1-'3. Assumptions'!$B$13)</f>
        <v>3342714.81296168</v>
      </c>
      <c r="C37" s="33" t="n">
        <f aca="false">(1-'3. Assumptions'!$B$15)*SUMPRODUCT((('2. The tape'!$C$5:$C$13*'2. The tape'!$D$5:$D$13*(1-'2. The tape'!$J$5:$J$13)^($A37/4)*(1+$B$5)^($A37/4)*((1-'3. Assumptions'!$B$13)/($B$6)-'2. The tape'!$H$5:$H$13/12-'3. Assumptions'!$B$16)-'2. The tape'!$C$5:$C$13*'2. The tape'!$I$5:$I$13*(1+$B$5)^($A37/4))&gt;0)*('2. The tape'!$C$5:$C$13*'2. The tape'!$D$5:$D$13*(1-'2. The tape'!$J$5:$J$13)^($A37/4)*(1+$B$5)^($A37/4)*((1-'3. Assumptions'!$B$13)/($B$6)-'2. The tape'!$H$5:$H$13/12-'3. Assumptions'!$B$16)-'2. The tape'!$C$5:$C$13*'2. The tape'!$I$5:$I$13*(1+$B$5)^($A37/4)))</f>
        <v>79889060.5192201</v>
      </c>
      <c r="D37" s="33" t="n">
        <f aca="false">'2. The tape'!$C$17*(1+MIN(MAX($D$5,'3. Assumptions'!$B$11),'3. Assumptions'!$B$10))^INT(($A37-1)/4)/4*(1-'3. Assumptions'!$B$13)</f>
        <v>3475609.45851068</v>
      </c>
      <c r="E37" s="33" t="n">
        <f aca="false">(1-'3. Assumptions'!$B$15)*SUMPRODUCT((('2. The tape'!$C$5:$C$13*'2. The tape'!$D$5:$D$13*(1-'2. The tape'!$J$5:$J$13)^($A37/4)*(1+$D$5)^($A37/4)*((1-'3. Assumptions'!$B$13)/($D$6)-'2. The tape'!$H$5:$H$13/12-'3. Assumptions'!$B$16)-'2. The tape'!$C$5:$C$13*'2. The tape'!$I$5:$I$13*(1+$D$5)^($A37/4))&gt;0)*('2. The tape'!$C$5:$C$13*'2. The tape'!$D$5:$D$13*(1-'2. The tape'!$J$5:$J$13)^($A37/4)*(1+$D$5)^($A37/4)*((1-'3. Assumptions'!$B$13)/($D$6)-'2. The tape'!$H$5:$H$13/12-'3. Assumptions'!$B$16)-'2. The tape'!$C$5:$C$13*'2. The tape'!$I$5:$I$13*(1+$D$5)^($A37/4)))</f>
        <v>85640523.0197235</v>
      </c>
      <c r="F37" s="33" t="n">
        <f aca="false">'2. The tape'!$C$17*(1+MIN(MAX($F$5,'3. Assumptions'!$B$11),'3. Assumptions'!$B$10))^INT(($A37-1)/4)/4*(1-'3. Assumptions'!$B$13)</f>
        <v>3151024.03486687</v>
      </c>
      <c r="G37" s="33" t="n">
        <f aca="false">(1-'3. Assumptions'!$B$15)*SUMPRODUCT((('2. The tape'!$C$5:$C$13*'2. The tape'!$D$5:$D$13*(1-'2. The tape'!$J$5:$J$13)^($A37/4)*(1+$F$5)^($A37/4)*((1-'3. Assumptions'!$B$13)/($F$6)-'2. The tape'!$H$5:$H$13/12-'3. Assumptions'!$B$16)-'2. The tape'!$C$5:$C$13*'2. The tape'!$I$5:$I$13*(1+$F$5)^($A37/4))&gt;0)*('2. The tape'!$C$5:$C$13*'2. The tape'!$D$5:$D$13*(1-'2. The tape'!$J$5:$J$13)^($A37/4)*(1+$F$5)^($A37/4)*((1-'3. Assumptions'!$B$13)/($F$6)-'2. The tape'!$H$5:$H$13/12-'3. Assumptions'!$B$16)-'2. The tape'!$C$5:$C$13*'2. The tape'!$I$5:$I$13*(1+$F$5)^($A37/4)))</f>
        <v>74864330.1147143</v>
      </c>
      <c r="H37" s="33" t="n">
        <f aca="false">'2. The tape'!$C$17*(1+MIN(MAX($H$5,'3. Assumptions'!$B$11),'3. Assumptions'!$B$10))^INT(($A37-1)/4)/4*(1-'3. Assumptions'!$B$13)</f>
        <v>3475609.45851068</v>
      </c>
      <c r="I37" s="33" t="n">
        <f aca="false">(1-'3. Assumptions'!$B$15)*SUMPRODUCT((('2. The tape'!$C$5:$C$13*'2. The tape'!$D$5:$D$13*(1-'2. The tape'!$J$5:$J$13)^($A37/4)*(1+$H$5)^($A37/4)*((1-'3. Assumptions'!$B$13)/($H$6)-'2. The tape'!$H$5:$H$13/12-'3. Assumptions'!$B$16)-'2. The tape'!$C$5:$C$13*'2. The tape'!$I$5:$I$13*(1+$H$5)^($A37/4))&gt;0)*('2. The tape'!$C$5:$C$13*'2. The tape'!$D$5:$D$13*(1-'2. The tape'!$J$5:$J$13)^($A37/4)*(1+$H$5)^($A37/4)*((1-'3. Assumptions'!$B$13)/($H$6)-'2. The tape'!$H$5:$H$13/12-'3. Assumptions'!$B$16)-'2. The tape'!$C$5:$C$13*'2. The tape'!$I$5:$I$13*(1+$H$5)^($A37/4)))</f>
        <v>85640523.0197235</v>
      </c>
      <c r="J37" s="33" t="n">
        <f aca="false">'2. The tape'!$C$17*(1+MIN(MAX($J$5,'3. Assumptions'!$B$11),'3. Assumptions'!$B$10))^INT(($A37-1)/4)/4*(1-'3. Assumptions'!$B$13)</f>
        <v>3342714.81296168</v>
      </c>
      <c r="K37" s="33" t="n">
        <f aca="false">(1-'3. Assumptions'!$B$15)*SUMPRODUCT((('2. The tape'!$C$5:$C$13*'2. The tape'!$D$5:$D$13*(1-'2. The tape'!$J$5:$J$13)^($A37/4)*(1+$J$5)^($A37/4)*((1-'3. Assumptions'!$B$13)/($J$6)-'2. The tape'!$H$5:$H$13/12-'3. Assumptions'!$B$16)-'2. The tape'!$C$5:$C$13*'2. The tape'!$I$5:$I$13*(1+$J$5)^($A37/4))&gt;0)*('2. The tape'!$C$5:$C$13*'2. The tape'!$D$5:$D$13*(1-'2. The tape'!$J$5:$J$13)^($A37/4)*(1+$J$5)^($A37/4)*((1-'3. Assumptions'!$B$13)/($J$6)-'2. The tape'!$H$5:$H$13/12-'3. Assumptions'!$B$16)-'2. The tape'!$C$5:$C$13*'2. The tape'!$I$5:$I$13*(1+$J$5)^($A37/4)))</f>
        <v>65806623.3378149</v>
      </c>
      <c r="L37" s="33" t="n">
        <f aca="false">'2. The tape'!$C$17*(1+MIN(MAX($L$5,'3. Assumptions'!$B$11),'3. Assumptions'!$B$10))^INT(($A37-1)/4)/4*(1-'3. Assumptions'!$B$13)</f>
        <v>3475609.45851068</v>
      </c>
      <c r="M37" s="33" t="n">
        <f aca="false">(1-'3. Assumptions'!$B$15)*SUMPRODUCT((('2. The tape'!$C$5:$C$13*'2. The tape'!$D$5:$D$13*(1-'2. The tape'!$J$5:$J$13)^($A37/4)*(1+$L$5)^($A37/4)*((1-'3. Assumptions'!$B$13)/($L$6)-'2. The tape'!$H$5:$H$13/12-'3. Assumptions'!$B$16)-'2. The tape'!$C$5:$C$13*'2. The tape'!$I$5:$I$13*(1+$L$5)^($A37/4))&gt;0)*('2. The tape'!$C$5:$C$13*'2. The tape'!$D$5:$D$13*(1-'2. The tape'!$J$5:$J$13)^($A37/4)*(1+$L$5)^($A37/4)*((1-'3. Assumptions'!$B$13)/($L$6)-'2. The tape'!$H$5:$H$13/12-'3. Assumptions'!$B$16)-'2. The tape'!$C$5:$C$13*'2. The tape'!$I$5:$I$13*(1+$L$5)^($A37/4)))</f>
        <v>300051515.581239</v>
      </c>
      <c r="N37" s="33" t="n">
        <f aca="false">'2. The tape'!$C$17*(1+MIN(MAX($N$5,'3. Assumptions'!$B$11),'3. Assumptions'!$B$10))^INT(($A37-1)/4)/4*(1-'3. Assumptions'!$B$13)</f>
        <v>2998091.25</v>
      </c>
      <c r="O37" s="33" t="n">
        <f aca="false">(1-'3. Assumptions'!$B$15)*SUMPRODUCT((('2. The tape'!$C$5:$C$13*'2. The tape'!$D$5:$D$13*(1-'2. The tape'!$J$5:$J$13)^($A37/4)*(1+$N$5)^($A37/4)*((1-'3. Assumptions'!$B$13)/($N$6)-'2. The tape'!$H$5:$H$13/12-'3. Assumptions'!$B$16)-'2. The tape'!$C$5:$C$13*'2. The tape'!$I$5:$I$13*(1+$N$5)^($A37/4))&gt;0)*('2. The tape'!$C$5:$C$13*'2. The tape'!$D$5:$D$13*(1-'2. The tape'!$J$5:$J$13)^($A37/4)*(1+$N$5)^($A37/4)*((1-'3. Assumptions'!$B$13)/($N$6)-'2. The tape'!$H$5:$H$13/12-'3. Assumptions'!$B$16)-'2. The tape'!$C$5:$C$13*'2. The tape'!$I$5:$I$13*(1+$N$5)^($A37/4)))</f>
        <v>59944856.5890522</v>
      </c>
      <c r="P37" s="33" t="n">
        <f aca="false">'2. The tape'!$C$17*(1+MIN(MAX($P$5,'3. Assumptions'!$B$11),'3. Assumptions'!$B$10))^INT(($A37-1)/4)/4*(1-'3. Assumptions'!$B$13)</f>
        <v>2998091.25</v>
      </c>
      <c r="Q37" s="33" t="n">
        <f aca="false">(1-'3. Assumptions'!$B$15)*SUMPRODUCT((('2. The tape'!$C$5:$C$13*'2. The tape'!$D$5:$D$13*(1-'2. The tape'!$J$5:$J$13)^($A37/4)*(1+$P$5)^($A37/4)*((1-'3. Assumptions'!$B$13)/($P$6)-'2. The tape'!$H$5:$H$13/12-'3. Assumptions'!$B$16)-'2. The tape'!$C$5:$C$13*'2. The tape'!$I$5:$I$13*(1+$P$5)^($A37/4))&gt;0)*('2. The tape'!$C$5:$C$13*'2. The tape'!$D$5:$D$13*(1-'2. The tape'!$J$5:$J$13)^($A37/4)*(1+$P$5)^($A37/4)*((1-'3. Assumptions'!$B$13)/($P$6)-'2. The tape'!$H$5:$H$13/12-'3. Assumptions'!$B$16)-'2. The tape'!$C$5:$C$13*'2. The tape'!$I$5:$I$13*(1+$P$5)^($A37/4)))</f>
        <v>63423587.4277968</v>
      </c>
      <c r="R37" s="33" t="n">
        <f aca="false">'2. The tape'!$C$17*(1+MIN(MAX($R$5,'3. Assumptions'!$B$11),'3. Assumptions'!$B$10))^INT(($A37-1)/4)/4*(1-'3. Assumptions'!$B$13)</f>
        <v>2998091.25</v>
      </c>
      <c r="S37" s="33" t="n">
        <f aca="false">(1-'3. Assumptions'!$B$15)*SUMPRODUCT((('2. The tape'!$C$5:$C$13*'2. The tape'!$D$5:$D$13*(1-'2. The tape'!$J$5:$J$13)^($A37/4)*(1+$R$5)^($A37/4)*((1-'3. Assumptions'!$B$13)/($R$6)-'2. The tape'!$H$5:$H$13/12-'3. Assumptions'!$B$16)-'2. The tape'!$C$5:$C$13*'2. The tape'!$I$5:$I$13*(1+$R$5)^($A37/4))&gt;0)*('2. The tape'!$C$5:$C$13*'2. The tape'!$D$5:$D$13*(1-'2. The tape'!$J$5:$J$13)^($A37/4)*(1+$R$5)^($A37/4)*((1-'3. Assumptions'!$B$13)/($R$6)-'2. The tape'!$H$5:$H$13/12-'3. Assumptions'!$B$16)-'2. The tape'!$C$5:$C$13*'2. The tape'!$I$5:$I$13*(1+$R$5)^($A37/4)))</f>
        <v>61298582.5124044</v>
      </c>
      <c r="T37" s="33" t="n">
        <f aca="false">'2. The tape'!$C$17*(1+MIN(MAX($T$5,'3. Assumptions'!$B$11),'3. Assumptions'!$B$10))^INT(($A37-1)/4)/4*(1-'3. Assumptions'!$B$13)</f>
        <v>2998091.25</v>
      </c>
      <c r="U37" s="33" t="n">
        <f aca="false">(1-'3. Assumptions'!$B$15)*SUMPRODUCT((('2. The tape'!$C$5:$C$13*'2. The tape'!$D$5:$D$13*(1-'2. The tape'!$J$5:$J$13)^($A37/4)*(1+$T$5)^($A37/4)*((1-'3. Assumptions'!$B$13)/($T$6)-'2. The tape'!$H$5:$H$13/12-'3. Assumptions'!$B$16)-'2. The tape'!$C$5:$C$13*'2. The tape'!$I$5:$I$13*(1+$T$5)^($A37/4))&gt;0)*('2. The tape'!$C$5:$C$13*'2. The tape'!$D$5:$D$13*(1-'2. The tape'!$J$5:$J$13)^($A37/4)*(1+$T$5)^($A37/4)*((1-'3. Assumptions'!$B$13)/($T$6)-'2. The tape'!$H$5:$H$13/12-'3. Assumptions'!$B$16)-'2. The tape'!$C$5:$C$13*'2. The tape'!$I$5:$I$13*(1+$T$5)^($A37/4)))</f>
        <v>61241766.1007961</v>
      </c>
      <c r="V37" s="33" t="n">
        <f aca="false">'2. The tape'!$C$17*(1+MIN(MAX($V$5,'3. Assumptions'!$B$11),'3. Assumptions'!$B$10))^INT(($A37-1)/4)/4*(1-'3. Assumptions'!$B$13)</f>
        <v>2998091.25</v>
      </c>
      <c r="W37" s="33" t="n">
        <f aca="false">(1-'3. Assumptions'!$B$15)*SUMPRODUCT((('2. The tape'!$C$5:$C$13*'2. The tape'!$D$5:$D$13*(1-'2. The tape'!$J$5:$J$13)^($A37/4)*(1+$V$5)^($A37/4)*((1-'3. Assumptions'!$B$13)/($V$6)-'2. The tape'!$H$5:$H$13/12-'3. Assumptions'!$B$16)-'2. The tape'!$C$5:$C$13*'2. The tape'!$I$5:$I$13*(1+$V$5)^($A37/4))&gt;0)*('2. The tape'!$C$5:$C$13*'2. The tape'!$D$5:$D$13*(1-'2. The tape'!$J$5:$J$13)^($A37/4)*(1+$V$5)^($A37/4)*((1-'3. Assumptions'!$B$13)/($V$6)-'2. The tape'!$H$5:$H$13/12-'3. Assumptions'!$B$16)-'2. The tape'!$C$5:$C$13*'2. The tape'!$I$5:$I$13*(1+$V$5)^($A37/4)))</f>
        <v>61244048.098502</v>
      </c>
      <c r="X37" s="33" t="n">
        <f aca="false">'2. The tape'!$C$17*(1+MIN(MAX($X$5,'3. Assumptions'!$B$11),'3. Assumptions'!$B$10))^INT(($A37-1)/4)/4*(1-'3. Assumptions'!$B$13)</f>
        <v>2998091.25</v>
      </c>
      <c r="Y37" s="33" t="n">
        <f aca="false">(1-'3. Assumptions'!$B$15)*SUMPRODUCT((('2. The tape'!$C$5:$C$13*'2. The tape'!$D$5:$D$13*(1-'2. The tape'!$J$5:$J$13)^($A37/4)*(1+$X$5)^($A37/4)*((1-'3. Assumptions'!$B$13)/($X$6)-'2. The tape'!$H$5:$H$13/12-'3. Assumptions'!$B$16)-'2. The tape'!$C$5:$C$13*'2. The tape'!$I$5:$I$13*(1+$X$5)^($A37/4))&gt;0)*('2. The tape'!$C$5:$C$13*'2. The tape'!$D$5:$D$13*(1-'2. The tape'!$J$5:$J$13)^($A37/4)*(1+$X$5)^($A37/4)*((1-'3. Assumptions'!$B$13)/($X$6)-'2. The tape'!$H$5:$H$13/12-'3. Assumptions'!$B$16)-'2. The tape'!$C$5:$C$13*'2. The tape'!$I$5:$I$13*(1+$X$5)^($A37/4)))</f>
        <v>61244045.6988029</v>
      </c>
      <c r="Z37" s="33" t="n">
        <f aca="false">'2. The tape'!$C$17*(1+MIN(MAX($Z$5,'3. Assumptions'!$B$11),'3. Assumptions'!$B$10))^INT(($A37-1)/4)/4*(1-'3. Assumptions'!$B$13)</f>
        <v>2998091.25</v>
      </c>
      <c r="AA37" s="33" t="n">
        <f aca="false">(1-'3. Assumptions'!$B$15)*SUMPRODUCT((('2. The tape'!$C$5:$C$13*'2. The tape'!$D$5:$D$13*(1-'2. The tape'!$J$5:$J$13)^($A37/4)*(1+$Z$5)^($A37/4)*((1-'3. Assumptions'!$B$13)/($Z$6)-'2. The tape'!$H$5:$H$13/12-'3. Assumptions'!$B$16)-'2. The tape'!$C$5:$C$13*'2. The tape'!$I$5:$I$13*(1+$Z$5)^($A37/4))&gt;0)*('2. The tape'!$C$5:$C$13*'2. The tape'!$D$5:$D$13*(1-'2. The tape'!$J$5:$J$13)^($A37/4)*(1+$Z$5)^($A37/4)*((1-'3. Assumptions'!$B$13)/($Z$6)-'2. The tape'!$H$5:$H$13/12-'3. Assumptions'!$B$16)-'2. The tape'!$C$5:$C$13*'2. The tape'!$I$5:$I$13*(1+$Z$5)^($A37/4)))</f>
        <v>61244045.6986973</v>
      </c>
      <c r="AB37" s="33" t="n">
        <f aca="false">'2. The tape'!$C$17*(1+MIN(MAX($AB$5,'3. Assumptions'!$B$11),'3. Assumptions'!$B$10))^INT(($A37-1)/4)/4*(1-'3. Assumptions'!$B$13)</f>
        <v>2998091.25</v>
      </c>
      <c r="AC37" s="33" t="n">
        <f aca="false">(1-'3. Assumptions'!$B$15)*SUMPRODUCT((('2. The tape'!$C$5:$C$13*'2. The tape'!$D$5:$D$13*(1-'2. The tape'!$J$5:$J$13)^($A37/4)*(1+$AB$5)^($A37/4)*((1-'3. Assumptions'!$B$13)/($AB$6)-'2. The tape'!$H$5:$H$13/12-'3. Assumptions'!$B$16)-'2. The tape'!$C$5:$C$13*'2. The tape'!$I$5:$I$13*(1+$AB$5)^($A37/4))&gt;0)*('2. The tape'!$C$5:$C$13*'2. The tape'!$D$5:$D$13*(1-'2. The tape'!$J$5:$J$13)^($A37/4)*(1+$AB$5)^($A37/4)*((1-'3. Assumptions'!$B$13)/($AB$6)-'2. The tape'!$H$5:$H$13/12-'3. Assumptions'!$B$16)-'2. The tape'!$C$5:$C$13*'2. The tape'!$I$5:$I$13*(1+$AB$5)^($A37/4)))</f>
        <v>61244045.6986973</v>
      </c>
      <c r="AD37" s="33" t="n">
        <f aca="false">'2. The tape'!$C$17*(1+MIN(MAX($AD$5,'3. Assumptions'!$B$11),'3. Assumptions'!$B$10))^INT(($A37-1)/4)/4*(1-'3. Assumptions'!$B$13)</f>
        <v>2998091.25</v>
      </c>
      <c r="AE37" s="33" t="n">
        <f aca="false">(1-'3. Assumptions'!$B$15)*SUMPRODUCT((('2. The tape'!$C$5:$C$13*'2. The tape'!$D$5:$D$13*(1-'2. The tape'!$J$5:$J$13)^($A37/4)*(1+$AD$5)^($A37/4)*((1-'3. Assumptions'!$B$13)/($AD$6)-'2. The tape'!$H$5:$H$13/12-'3. Assumptions'!$B$16)-'2. The tape'!$C$5:$C$13*'2. The tape'!$I$5:$I$13*(1+$AD$5)^($A37/4))&gt;0)*('2. The tape'!$C$5:$C$13*'2. The tape'!$D$5:$D$13*(1-'2. The tape'!$J$5:$J$13)^($A37/4)*(1+$AD$5)^($A37/4)*((1-'3. Assumptions'!$B$13)/($AD$6)-'2. The tape'!$H$5:$H$13/12-'3. Assumptions'!$B$16)-'2. The tape'!$C$5:$C$13*'2. The tape'!$I$5:$I$13*(1+$AD$5)^($A37/4)))</f>
        <v>61244045.6986973</v>
      </c>
      <c r="AF37" s="33" t="n">
        <f aca="false">'2. The tape'!$C$17*(1+MIN(MAX($AF$5,'3. Assumptions'!$B$11),'3. Assumptions'!$B$10))^INT(($A37-1)/4)/4*(1-'3. Assumptions'!$B$13)</f>
        <v>2998091.25</v>
      </c>
      <c r="AG37" s="33" t="n">
        <f aca="false">(1-'3. Assumptions'!$B$15)*SUMPRODUCT((('2. The tape'!$C$5:$C$13*'2. The tape'!$D$5:$D$13*(1-'2. The tape'!$J$5:$J$13)^($A37/4)*(1+$AF$5)^($A37/4)*((1-'3. Assumptions'!$B$13)/($AF$6)-'2. The tape'!$H$5:$H$13/12-'3. Assumptions'!$B$16)-'2. The tape'!$C$5:$C$13*'2. The tape'!$I$5:$I$13*(1+$AF$5)^($A37/4))&gt;0)*('2. The tape'!$C$5:$C$13*'2. The tape'!$D$5:$D$13*(1-'2. The tape'!$J$5:$J$13)^($A37/4)*(1+$AF$5)^($A37/4)*((1-'3. Assumptions'!$B$13)/($AF$6)-'2. The tape'!$H$5:$H$13/12-'3. Assumptions'!$B$16)-'2. The tape'!$C$5:$C$13*'2. The tape'!$I$5:$I$13*(1+$AF$5)^($A37/4)))</f>
        <v>61244045.6986973</v>
      </c>
      <c r="AH37" s="33" t="n">
        <f aca="false">'2. The tape'!$C$17*(1+MIN(MAX($AH$5,'3. Assumptions'!$B$11),'3. Assumptions'!$B$10))^INT(($A37-1)/4)/4*(1-'3. Assumptions'!$B$13)</f>
        <v>3342714.81296168</v>
      </c>
      <c r="AI37" s="33" t="n">
        <f aca="false">(1-'3. Assumptions'!$B$15)*SUMPRODUCT((('2. The tape'!$C$5:$C$13*'2. The tape'!$D$5:$D$13*(1-'2. The tape'!$J$5:$J$13)^($A37/4)*(1+$AH$5)^($A37/4)*((1-'3. Assumptions'!$B$13)/($AH$6)-'2. The tape'!$H$5:$H$13/12-'3. Assumptions'!$B$16)-'2. The tape'!$C$5:$C$13*'2. The tape'!$I$5:$I$13*(1+$AH$5)^($A37/4))&gt;0)*('2. The tape'!$C$5:$C$13*'2. The tape'!$D$5:$D$13*(1-'2. The tape'!$J$5:$J$13)^($A37/4)*(1+$AH$5)^($A37/4)*((1-'3. Assumptions'!$B$13)/($AH$6)-'2. The tape'!$H$5:$H$13/12-'3. Assumptions'!$B$16)-'2. The tape'!$C$5:$C$13*'2. The tape'!$I$5:$I$13*(1+$AH$5)^($A37/4)))</f>
        <v>156779167.529692</v>
      </c>
      <c r="AJ37" s="33" t="n">
        <f aca="false">'2. The tape'!$C$17*(1+MIN(MAX($AJ$5,'3. Assumptions'!$B$11),'3. Assumptions'!$B$10))^INT(($A37-1)/4)/4*(1-'3. Assumptions'!$B$13)</f>
        <v>3342714.81296168</v>
      </c>
      <c r="AK37" s="33" t="n">
        <f aca="false">(1-'3. Assumptions'!$B$15)*SUMPRODUCT((('2. The tape'!$C$5:$C$13*'2. The tape'!$D$5:$D$13*(1-'2. The tape'!$J$5:$J$13)^($A37/4)*(1+$AJ$5)^($A37/4)*((1-'3. Assumptions'!$B$13)/($AJ$6)-'2. The tape'!$H$5:$H$13/12-'3. Assumptions'!$B$16)-'2. The tape'!$C$5:$C$13*'2. The tape'!$I$5:$I$13*(1+$AJ$5)^($A37/4))&gt;0)*('2. The tape'!$C$5:$C$13*'2. The tape'!$D$5:$D$13*(1-'2. The tape'!$J$5:$J$13)^($A37/4)*(1+$AJ$5)^($A37/4)*((1-'3. Assumptions'!$B$13)/($AJ$6)-'2. The tape'!$H$5:$H$13/12-'3. Assumptions'!$B$16)-'2. The tape'!$C$5:$C$13*'2. The tape'!$I$5:$I$13*(1+$AJ$5)^($A37/4)))</f>
        <v>113686909.754593</v>
      </c>
      <c r="AL37" s="33" t="n">
        <f aca="false">'2. The tape'!$C$17*(1+MIN(MAX($AL$5,'3. Assumptions'!$B$11),'3. Assumptions'!$B$10))^INT(($A37-1)/4)/4*(1-'3. Assumptions'!$B$13)</f>
        <v>3342714.81296168</v>
      </c>
      <c r="AM37" s="33" t="n">
        <f aca="false">(1-'3. Assumptions'!$B$15)*SUMPRODUCT((('2. The tape'!$C$5:$C$13*'2. The tape'!$D$5:$D$13*(1-'2. The tape'!$J$5:$J$13)^($A37/4)*(1+$AL$5)^($A37/4)*((1-'3. Assumptions'!$B$13)/($AL$6)-'2. The tape'!$H$5:$H$13/12-'3. Assumptions'!$B$16)-'2. The tape'!$C$5:$C$13*'2. The tape'!$I$5:$I$13*(1+$AL$5)^($A37/4))&gt;0)*('2. The tape'!$C$5:$C$13*'2. The tape'!$D$5:$D$13*(1-'2. The tape'!$J$5:$J$13)^($A37/4)*(1+$AL$5)^($A37/4)*((1-'3. Assumptions'!$B$13)/($AL$6)-'2. The tape'!$H$5:$H$13/12-'3. Assumptions'!$B$16)-'2. The tape'!$C$5:$C$13*'2. The tape'!$I$5:$I$13*(1+$AL$5)^($A37/4)))</f>
        <v>130399959.676255</v>
      </c>
      <c r="AN37" s="33" t="n">
        <f aca="false">'2. The tape'!$C$17*(1+MIN(MAX($AN$5,'3. Assumptions'!$B$11),'3. Assumptions'!$B$10))^INT(($A37-1)/4)/4*(1-'3. Assumptions'!$B$13)</f>
        <v>3342714.81296168</v>
      </c>
      <c r="AO37" s="33" t="n">
        <f aca="false">(1-'3. Assumptions'!$B$15)*SUMPRODUCT((('2. The tape'!$C$5:$C$13*'2. The tape'!$D$5:$D$13*(1-'2. The tape'!$J$5:$J$13)^($A37/4)*(1+$AN$5)^($A37/4)*((1-'3. Assumptions'!$B$13)/($AN$6)-'2. The tape'!$H$5:$H$13/12-'3. Assumptions'!$B$16)-'2. The tape'!$C$5:$C$13*'2. The tape'!$I$5:$I$13*(1+$AN$5)^($A37/4))&gt;0)*('2. The tape'!$C$5:$C$13*'2. The tape'!$D$5:$D$13*(1-'2. The tape'!$J$5:$J$13)^($A37/4)*(1+$AN$5)^($A37/4)*((1-'3. Assumptions'!$B$13)/($AN$6)-'2. The tape'!$H$5:$H$13/12-'3. Assumptions'!$B$16)-'2. The tape'!$C$5:$C$13*'2. The tape'!$I$5:$I$13*(1+$AN$5)^($A37/4)))</f>
        <v>133529155.865303</v>
      </c>
      <c r="AP37" s="33" t="n">
        <f aca="false">'2. The tape'!$C$17*(1+MIN(MAX($AP$5,'3. Assumptions'!$B$11),'3. Assumptions'!$B$10))^INT(($A37-1)/4)/4*(1-'3. Assumptions'!$B$13)</f>
        <v>3342714.81296168</v>
      </c>
      <c r="AQ37" s="33" t="n">
        <f aca="false">(1-'3. Assumptions'!$B$15)*SUMPRODUCT((('2. The tape'!$C$5:$C$13*'2. The tape'!$D$5:$D$13*(1-'2. The tape'!$J$5:$J$13)^($A37/4)*(1+$AP$5)^($A37/4)*((1-'3. Assumptions'!$B$13)/($AP$6)-'2. The tape'!$H$5:$H$13/12-'3. Assumptions'!$B$16)-'2. The tape'!$C$5:$C$13*'2. The tape'!$I$5:$I$13*(1+$AP$5)^($A37/4))&gt;0)*('2. The tape'!$C$5:$C$13*'2. The tape'!$D$5:$D$13*(1-'2. The tape'!$J$5:$J$13)^($A37/4)*(1+$AP$5)^($A37/4)*((1-'3. Assumptions'!$B$13)/($AP$6)-'2. The tape'!$H$5:$H$13/12-'3. Assumptions'!$B$16)-'2. The tape'!$C$5:$C$13*'2. The tape'!$I$5:$I$13*(1+$AP$5)^($A37/4)))</f>
        <v>133142863.016993</v>
      </c>
      <c r="AR37" s="33" t="n">
        <f aca="false">'2. The tape'!$C$17*(1+MIN(MAX($AR$5,'3. Assumptions'!$B$11),'3. Assumptions'!$B$10))^INT(($A37-1)/4)/4*(1-'3. Assumptions'!$B$13)</f>
        <v>3342714.81296168</v>
      </c>
      <c r="AS37" s="33" t="n">
        <f aca="false">(1-'3. Assumptions'!$B$15)*SUMPRODUCT((('2. The tape'!$C$5:$C$13*'2. The tape'!$D$5:$D$13*(1-'2. The tape'!$J$5:$J$13)^($A37/4)*(1+$AR$5)^($A37/4)*((1-'3. Assumptions'!$B$13)/($AR$6)-'2. The tape'!$H$5:$H$13/12-'3. Assumptions'!$B$16)-'2. The tape'!$C$5:$C$13*'2. The tape'!$I$5:$I$13*(1+$AR$5)^($A37/4))&gt;0)*('2. The tape'!$C$5:$C$13*'2. The tape'!$D$5:$D$13*(1-'2. The tape'!$J$5:$J$13)^($A37/4)*(1+$AR$5)^($A37/4)*((1-'3. Assumptions'!$B$13)/($AR$6)-'2. The tape'!$H$5:$H$13/12-'3. Assumptions'!$B$16)-'2. The tape'!$C$5:$C$13*'2. The tape'!$I$5:$I$13*(1+$AR$5)^($A37/4)))</f>
        <v>133149344.457682</v>
      </c>
      <c r="AT37" s="33" t="n">
        <f aca="false">'2. The tape'!$C$17*(1+MIN(MAX($AT$5,'3. Assumptions'!$B$11),'3. Assumptions'!$B$10))^INT(($A37-1)/4)/4*(1-'3. Assumptions'!$B$13)</f>
        <v>3342714.81296168</v>
      </c>
      <c r="AU37" s="33" t="n">
        <f aca="false">(1-'3. Assumptions'!$B$15)*SUMPRODUCT((('2. The tape'!$C$5:$C$13*'2. The tape'!$D$5:$D$13*(1-'2. The tape'!$J$5:$J$13)^($A37/4)*(1+$AT$5)^($A37/4)*((1-'3. Assumptions'!$B$13)/($AT$6)-'2. The tape'!$H$5:$H$13/12-'3. Assumptions'!$B$16)-'2. The tape'!$C$5:$C$13*'2. The tape'!$I$5:$I$13*(1+$AT$5)^($A37/4))&gt;0)*('2. The tape'!$C$5:$C$13*'2. The tape'!$D$5:$D$13*(1-'2. The tape'!$J$5:$J$13)^($A37/4)*(1+$AT$5)^($A37/4)*((1-'3. Assumptions'!$B$13)/($AT$6)-'2. The tape'!$H$5:$H$13/12-'3. Assumptions'!$B$16)-'2. The tape'!$C$5:$C$13*'2. The tape'!$I$5:$I$13*(1+$AT$5)^($A37/4)))</f>
        <v>133149359.551327</v>
      </c>
      <c r="AV37" s="33" t="n">
        <f aca="false">'2. The tape'!$C$17*(1+MIN(MAX($AV$5,'3. Assumptions'!$B$11),'3. Assumptions'!$B$10))^INT(($A37-1)/4)/4*(1-'3. Assumptions'!$B$13)</f>
        <v>3342714.81296168</v>
      </c>
      <c r="AW37" s="33" t="n">
        <f aca="false">(1-'3. Assumptions'!$B$15)*SUMPRODUCT((('2. The tape'!$C$5:$C$13*'2. The tape'!$D$5:$D$13*(1-'2. The tape'!$J$5:$J$13)^($A37/4)*(1+$AV$5)^($A37/4)*((1-'3. Assumptions'!$B$13)/($AV$6)-'2. The tape'!$H$5:$H$13/12-'3. Assumptions'!$B$16)-'2. The tape'!$C$5:$C$13*'2. The tape'!$I$5:$I$13*(1+$AV$5)^($A37/4))&gt;0)*('2. The tape'!$C$5:$C$13*'2. The tape'!$D$5:$D$13*(1-'2. The tape'!$J$5:$J$13)^($A37/4)*(1+$AV$5)^($A37/4)*((1-'3. Assumptions'!$B$13)/($AV$6)-'2. The tape'!$H$5:$H$13/12-'3. Assumptions'!$B$16)-'2. The tape'!$C$5:$C$13*'2. The tape'!$I$5:$I$13*(1+$AV$5)^($A37/4)))</f>
        <v>133149359.550725</v>
      </c>
      <c r="AX37" s="33" t="n">
        <f aca="false">'2. The tape'!$C$17*(1+MIN(MAX($AX$5,'3. Assumptions'!$B$11),'3. Assumptions'!$B$10))^INT(($A37-1)/4)/4*(1-'3. Assumptions'!$B$13)</f>
        <v>3342714.81296168</v>
      </c>
      <c r="AY37" s="33" t="n">
        <f aca="false">(1-'3. Assumptions'!$B$15)*SUMPRODUCT((('2. The tape'!$C$5:$C$13*'2. The tape'!$D$5:$D$13*(1-'2. The tape'!$J$5:$J$13)^($A37/4)*(1+$AX$5)^($A37/4)*((1-'3. Assumptions'!$B$13)/($AX$6)-'2. The tape'!$H$5:$H$13/12-'3. Assumptions'!$B$16)-'2. The tape'!$C$5:$C$13*'2. The tape'!$I$5:$I$13*(1+$AX$5)^($A37/4))&gt;0)*('2. The tape'!$C$5:$C$13*'2. The tape'!$D$5:$D$13*(1-'2. The tape'!$J$5:$J$13)^($A37/4)*(1+$AX$5)^($A37/4)*((1-'3. Assumptions'!$B$13)/($AX$6)-'2. The tape'!$H$5:$H$13/12-'3. Assumptions'!$B$16)-'2. The tape'!$C$5:$C$13*'2. The tape'!$I$5:$I$13*(1+$AX$5)^($A37/4)))</f>
        <v>133149359.550725</v>
      </c>
      <c r="AZ37" s="33" t="n">
        <f aca="false">'2. The tape'!$C$17*(1+MIN(MAX($AZ$5,'3. Assumptions'!$B$11),'3. Assumptions'!$B$10))^INT(($A37-1)/4)/4*(1-'3. Assumptions'!$B$13)</f>
        <v>3342714.81296168</v>
      </c>
      <c r="BA37" s="33" t="n">
        <f aca="false">(1-'3. Assumptions'!$B$15)*SUMPRODUCT((('2. The tape'!$C$5:$C$13*'2. The tape'!$D$5:$D$13*(1-'2. The tape'!$J$5:$J$13)^($A37/4)*(1+$AZ$5)^($A37/4)*((1-'3. Assumptions'!$B$13)/($AZ$6)-'2. The tape'!$H$5:$H$13/12-'3. Assumptions'!$B$16)-'2. The tape'!$C$5:$C$13*'2. The tape'!$I$5:$I$13*(1+$AZ$5)^($A37/4))&gt;0)*('2. The tape'!$C$5:$C$13*'2. The tape'!$D$5:$D$13*(1-'2. The tape'!$J$5:$J$13)^($A37/4)*(1+$AZ$5)^($A37/4)*((1-'3. Assumptions'!$B$13)/($AZ$6)-'2. The tape'!$H$5:$H$13/12-'3. Assumptions'!$B$16)-'2. The tape'!$C$5:$C$13*'2. The tape'!$I$5:$I$13*(1+$AZ$5)^($A37/4)))</f>
        <v>133149359.550725</v>
      </c>
    </row>
    <row r="38" customFormat="false" ht="15" hidden="false" customHeight="false" outlineLevel="0" collapsed="false">
      <c r="A38" s="20" t="n">
        <v>23</v>
      </c>
      <c r="B38" s="33" t="n">
        <f aca="false">'2. The tape'!$C$17*(1+MIN(MAX($B$5,'3. Assumptions'!$B$11),'3. Assumptions'!$B$10))^INT(($A38-1)/4)/4*(1-'3. Assumptions'!$B$13)</f>
        <v>3342714.81296168</v>
      </c>
      <c r="C38" s="33" t="n">
        <f aca="false">(1-'3. Assumptions'!$B$15)*SUMPRODUCT((('2. The tape'!$C$5:$C$13*'2. The tape'!$D$5:$D$13*(1-'2. The tape'!$J$5:$J$13)^($A38/4)*(1+$B$5)^($A38/4)*((1-'3. Assumptions'!$B$13)/($B$6)-'2. The tape'!$H$5:$H$13/12-'3. Assumptions'!$B$16)-'2. The tape'!$C$5:$C$13*'2. The tape'!$I$5:$I$13*(1+$B$5)^($A38/4))&gt;0)*('2. The tape'!$C$5:$C$13*'2. The tape'!$D$5:$D$13*(1-'2. The tape'!$J$5:$J$13)^($A38/4)*(1+$B$5)^($A38/4)*((1-'3. Assumptions'!$B$13)/($B$6)-'2. The tape'!$H$5:$H$13/12-'3. Assumptions'!$B$16)-'2. The tape'!$C$5:$C$13*'2. The tape'!$I$5:$I$13*(1+$B$5)^($A38/4)))</f>
        <v>79795105.6851676</v>
      </c>
      <c r="D38" s="33" t="n">
        <f aca="false">'2. The tape'!$C$17*(1+MIN(MAX($D$5,'3. Assumptions'!$B$11),'3. Assumptions'!$B$10))^INT(($A38-1)/4)/4*(1-'3. Assumptions'!$B$13)</f>
        <v>3475609.45851068</v>
      </c>
      <c r="E38" s="33" t="n">
        <f aca="false">(1-'3. Assumptions'!$B$15)*SUMPRODUCT((('2. The tape'!$C$5:$C$13*'2. The tape'!$D$5:$D$13*(1-'2. The tape'!$J$5:$J$13)^($A38/4)*(1+$D$5)^($A38/4)*((1-'3. Assumptions'!$B$13)/($D$6)-'2. The tape'!$H$5:$H$13/12-'3. Assumptions'!$B$16)-'2. The tape'!$C$5:$C$13*'2. The tape'!$I$5:$I$13*(1+$D$5)^($A38/4))&gt;0)*('2. The tape'!$C$5:$C$13*'2. The tape'!$D$5:$D$13*(1-'2. The tape'!$J$5:$J$13)^($A38/4)*(1+$D$5)^($A38/4)*((1-'3. Assumptions'!$B$13)/($D$6)-'2. The tape'!$H$5:$H$13/12-'3. Assumptions'!$B$16)-'2. The tape'!$C$5:$C$13*'2. The tape'!$I$5:$I$13*(1+$D$5)^($A38/4)))</f>
        <v>85810536.0027461</v>
      </c>
      <c r="F38" s="33" t="n">
        <f aca="false">'2. The tape'!$C$17*(1+MIN(MAX($F$5,'3. Assumptions'!$B$11),'3. Assumptions'!$B$10))^INT(($A38-1)/4)/4*(1-'3. Assumptions'!$B$13)</f>
        <v>3151024.03486687</v>
      </c>
      <c r="G38" s="33" t="n">
        <f aca="false">(1-'3. Assumptions'!$B$15)*SUMPRODUCT((('2. The tape'!$C$5:$C$13*'2. The tape'!$D$5:$D$13*(1-'2. The tape'!$J$5:$J$13)^($A38/4)*(1+$F$5)^($A38/4)*((1-'3. Assumptions'!$B$13)/($F$6)-'2. The tape'!$H$5:$H$13/12-'3. Assumptions'!$B$16)-'2. The tape'!$C$5:$C$13*'2. The tape'!$I$5:$I$13*(1+$F$5)^($A38/4))&gt;0)*('2. The tape'!$C$5:$C$13*'2. The tape'!$D$5:$D$13*(1-'2. The tape'!$J$5:$J$13)^($A38/4)*(1+$F$5)^($A38/4)*((1-'3. Assumptions'!$B$13)/($F$6)-'2. The tape'!$H$5:$H$13/12-'3. Assumptions'!$B$16)-'2. The tape'!$C$5:$C$13*'2. The tape'!$I$5:$I$13*(1+$F$5)^($A38/4)))</f>
        <v>74555811.679331</v>
      </c>
      <c r="H38" s="33" t="n">
        <f aca="false">'2. The tape'!$C$17*(1+MIN(MAX($H$5,'3. Assumptions'!$B$11),'3. Assumptions'!$B$10))^INT(($A38-1)/4)/4*(1-'3. Assumptions'!$B$13)</f>
        <v>3475609.45851068</v>
      </c>
      <c r="I38" s="33" t="n">
        <f aca="false">(1-'3. Assumptions'!$B$15)*SUMPRODUCT((('2. The tape'!$C$5:$C$13*'2. The tape'!$D$5:$D$13*(1-'2. The tape'!$J$5:$J$13)^($A38/4)*(1+$H$5)^($A38/4)*((1-'3. Assumptions'!$B$13)/($H$6)-'2. The tape'!$H$5:$H$13/12-'3. Assumptions'!$B$16)-'2. The tape'!$C$5:$C$13*'2. The tape'!$I$5:$I$13*(1+$H$5)^($A38/4))&gt;0)*('2. The tape'!$C$5:$C$13*'2. The tape'!$D$5:$D$13*(1-'2. The tape'!$J$5:$J$13)^($A38/4)*(1+$H$5)^($A38/4)*((1-'3. Assumptions'!$B$13)/($H$6)-'2. The tape'!$H$5:$H$13/12-'3. Assumptions'!$B$16)-'2. The tape'!$C$5:$C$13*'2. The tape'!$I$5:$I$13*(1+$H$5)^($A38/4)))</f>
        <v>85810536.0027461</v>
      </c>
      <c r="J38" s="33" t="n">
        <f aca="false">'2. The tape'!$C$17*(1+MIN(MAX($J$5,'3. Assumptions'!$B$11),'3. Assumptions'!$B$10))^INT(($A38-1)/4)/4*(1-'3. Assumptions'!$B$13)</f>
        <v>3342714.81296168</v>
      </c>
      <c r="K38" s="33" t="n">
        <f aca="false">(1-'3. Assumptions'!$B$15)*SUMPRODUCT((('2. The tape'!$C$5:$C$13*'2. The tape'!$D$5:$D$13*(1-'2. The tape'!$J$5:$J$13)^($A38/4)*(1+$J$5)^($A38/4)*((1-'3. Assumptions'!$B$13)/($J$6)-'2. The tape'!$H$5:$H$13/12-'3. Assumptions'!$B$16)-'2. The tape'!$C$5:$C$13*'2. The tape'!$I$5:$I$13*(1+$J$5)^($A38/4))&gt;0)*('2. The tape'!$C$5:$C$13*'2. The tape'!$D$5:$D$13*(1-'2. The tape'!$J$5:$J$13)^($A38/4)*(1+$J$5)^($A38/4)*((1-'3. Assumptions'!$B$13)/($J$6)-'2. The tape'!$H$5:$H$13/12-'3. Assumptions'!$B$16)-'2. The tape'!$C$5:$C$13*'2. The tape'!$I$5:$I$13*(1+$J$5)^($A38/4)))</f>
        <v>65714301.5424726</v>
      </c>
      <c r="L38" s="33" t="n">
        <f aca="false">'2. The tape'!$C$17*(1+MIN(MAX($L$5,'3. Assumptions'!$B$11),'3. Assumptions'!$B$10))^INT(($A38-1)/4)/4*(1-'3. Assumptions'!$B$13)</f>
        <v>3475609.45851068</v>
      </c>
      <c r="M38" s="33" t="n">
        <f aca="false">(1-'3. Assumptions'!$B$15)*SUMPRODUCT((('2. The tape'!$C$5:$C$13*'2. The tape'!$D$5:$D$13*(1-'2. The tape'!$J$5:$J$13)^($A38/4)*(1+$L$5)^($A38/4)*((1-'3. Assumptions'!$B$13)/($L$6)-'2. The tape'!$H$5:$H$13/12-'3. Assumptions'!$B$16)-'2. The tape'!$C$5:$C$13*'2. The tape'!$I$5:$I$13*(1+$L$5)^($A38/4))&gt;0)*('2. The tape'!$C$5:$C$13*'2. The tape'!$D$5:$D$13*(1-'2. The tape'!$J$5:$J$13)^($A38/4)*(1+$L$5)^($A38/4)*((1-'3. Assumptions'!$B$13)/($L$6)-'2. The tape'!$H$5:$H$13/12-'3. Assumptions'!$B$16)-'2. The tape'!$C$5:$C$13*'2. The tape'!$I$5:$I$13*(1+$L$5)^($A38/4)))</f>
        <v>318278922.542491</v>
      </c>
      <c r="N38" s="33" t="n">
        <f aca="false">'2. The tape'!$C$17*(1+MIN(MAX($N$5,'3. Assumptions'!$B$11),'3. Assumptions'!$B$10))^INT(($A38-1)/4)/4*(1-'3. Assumptions'!$B$13)</f>
        <v>2998091.25</v>
      </c>
      <c r="O38" s="33" t="n">
        <f aca="false">(1-'3. Assumptions'!$B$15)*SUMPRODUCT((('2. The tape'!$C$5:$C$13*'2. The tape'!$D$5:$D$13*(1-'2. The tape'!$J$5:$J$13)^($A38/4)*(1+$N$5)^($A38/4)*((1-'3. Assumptions'!$B$13)/($N$6)-'2. The tape'!$H$5:$H$13/12-'3. Assumptions'!$B$16)-'2. The tape'!$C$5:$C$13*'2. The tape'!$I$5:$I$13*(1+$N$5)^($A38/4))&gt;0)*('2. The tape'!$C$5:$C$13*'2. The tape'!$D$5:$D$13*(1-'2. The tape'!$J$5:$J$13)^($A38/4)*(1+$N$5)^($A38/4)*((1-'3. Assumptions'!$B$13)/($N$6)-'2. The tape'!$H$5:$H$13/12-'3. Assumptions'!$B$16)-'2. The tape'!$C$5:$C$13*'2. The tape'!$I$5:$I$13*(1+$N$5)^($A38/4)))</f>
        <v>59097767.5465193</v>
      </c>
      <c r="P38" s="33" t="n">
        <f aca="false">'2. The tape'!$C$17*(1+MIN(MAX($P$5,'3. Assumptions'!$B$11),'3. Assumptions'!$B$10))^INT(($A38-1)/4)/4*(1-'3. Assumptions'!$B$13)</f>
        <v>2998091.25</v>
      </c>
      <c r="Q38" s="33" t="n">
        <f aca="false">(1-'3. Assumptions'!$B$15)*SUMPRODUCT((('2. The tape'!$C$5:$C$13*'2. The tape'!$D$5:$D$13*(1-'2. The tape'!$J$5:$J$13)^($A38/4)*(1+$P$5)^($A38/4)*((1-'3. Assumptions'!$B$13)/($P$6)-'2. The tape'!$H$5:$H$13/12-'3. Assumptions'!$B$16)-'2. The tape'!$C$5:$C$13*'2. The tape'!$I$5:$I$13*(1+$P$5)^($A38/4))&gt;0)*('2. The tape'!$C$5:$C$13*'2. The tape'!$D$5:$D$13*(1-'2. The tape'!$J$5:$J$13)^($A38/4)*(1+$P$5)^($A38/4)*((1-'3. Assumptions'!$B$13)/($P$6)-'2. The tape'!$H$5:$H$13/12-'3. Assumptions'!$B$16)-'2. The tape'!$C$5:$C$13*'2. The tape'!$I$5:$I$13*(1+$P$5)^($A38/4)))</f>
        <v>62687873.6040199</v>
      </c>
      <c r="R38" s="33" t="n">
        <f aca="false">'2. The tape'!$C$17*(1+MIN(MAX($R$5,'3. Assumptions'!$B$11),'3. Assumptions'!$B$10))^INT(($A38-1)/4)/4*(1-'3. Assumptions'!$B$13)</f>
        <v>2998091.25</v>
      </c>
      <c r="S38" s="33" t="n">
        <f aca="false">(1-'3. Assumptions'!$B$15)*SUMPRODUCT((('2. The tape'!$C$5:$C$13*'2. The tape'!$D$5:$D$13*(1-'2. The tape'!$J$5:$J$13)^($A38/4)*(1+$R$5)^($A38/4)*((1-'3. Assumptions'!$B$13)/($R$6)-'2. The tape'!$H$5:$H$13/12-'3. Assumptions'!$B$16)-'2. The tape'!$C$5:$C$13*'2. The tape'!$I$5:$I$13*(1+$R$5)^($A38/4))&gt;0)*('2. The tape'!$C$5:$C$13*'2. The tape'!$D$5:$D$13*(1-'2. The tape'!$J$5:$J$13)^($A38/4)*(1+$R$5)^($A38/4)*((1-'3. Assumptions'!$B$13)/($R$6)-'2. The tape'!$H$5:$H$13/12-'3. Assumptions'!$B$16)-'2. The tape'!$C$5:$C$13*'2. The tape'!$I$5:$I$13*(1+$R$5)^($A38/4)))</f>
        <v>60493738.2700877</v>
      </c>
      <c r="T38" s="33" t="n">
        <f aca="false">'2. The tape'!$C$17*(1+MIN(MAX($T$5,'3. Assumptions'!$B$11),'3. Assumptions'!$B$10))^INT(($A38-1)/4)/4*(1-'3. Assumptions'!$B$13)</f>
        <v>2998091.25</v>
      </c>
      <c r="U38" s="33" t="n">
        <f aca="false">(1-'3. Assumptions'!$B$15)*SUMPRODUCT((('2. The tape'!$C$5:$C$13*'2. The tape'!$D$5:$D$13*(1-'2. The tape'!$J$5:$J$13)^($A38/4)*(1+$T$5)^($A38/4)*((1-'3. Assumptions'!$B$13)/($T$6)-'2. The tape'!$H$5:$H$13/12-'3. Assumptions'!$B$16)-'2. The tape'!$C$5:$C$13*'2. The tape'!$I$5:$I$13*(1+$T$5)^($A38/4))&gt;0)*('2. The tape'!$C$5:$C$13*'2. The tape'!$D$5:$D$13*(1-'2. The tape'!$J$5:$J$13)^($A38/4)*(1+$T$5)^($A38/4)*((1-'3. Assumptions'!$B$13)/($T$6)-'2. The tape'!$H$5:$H$13/12-'3. Assumptions'!$B$16)-'2. The tape'!$C$5:$C$13*'2. The tape'!$I$5:$I$13*(1+$T$5)^($A38/4)))</f>
        <v>60435120.4321131</v>
      </c>
      <c r="V38" s="33" t="n">
        <f aca="false">'2. The tape'!$C$17*(1+MIN(MAX($V$5,'3. Assumptions'!$B$11),'3. Assumptions'!$B$10))^INT(($A38-1)/4)/4*(1-'3. Assumptions'!$B$13)</f>
        <v>2998091.25</v>
      </c>
      <c r="W38" s="33" t="n">
        <f aca="false">(1-'3. Assumptions'!$B$15)*SUMPRODUCT((('2. The tape'!$C$5:$C$13*'2. The tape'!$D$5:$D$13*(1-'2. The tape'!$J$5:$J$13)^($A38/4)*(1+$V$5)^($A38/4)*((1-'3. Assumptions'!$B$13)/($V$6)-'2. The tape'!$H$5:$H$13/12-'3. Assumptions'!$B$16)-'2. The tape'!$C$5:$C$13*'2. The tape'!$I$5:$I$13*(1+$V$5)^($A38/4))&gt;0)*('2. The tape'!$C$5:$C$13*'2. The tape'!$D$5:$D$13*(1-'2. The tape'!$J$5:$J$13)^($A38/4)*(1+$V$5)^($A38/4)*((1-'3. Assumptions'!$B$13)/($V$6)-'2. The tape'!$H$5:$H$13/12-'3. Assumptions'!$B$16)-'2. The tape'!$C$5:$C$13*'2. The tape'!$I$5:$I$13*(1+$V$5)^($A38/4)))</f>
        <v>60437474.7354158</v>
      </c>
      <c r="X38" s="33" t="n">
        <f aca="false">'2. The tape'!$C$17*(1+MIN(MAX($X$5,'3. Assumptions'!$B$11),'3. Assumptions'!$B$10))^INT(($A38-1)/4)/4*(1-'3. Assumptions'!$B$13)</f>
        <v>2998091.25</v>
      </c>
      <c r="Y38" s="33" t="n">
        <f aca="false">(1-'3. Assumptions'!$B$15)*SUMPRODUCT((('2. The tape'!$C$5:$C$13*'2. The tape'!$D$5:$D$13*(1-'2. The tape'!$J$5:$J$13)^($A38/4)*(1+$X$5)^($A38/4)*((1-'3. Assumptions'!$B$13)/($X$6)-'2. The tape'!$H$5:$H$13/12-'3. Assumptions'!$B$16)-'2. The tape'!$C$5:$C$13*'2. The tape'!$I$5:$I$13*(1+$X$5)^($A38/4))&gt;0)*('2. The tape'!$C$5:$C$13*'2. The tape'!$D$5:$D$13*(1-'2. The tape'!$J$5:$J$13)^($A38/4)*(1+$X$5)^($A38/4)*((1-'3. Assumptions'!$B$13)/($X$6)-'2. The tape'!$H$5:$H$13/12-'3. Assumptions'!$B$16)-'2. The tape'!$C$5:$C$13*'2. The tape'!$I$5:$I$13*(1+$X$5)^($A38/4)))</f>
        <v>60437472.2596796</v>
      </c>
      <c r="Z38" s="33" t="n">
        <f aca="false">'2. The tape'!$C$17*(1+MIN(MAX($Z$5,'3. Assumptions'!$B$11),'3. Assumptions'!$B$10))^INT(($A38-1)/4)/4*(1-'3. Assumptions'!$B$13)</f>
        <v>2998091.25</v>
      </c>
      <c r="AA38" s="33" t="n">
        <f aca="false">(1-'3. Assumptions'!$B$15)*SUMPRODUCT((('2. The tape'!$C$5:$C$13*'2. The tape'!$D$5:$D$13*(1-'2. The tape'!$J$5:$J$13)^($A38/4)*(1+$Z$5)^($A38/4)*((1-'3. Assumptions'!$B$13)/($Z$6)-'2. The tape'!$H$5:$H$13/12-'3. Assumptions'!$B$16)-'2. The tape'!$C$5:$C$13*'2. The tape'!$I$5:$I$13*(1+$Z$5)^($A38/4))&gt;0)*('2. The tape'!$C$5:$C$13*'2. The tape'!$D$5:$D$13*(1-'2. The tape'!$J$5:$J$13)^($A38/4)*(1+$Z$5)^($A38/4)*((1-'3. Assumptions'!$B$13)/($Z$6)-'2. The tape'!$H$5:$H$13/12-'3. Assumptions'!$B$16)-'2. The tape'!$C$5:$C$13*'2. The tape'!$I$5:$I$13*(1+$Z$5)^($A38/4)))</f>
        <v>60437472.2595707</v>
      </c>
      <c r="AB38" s="33" t="n">
        <f aca="false">'2. The tape'!$C$17*(1+MIN(MAX($AB$5,'3. Assumptions'!$B$11),'3. Assumptions'!$B$10))^INT(($A38-1)/4)/4*(1-'3. Assumptions'!$B$13)</f>
        <v>2998091.25</v>
      </c>
      <c r="AC38" s="33" t="n">
        <f aca="false">(1-'3. Assumptions'!$B$15)*SUMPRODUCT((('2. The tape'!$C$5:$C$13*'2. The tape'!$D$5:$D$13*(1-'2. The tape'!$J$5:$J$13)^($A38/4)*(1+$AB$5)^($A38/4)*((1-'3. Assumptions'!$B$13)/($AB$6)-'2. The tape'!$H$5:$H$13/12-'3. Assumptions'!$B$16)-'2. The tape'!$C$5:$C$13*'2. The tape'!$I$5:$I$13*(1+$AB$5)^($A38/4))&gt;0)*('2. The tape'!$C$5:$C$13*'2. The tape'!$D$5:$D$13*(1-'2. The tape'!$J$5:$J$13)^($A38/4)*(1+$AB$5)^($A38/4)*((1-'3. Assumptions'!$B$13)/($AB$6)-'2. The tape'!$H$5:$H$13/12-'3. Assumptions'!$B$16)-'2. The tape'!$C$5:$C$13*'2. The tape'!$I$5:$I$13*(1+$AB$5)^($A38/4)))</f>
        <v>60437472.2595707</v>
      </c>
      <c r="AD38" s="33" t="n">
        <f aca="false">'2. The tape'!$C$17*(1+MIN(MAX($AD$5,'3. Assumptions'!$B$11),'3. Assumptions'!$B$10))^INT(($A38-1)/4)/4*(1-'3. Assumptions'!$B$13)</f>
        <v>2998091.25</v>
      </c>
      <c r="AE38" s="33" t="n">
        <f aca="false">(1-'3. Assumptions'!$B$15)*SUMPRODUCT((('2. The tape'!$C$5:$C$13*'2. The tape'!$D$5:$D$13*(1-'2. The tape'!$J$5:$J$13)^($A38/4)*(1+$AD$5)^($A38/4)*((1-'3. Assumptions'!$B$13)/($AD$6)-'2. The tape'!$H$5:$H$13/12-'3. Assumptions'!$B$16)-'2. The tape'!$C$5:$C$13*'2. The tape'!$I$5:$I$13*(1+$AD$5)^($A38/4))&gt;0)*('2. The tape'!$C$5:$C$13*'2. The tape'!$D$5:$D$13*(1-'2. The tape'!$J$5:$J$13)^($A38/4)*(1+$AD$5)^($A38/4)*((1-'3. Assumptions'!$B$13)/($AD$6)-'2. The tape'!$H$5:$H$13/12-'3. Assumptions'!$B$16)-'2. The tape'!$C$5:$C$13*'2. The tape'!$I$5:$I$13*(1+$AD$5)^($A38/4)))</f>
        <v>60437472.2595707</v>
      </c>
      <c r="AF38" s="33" t="n">
        <f aca="false">'2. The tape'!$C$17*(1+MIN(MAX($AF$5,'3. Assumptions'!$B$11),'3. Assumptions'!$B$10))^INT(($A38-1)/4)/4*(1-'3. Assumptions'!$B$13)</f>
        <v>2998091.25</v>
      </c>
      <c r="AG38" s="33" t="n">
        <f aca="false">(1-'3. Assumptions'!$B$15)*SUMPRODUCT((('2. The tape'!$C$5:$C$13*'2. The tape'!$D$5:$D$13*(1-'2. The tape'!$J$5:$J$13)^($A38/4)*(1+$AF$5)^($A38/4)*((1-'3. Assumptions'!$B$13)/($AF$6)-'2. The tape'!$H$5:$H$13/12-'3. Assumptions'!$B$16)-'2. The tape'!$C$5:$C$13*'2. The tape'!$I$5:$I$13*(1+$AF$5)^($A38/4))&gt;0)*('2. The tape'!$C$5:$C$13*'2. The tape'!$D$5:$D$13*(1-'2. The tape'!$J$5:$J$13)^($A38/4)*(1+$AF$5)^($A38/4)*((1-'3. Assumptions'!$B$13)/($AF$6)-'2. The tape'!$H$5:$H$13/12-'3. Assumptions'!$B$16)-'2. The tape'!$C$5:$C$13*'2. The tape'!$I$5:$I$13*(1+$AF$5)^($A38/4)))</f>
        <v>60437472.2595707</v>
      </c>
      <c r="AH38" s="33" t="n">
        <f aca="false">'2. The tape'!$C$17*(1+MIN(MAX($AH$5,'3. Assumptions'!$B$11),'3. Assumptions'!$B$10))^INT(($A38-1)/4)/4*(1-'3. Assumptions'!$B$13)</f>
        <v>3342714.81296168</v>
      </c>
      <c r="AI38" s="33" t="n">
        <f aca="false">(1-'3. Assumptions'!$B$15)*SUMPRODUCT((('2. The tape'!$C$5:$C$13*'2. The tape'!$D$5:$D$13*(1-'2. The tape'!$J$5:$J$13)^($A38/4)*(1+$AH$5)^($A38/4)*((1-'3. Assumptions'!$B$13)/($AH$6)-'2. The tape'!$H$5:$H$13/12-'3. Assumptions'!$B$16)-'2. The tape'!$C$5:$C$13*'2. The tape'!$I$5:$I$13*(1+$AH$5)^($A38/4))&gt;0)*('2. The tape'!$C$5:$C$13*'2. The tape'!$D$5:$D$13*(1-'2. The tape'!$J$5:$J$13)^($A38/4)*(1+$AH$5)^($A38/4)*((1-'3. Assumptions'!$B$13)/($AH$6)-'2. The tape'!$H$5:$H$13/12-'3. Assumptions'!$B$16)-'2. The tape'!$C$5:$C$13*'2. The tape'!$I$5:$I$13*(1+$AH$5)^($A38/4)))</f>
        <v>156676296.304283</v>
      </c>
      <c r="AJ38" s="33" t="n">
        <f aca="false">'2. The tape'!$C$17*(1+MIN(MAX($AJ$5,'3. Assumptions'!$B$11),'3. Assumptions'!$B$10))^INT(($A38-1)/4)/4*(1-'3. Assumptions'!$B$13)</f>
        <v>3342714.81296168</v>
      </c>
      <c r="AK38" s="33" t="n">
        <f aca="false">(1-'3. Assumptions'!$B$15)*SUMPRODUCT((('2. The tape'!$C$5:$C$13*'2. The tape'!$D$5:$D$13*(1-'2. The tape'!$J$5:$J$13)^($A38/4)*(1+$AJ$5)^($A38/4)*((1-'3. Assumptions'!$B$13)/($AJ$6)-'2. The tape'!$H$5:$H$13/12-'3. Assumptions'!$B$16)-'2. The tape'!$C$5:$C$13*'2. The tape'!$I$5:$I$13*(1+$AJ$5)^($A38/4))&gt;0)*('2. The tape'!$C$5:$C$13*'2. The tape'!$D$5:$D$13*(1-'2. The tape'!$J$5:$J$13)^($A38/4)*(1+$AJ$5)^($A38/4)*((1-'3. Assumptions'!$B$13)/($AJ$6)-'2. The tape'!$H$5:$H$13/12-'3. Assumptions'!$B$16)-'2. The tape'!$C$5:$C$13*'2. The tape'!$I$5:$I$13*(1+$AJ$5)^($A38/4)))</f>
        <v>113589035.627636</v>
      </c>
      <c r="AL38" s="33" t="n">
        <f aca="false">'2. The tape'!$C$17*(1+MIN(MAX($AL$5,'3. Assumptions'!$B$11),'3. Assumptions'!$B$10))^INT(($A38-1)/4)/4*(1-'3. Assumptions'!$B$13)</f>
        <v>3342714.81296168</v>
      </c>
      <c r="AM38" s="33" t="n">
        <f aca="false">(1-'3. Assumptions'!$B$15)*SUMPRODUCT((('2. The tape'!$C$5:$C$13*'2. The tape'!$D$5:$D$13*(1-'2. The tape'!$J$5:$J$13)^($A38/4)*(1+$AL$5)^($A38/4)*((1-'3. Assumptions'!$B$13)/($AL$6)-'2. The tape'!$H$5:$H$13/12-'3. Assumptions'!$B$16)-'2. The tape'!$C$5:$C$13*'2. The tape'!$I$5:$I$13*(1+$AL$5)^($A38/4))&gt;0)*('2. The tape'!$C$5:$C$13*'2. The tape'!$D$5:$D$13*(1-'2. The tape'!$J$5:$J$13)^($A38/4)*(1+$AL$5)^($A38/4)*((1-'3. Assumptions'!$B$13)/($AL$6)-'2. The tape'!$H$5:$H$13/12-'3. Assumptions'!$B$16)-'2. The tape'!$C$5:$C$13*'2. The tape'!$I$5:$I$13*(1+$AL$5)^($A38/4)))</f>
        <v>130300147.457394</v>
      </c>
      <c r="AN38" s="33" t="n">
        <f aca="false">'2. The tape'!$C$17*(1+MIN(MAX($AN$5,'3. Assumptions'!$B$11),'3. Assumptions'!$B$10))^INT(($A38-1)/4)/4*(1-'3. Assumptions'!$B$13)</f>
        <v>3342714.81296168</v>
      </c>
      <c r="AO38" s="33" t="n">
        <f aca="false">(1-'3. Assumptions'!$B$15)*SUMPRODUCT((('2. The tape'!$C$5:$C$13*'2. The tape'!$D$5:$D$13*(1-'2. The tape'!$J$5:$J$13)^($A38/4)*(1+$AN$5)^($A38/4)*((1-'3. Assumptions'!$B$13)/($AN$6)-'2. The tape'!$H$5:$H$13/12-'3. Assumptions'!$B$16)-'2. The tape'!$C$5:$C$13*'2. The tape'!$I$5:$I$13*(1+$AN$5)^($A38/4))&gt;0)*('2. The tape'!$C$5:$C$13*'2. The tape'!$D$5:$D$13*(1-'2. The tape'!$J$5:$J$13)^($A38/4)*(1+$AN$5)^($A38/4)*((1-'3. Assumptions'!$B$13)/($AN$6)-'2. The tape'!$H$5:$H$13/12-'3. Assumptions'!$B$16)-'2. The tape'!$C$5:$C$13*'2. The tape'!$I$5:$I$13*(1+$AN$5)^($A38/4)))</f>
        <v>133428980.776121</v>
      </c>
      <c r="AP38" s="33" t="n">
        <f aca="false">'2. The tape'!$C$17*(1+MIN(MAX($AP$5,'3. Assumptions'!$B$11),'3. Assumptions'!$B$10))^INT(($A38-1)/4)/4*(1-'3. Assumptions'!$B$13)</f>
        <v>3342714.81296168</v>
      </c>
      <c r="AQ38" s="33" t="n">
        <f aca="false">(1-'3. Assumptions'!$B$15)*SUMPRODUCT((('2. The tape'!$C$5:$C$13*'2. The tape'!$D$5:$D$13*(1-'2. The tape'!$J$5:$J$13)^($A38/4)*(1+$AP$5)^($A38/4)*((1-'3. Assumptions'!$B$13)/($AP$6)-'2. The tape'!$H$5:$H$13/12-'3. Assumptions'!$B$16)-'2. The tape'!$C$5:$C$13*'2. The tape'!$I$5:$I$13*(1+$AP$5)^($A38/4))&gt;0)*('2. The tape'!$C$5:$C$13*'2. The tape'!$D$5:$D$13*(1-'2. The tape'!$J$5:$J$13)^($A38/4)*(1+$AP$5)^($A38/4)*((1-'3. Assumptions'!$B$13)/($AP$6)-'2. The tape'!$H$5:$H$13/12-'3. Assumptions'!$B$16)-'2. The tape'!$C$5:$C$13*'2. The tape'!$I$5:$I$13*(1+$AP$5)^($A38/4)))</f>
        <v>133042732.723408</v>
      </c>
      <c r="AR38" s="33" t="n">
        <f aca="false">'2. The tape'!$C$17*(1+MIN(MAX($AR$5,'3. Assumptions'!$B$11),'3. Assumptions'!$B$10))^INT(($A38-1)/4)/4*(1-'3. Assumptions'!$B$13)</f>
        <v>3342714.81296168</v>
      </c>
      <c r="AS38" s="33" t="n">
        <f aca="false">(1-'3. Assumptions'!$B$15)*SUMPRODUCT((('2. The tape'!$C$5:$C$13*'2. The tape'!$D$5:$D$13*(1-'2. The tape'!$J$5:$J$13)^($A38/4)*(1+$AR$5)^($A38/4)*((1-'3. Assumptions'!$B$13)/($AR$6)-'2. The tape'!$H$5:$H$13/12-'3. Assumptions'!$B$16)-'2. The tape'!$C$5:$C$13*'2. The tape'!$I$5:$I$13*(1+$AR$5)^($A38/4))&gt;0)*('2. The tape'!$C$5:$C$13*'2. The tape'!$D$5:$D$13*(1-'2. The tape'!$J$5:$J$13)^($A38/4)*(1+$AR$5)^($A38/4)*((1-'3. Assumptions'!$B$13)/($AR$6)-'2. The tape'!$H$5:$H$13/12-'3. Assumptions'!$B$16)-'2. The tape'!$C$5:$C$13*'2. The tape'!$I$5:$I$13*(1+$AR$5)^($A38/4)))</f>
        <v>133049213.412491</v>
      </c>
      <c r="AT38" s="33" t="n">
        <f aca="false">'2. The tape'!$C$17*(1+MIN(MAX($AT$5,'3. Assumptions'!$B$11),'3. Assumptions'!$B$10))^INT(($A38-1)/4)/4*(1-'3. Assumptions'!$B$13)</f>
        <v>3342714.81296168</v>
      </c>
      <c r="AU38" s="33" t="n">
        <f aca="false">(1-'3. Assumptions'!$B$15)*SUMPRODUCT((('2. The tape'!$C$5:$C$13*'2. The tape'!$D$5:$D$13*(1-'2. The tape'!$J$5:$J$13)^($A38/4)*(1+$AT$5)^($A38/4)*((1-'3. Assumptions'!$B$13)/($AT$6)-'2. The tape'!$H$5:$H$13/12-'3. Assumptions'!$B$16)-'2. The tape'!$C$5:$C$13*'2. The tape'!$I$5:$I$13*(1+$AT$5)^($A38/4))&gt;0)*('2. The tape'!$C$5:$C$13*'2. The tape'!$D$5:$D$13*(1-'2. The tape'!$J$5:$J$13)^($A38/4)*(1+$AT$5)^($A38/4)*((1-'3. Assumptions'!$B$13)/($AT$6)-'2. The tape'!$H$5:$H$13/12-'3. Assumptions'!$B$16)-'2. The tape'!$C$5:$C$13*'2. The tape'!$I$5:$I$13*(1+$AT$5)^($A38/4)))</f>
        <v>133049228.504385</v>
      </c>
      <c r="AV38" s="33" t="n">
        <f aca="false">'2. The tape'!$C$17*(1+MIN(MAX($AV$5,'3. Assumptions'!$B$11),'3. Assumptions'!$B$10))^INT(($A38-1)/4)/4*(1-'3. Assumptions'!$B$13)</f>
        <v>3342714.81296168</v>
      </c>
      <c r="AW38" s="33" t="n">
        <f aca="false">(1-'3. Assumptions'!$B$15)*SUMPRODUCT((('2. The tape'!$C$5:$C$13*'2. The tape'!$D$5:$D$13*(1-'2. The tape'!$J$5:$J$13)^($A38/4)*(1+$AV$5)^($A38/4)*((1-'3. Assumptions'!$B$13)/($AV$6)-'2. The tape'!$H$5:$H$13/12-'3. Assumptions'!$B$16)-'2. The tape'!$C$5:$C$13*'2. The tape'!$I$5:$I$13*(1+$AV$5)^($A38/4))&gt;0)*('2. The tape'!$C$5:$C$13*'2. The tape'!$D$5:$D$13*(1-'2. The tape'!$J$5:$J$13)^($A38/4)*(1+$AV$5)^($A38/4)*((1-'3. Assumptions'!$B$13)/($AV$6)-'2. The tape'!$H$5:$H$13/12-'3. Assumptions'!$B$16)-'2. The tape'!$C$5:$C$13*'2. The tape'!$I$5:$I$13*(1+$AV$5)^($A38/4)))</f>
        <v>133049228.503784</v>
      </c>
      <c r="AX38" s="33" t="n">
        <f aca="false">'2. The tape'!$C$17*(1+MIN(MAX($AX$5,'3. Assumptions'!$B$11),'3. Assumptions'!$B$10))^INT(($A38-1)/4)/4*(1-'3. Assumptions'!$B$13)</f>
        <v>3342714.81296168</v>
      </c>
      <c r="AY38" s="33" t="n">
        <f aca="false">(1-'3. Assumptions'!$B$15)*SUMPRODUCT((('2. The tape'!$C$5:$C$13*'2. The tape'!$D$5:$D$13*(1-'2. The tape'!$J$5:$J$13)^($A38/4)*(1+$AX$5)^($A38/4)*((1-'3. Assumptions'!$B$13)/($AX$6)-'2. The tape'!$H$5:$H$13/12-'3. Assumptions'!$B$16)-'2. The tape'!$C$5:$C$13*'2. The tape'!$I$5:$I$13*(1+$AX$5)^($A38/4))&gt;0)*('2. The tape'!$C$5:$C$13*'2. The tape'!$D$5:$D$13*(1-'2. The tape'!$J$5:$J$13)^($A38/4)*(1+$AX$5)^($A38/4)*((1-'3. Assumptions'!$B$13)/($AX$6)-'2. The tape'!$H$5:$H$13/12-'3. Assumptions'!$B$16)-'2. The tape'!$C$5:$C$13*'2. The tape'!$I$5:$I$13*(1+$AX$5)^($A38/4)))</f>
        <v>133049228.503784</v>
      </c>
      <c r="AZ38" s="33" t="n">
        <f aca="false">'2. The tape'!$C$17*(1+MIN(MAX($AZ$5,'3. Assumptions'!$B$11),'3. Assumptions'!$B$10))^INT(($A38-1)/4)/4*(1-'3. Assumptions'!$B$13)</f>
        <v>3342714.81296168</v>
      </c>
      <c r="BA38" s="33" t="n">
        <f aca="false">(1-'3. Assumptions'!$B$15)*SUMPRODUCT((('2. The tape'!$C$5:$C$13*'2. The tape'!$D$5:$D$13*(1-'2. The tape'!$J$5:$J$13)^($A38/4)*(1+$AZ$5)^($A38/4)*((1-'3. Assumptions'!$B$13)/($AZ$6)-'2. The tape'!$H$5:$H$13/12-'3. Assumptions'!$B$16)-'2. The tape'!$C$5:$C$13*'2. The tape'!$I$5:$I$13*(1+$AZ$5)^($A38/4))&gt;0)*('2. The tape'!$C$5:$C$13*'2. The tape'!$D$5:$D$13*(1-'2. The tape'!$J$5:$J$13)^($A38/4)*(1+$AZ$5)^($A38/4)*((1-'3. Assumptions'!$B$13)/($AZ$6)-'2. The tape'!$H$5:$H$13/12-'3. Assumptions'!$B$16)-'2. The tape'!$C$5:$C$13*'2. The tape'!$I$5:$I$13*(1+$AZ$5)^($A38/4)))</f>
        <v>133049228.503784</v>
      </c>
    </row>
    <row r="39" customFormat="false" ht="15" hidden="false" customHeight="false" outlineLevel="0" collapsed="false">
      <c r="A39" s="20" t="n">
        <v>24</v>
      </c>
      <c r="B39" s="33" t="n">
        <f aca="false">'2. The tape'!$C$17*(1+MIN(MAX($B$5,'3. Assumptions'!$B$11),'3. Assumptions'!$B$10))^INT(($A39-1)/4)/4*(1-'3. Assumptions'!$B$13)</f>
        <v>3342714.81296168</v>
      </c>
      <c r="C39" s="33" t="n">
        <f aca="false">(1-'3. Assumptions'!$B$15)*SUMPRODUCT((('2. The tape'!$C$5:$C$13*'2. The tape'!$D$5:$D$13*(1-'2. The tape'!$J$5:$J$13)^($A39/4)*(1+$B$5)^($A39/4)*((1-'3. Assumptions'!$B$13)/($B$6)-'2. The tape'!$H$5:$H$13/12-'3. Assumptions'!$B$16)-'2. The tape'!$C$5:$C$13*'2. The tape'!$I$5:$I$13*(1+$B$5)^($A39/4))&gt;0)*('2. The tape'!$C$5:$C$13*'2. The tape'!$D$5:$D$13*(1-'2. The tape'!$J$5:$J$13)^($A39/4)*(1+$B$5)^($A39/4)*((1-'3. Assumptions'!$B$13)/($B$6)-'2. The tape'!$H$5:$H$13/12-'3. Assumptions'!$B$16)-'2. The tape'!$C$5:$C$13*'2. The tape'!$I$5:$I$13*(1+$B$5)^($A39/4)))</f>
        <v>79700925.1817852</v>
      </c>
      <c r="D39" s="33" t="n">
        <f aca="false">'2. The tape'!$C$17*(1+MIN(MAX($D$5,'3. Assumptions'!$B$11),'3. Assumptions'!$B$10))^INT(($A39-1)/4)/4*(1-'3. Assumptions'!$B$13)</f>
        <v>3475609.45851068</v>
      </c>
      <c r="E39" s="33" t="n">
        <f aca="false">(1-'3. Assumptions'!$B$15)*SUMPRODUCT((('2. The tape'!$C$5:$C$13*'2. The tape'!$D$5:$D$13*(1-'2. The tape'!$J$5:$J$13)^($A39/4)*(1+$D$5)^($A39/4)*((1-'3. Assumptions'!$B$13)/($D$6)-'2. The tape'!$H$5:$H$13/12-'3. Assumptions'!$B$16)-'2. The tape'!$C$5:$C$13*'2. The tape'!$I$5:$I$13*(1+$D$5)^($A39/4))&gt;0)*('2. The tape'!$C$5:$C$13*'2. The tape'!$D$5:$D$13*(1-'2. The tape'!$J$5:$J$13)^($A39/4)*(1+$D$5)^($A39/4)*((1-'3. Assumptions'!$B$13)/($D$6)-'2. The tape'!$H$5:$H$13/12-'3. Assumptions'!$B$16)-'2. The tape'!$C$5:$C$13*'2. The tape'!$I$5:$I$13*(1+$D$5)^($A39/4)))</f>
        <v>85980523.8415407</v>
      </c>
      <c r="F39" s="33" t="n">
        <f aca="false">'2. The tape'!$C$17*(1+MIN(MAX($F$5,'3. Assumptions'!$B$11),'3. Assumptions'!$B$10))^INT(($A39-1)/4)/4*(1-'3. Assumptions'!$B$13)</f>
        <v>3151024.03486687</v>
      </c>
      <c r="G39" s="33" t="n">
        <f aca="false">(1-'3. Assumptions'!$B$15)*SUMPRODUCT((('2. The tape'!$C$5:$C$13*'2. The tape'!$D$5:$D$13*(1-'2. The tape'!$J$5:$J$13)^($A39/4)*(1+$F$5)^($A39/4)*((1-'3. Assumptions'!$B$13)/($F$6)-'2. The tape'!$H$5:$H$13/12-'3. Assumptions'!$B$16)-'2. The tape'!$C$5:$C$13*'2. The tape'!$I$5:$I$13*(1+$F$5)^($A39/4))&gt;0)*('2. The tape'!$C$5:$C$13*'2. The tape'!$D$5:$D$13*(1-'2. The tape'!$J$5:$J$13)^($A39/4)*(1+$F$5)^($A39/4)*((1-'3. Assumptions'!$B$13)/($F$6)-'2. The tape'!$H$5:$H$13/12-'3. Assumptions'!$B$16)-'2. The tape'!$C$5:$C$13*'2. The tape'!$I$5:$I$13*(1+$F$5)^($A39/4)))</f>
        <v>74248251.4909564</v>
      </c>
      <c r="H39" s="33" t="n">
        <f aca="false">'2. The tape'!$C$17*(1+MIN(MAX($H$5,'3. Assumptions'!$B$11),'3. Assumptions'!$B$10))^INT(($A39-1)/4)/4*(1-'3. Assumptions'!$B$13)</f>
        <v>3475609.45851068</v>
      </c>
      <c r="I39" s="33" t="n">
        <f aca="false">(1-'3. Assumptions'!$B$15)*SUMPRODUCT((('2. The tape'!$C$5:$C$13*'2. The tape'!$D$5:$D$13*(1-'2. The tape'!$J$5:$J$13)^($A39/4)*(1+$H$5)^($A39/4)*((1-'3. Assumptions'!$B$13)/($H$6)-'2. The tape'!$H$5:$H$13/12-'3. Assumptions'!$B$16)-'2. The tape'!$C$5:$C$13*'2. The tape'!$I$5:$I$13*(1+$H$5)^($A39/4))&gt;0)*('2. The tape'!$C$5:$C$13*'2. The tape'!$D$5:$D$13*(1-'2. The tape'!$J$5:$J$13)^($A39/4)*(1+$H$5)^($A39/4)*((1-'3. Assumptions'!$B$13)/($H$6)-'2. The tape'!$H$5:$H$13/12-'3. Assumptions'!$B$16)-'2. The tape'!$C$5:$C$13*'2. The tape'!$I$5:$I$13*(1+$H$5)^($A39/4)))</f>
        <v>85980523.8415407</v>
      </c>
      <c r="J39" s="33" t="n">
        <f aca="false">'2. The tape'!$C$17*(1+MIN(MAX($J$5,'3. Assumptions'!$B$11),'3. Assumptions'!$B$10))^INT(($A39-1)/4)/4*(1-'3. Assumptions'!$B$13)</f>
        <v>3342714.81296168</v>
      </c>
      <c r="K39" s="33" t="n">
        <f aca="false">(1-'3. Assumptions'!$B$15)*SUMPRODUCT((('2. The tape'!$C$5:$C$13*'2. The tape'!$D$5:$D$13*(1-'2. The tape'!$J$5:$J$13)^($A39/4)*(1+$J$5)^($A39/4)*((1-'3. Assumptions'!$B$13)/($J$6)-'2. The tape'!$H$5:$H$13/12-'3. Assumptions'!$B$16)-'2. The tape'!$C$5:$C$13*'2. The tape'!$I$5:$I$13*(1+$J$5)^($A39/4))&gt;0)*('2. The tape'!$C$5:$C$13*'2. The tape'!$D$5:$D$13*(1-'2. The tape'!$J$5:$J$13)^($A39/4)*(1+$J$5)^($A39/4)*((1-'3. Assumptions'!$B$13)/($J$6)-'2. The tape'!$H$5:$H$13/12-'3. Assumptions'!$B$16)-'2. The tape'!$C$5:$C$13*'2. The tape'!$I$5:$I$13*(1+$J$5)^($A39/4)))</f>
        <v>65621713.6309364</v>
      </c>
      <c r="L39" s="33" t="n">
        <f aca="false">'2. The tape'!$C$17*(1+MIN(MAX($L$5,'3. Assumptions'!$B$11),'3. Assumptions'!$B$10))^INT(($A39-1)/4)/4*(1-'3. Assumptions'!$B$13)</f>
        <v>3475609.45851068</v>
      </c>
      <c r="M39" s="33" t="n">
        <f aca="false">(1-'3. Assumptions'!$B$15)*SUMPRODUCT((('2. The tape'!$C$5:$C$13*'2. The tape'!$D$5:$D$13*(1-'2. The tape'!$J$5:$J$13)^($A39/4)*(1+$L$5)^($A39/4)*((1-'3. Assumptions'!$B$13)/($L$6)-'2. The tape'!$H$5:$H$13/12-'3. Assumptions'!$B$16)-'2. The tape'!$C$5:$C$13*'2. The tape'!$I$5:$I$13*(1+$L$5)^($A39/4))&gt;0)*('2. The tape'!$C$5:$C$13*'2. The tape'!$D$5:$D$13*(1-'2. The tape'!$J$5:$J$13)^($A39/4)*(1+$L$5)^($A39/4)*((1-'3. Assumptions'!$B$13)/($L$6)-'2. The tape'!$H$5:$H$13/12-'3. Assumptions'!$B$16)-'2. The tape'!$C$5:$C$13*'2. The tape'!$I$5:$I$13*(1+$L$5)^($A39/4)))</f>
        <v>337612176.582712</v>
      </c>
      <c r="N39" s="33" t="n">
        <f aca="false">'2. The tape'!$C$17*(1+MIN(MAX($N$5,'3. Assumptions'!$B$11),'3. Assumptions'!$B$10))^INT(($A39-1)/4)/4*(1-'3. Assumptions'!$B$13)</f>
        <v>2998091.25</v>
      </c>
      <c r="O39" s="33" t="n">
        <f aca="false">(1-'3. Assumptions'!$B$15)*SUMPRODUCT((('2. The tape'!$C$5:$C$13*'2. The tape'!$D$5:$D$13*(1-'2. The tape'!$J$5:$J$13)^($A39/4)*(1+$N$5)^($A39/4)*((1-'3. Assumptions'!$B$13)/($N$6)-'2. The tape'!$H$5:$H$13/12-'3. Assumptions'!$B$16)-'2. The tape'!$C$5:$C$13*'2. The tape'!$I$5:$I$13*(1+$N$5)^($A39/4))&gt;0)*('2. The tape'!$C$5:$C$13*'2. The tape'!$D$5:$D$13*(1-'2. The tape'!$J$5:$J$13)^($A39/4)*(1+$N$5)^($A39/4)*((1-'3. Assumptions'!$B$13)/($N$6)-'2. The tape'!$H$5:$H$13/12-'3. Assumptions'!$B$16)-'2. The tape'!$C$5:$C$13*'2. The tape'!$I$5:$I$13*(1+$N$5)^($A39/4)))</f>
        <v>58262403.0941653</v>
      </c>
      <c r="P39" s="33" t="n">
        <f aca="false">'2. The tape'!$C$17*(1+MIN(MAX($P$5,'3. Assumptions'!$B$11),'3. Assumptions'!$B$10))^INT(($A39-1)/4)/4*(1-'3. Assumptions'!$B$13)</f>
        <v>2998091.25</v>
      </c>
      <c r="Q39" s="33" t="n">
        <f aca="false">(1-'3. Assumptions'!$B$15)*SUMPRODUCT((('2. The tape'!$C$5:$C$13*'2. The tape'!$D$5:$D$13*(1-'2. The tape'!$J$5:$J$13)^($A39/4)*(1+$P$5)^($A39/4)*((1-'3. Assumptions'!$B$13)/($P$6)-'2. The tape'!$H$5:$H$13/12-'3. Assumptions'!$B$16)-'2. The tape'!$C$5:$C$13*'2. The tape'!$I$5:$I$13*(1+$P$5)^($A39/4))&gt;0)*('2. The tape'!$C$5:$C$13*'2. The tape'!$D$5:$D$13*(1-'2. The tape'!$J$5:$J$13)^($A39/4)*(1+$P$5)^($A39/4)*((1-'3. Assumptions'!$B$13)/($P$6)-'2. The tape'!$H$5:$H$13/12-'3. Assumptions'!$B$16)-'2. The tape'!$C$5:$C$13*'2. The tape'!$I$5:$I$13*(1+$P$5)^($A39/4)))</f>
        <v>61960432.7232974</v>
      </c>
      <c r="R39" s="33" t="n">
        <f aca="false">'2. The tape'!$C$17*(1+MIN(MAX($R$5,'3. Assumptions'!$B$11),'3. Assumptions'!$B$10))^INT(($A39-1)/4)/4*(1-'3. Assumptions'!$B$13)</f>
        <v>2998091.25</v>
      </c>
      <c r="S39" s="33" t="n">
        <f aca="false">(1-'3. Assumptions'!$B$15)*SUMPRODUCT((('2. The tape'!$C$5:$C$13*'2. The tape'!$D$5:$D$13*(1-'2. The tape'!$J$5:$J$13)^($A39/4)*(1+$R$5)^($A39/4)*((1-'3. Assumptions'!$B$13)/($R$6)-'2. The tape'!$H$5:$H$13/12-'3. Assumptions'!$B$16)-'2. The tape'!$C$5:$C$13*'2. The tape'!$I$5:$I$13*(1+$R$5)^($A39/4))&gt;0)*('2. The tape'!$C$5:$C$13*'2. The tape'!$D$5:$D$13*(1-'2. The tape'!$J$5:$J$13)^($A39/4)*(1+$R$5)^($A39/4)*((1-'3. Assumptions'!$B$13)/($R$6)-'2. The tape'!$H$5:$H$13/12-'3. Assumptions'!$B$16)-'2. The tape'!$C$5:$C$13*'2. The tape'!$I$5:$I$13*(1+$R$5)^($A39/4)))</f>
        <v>59699209.7497389</v>
      </c>
      <c r="T39" s="33" t="n">
        <f aca="false">'2. The tape'!$C$17*(1+MIN(MAX($T$5,'3. Assumptions'!$B$11),'3. Assumptions'!$B$10))^INT(($A39-1)/4)/4*(1-'3. Assumptions'!$B$13)</f>
        <v>2998091.25</v>
      </c>
      <c r="U39" s="33" t="n">
        <f aca="false">(1-'3. Assumptions'!$B$15)*SUMPRODUCT((('2. The tape'!$C$5:$C$13*'2. The tape'!$D$5:$D$13*(1-'2. The tape'!$J$5:$J$13)^($A39/4)*(1+$T$5)^($A39/4)*((1-'3. Assumptions'!$B$13)/($T$6)-'2. The tape'!$H$5:$H$13/12-'3. Assumptions'!$B$16)-'2. The tape'!$C$5:$C$13*'2. The tape'!$I$5:$I$13*(1+$T$5)^($A39/4))&gt;0)*('2. The tape'!$C$5:$C$13*'2. The tape'!$D$5:$D$13*(1-'2. The tape'!$J$5:$J$13)^($A39/4)*(1+$T$5)^($A39/4)*((1-'3. Assumptions'!$B$13)/($T$6)-'2. The tape'!$H$5:$H$13/12-'3. Assumptions'!$B$16)-'2. The tape'!$C$5:$C$13*'2. The tape'!$I$5:$I$13*(1+$T$5)^($A39/4)))</f>
        <v>59638847.9458764</v>
      </c>
      <c r="V39" s="33" t="n">
        <f aca="false">'2. The tape'!$C$17*(1+MIN(MAX($V$5,'3. Assumptions'!$B$11),'3. Assumptions'!$B$10))^INT(($A39-1)/4)/4*(1-'3. Assumptions'!$B$13)</f>
        <v>2998091.25</v>
      </c>
      <c r="W39" s="33" t="n">
        <f aca="false">(1-'3. Assumptions'!$B$15)*SUMPRODUCT((('2. The tape'!$C$5:$C$13*'2. The tape'!$D$5:$D$13*(1-'2. The tape'!$J$5:$J$13)^($A39/4)*(1+$V$5)^($A39/4)*((1-'3. Assumptions'!$B$13)/($V$6)-'2. The tape'!$H$5:$H$13/12-'3. Assumptions'!$B$16)-'2. The tape'!$C$5:$C$13*'2. The tape'!$I$5:$I$13*(1+$V$5)^($A39/4))&gt;0)*('2. The tape'!$C$5:$C$13*'2. The tape'!$D$5:$D$13*(1-'2. The tape'!$J$5:$J$13)^($A39/4)*(1+$V$5)^($A39/4)*((1-'3. Assumptions'!$B$13)/($V$6)-'2. The tape'!$H$5:$H$13/12-'3. Assumptions'!$B$16)-'2. The tape'!$C$5:$C$13*'2. The tape'!$I$5:$I$13*(1+$V$5)^($A39/4)))</f>
        <v>59641272.2440762</v>
      </c>
      <c r="X39" s="33" t="n">
        <f aca="false">'2. The tape'!$C$17*(1+MIN(MAX($X$5,'3. Assumptions'!$B$11),'3. Assumptions'!$B$10))^INT(($A39-1)/4)/4*(1-'3. Assumptions'!$B$13)</f>
        <v>2998091.25</v>
      </c>
      <c r="Y39" s="33" t="n">
        <f aca="false">(1-'3. Assumptions'!$B$15)*SUMPRODUCT((('2. The tape'!$C$5:$C$13*'2. The tape'!$D$5:$D$13*(1-'2. The tape'!$J$5:$J$13)^($A39/4)*(1+$X$5)^($A39/4)*((1-'3. Assumptions'!$B$13)/($X$6)-'2. The tape'!$H$5:$H$13/12-'3. Assumptions'!$B$16)-'2. The tape'!$C$5:$C$13*'2. The tape'!$I$5:$I$13*(1+$X$5)^($A39/4))&gt;0)*('2. The tape'!$C$5:$C$13*'2. The tape'!$D$5:$D$13*(1-'2. The tape'!$J$5:$J$13)^($A39/4)*(1+$X$5)^($A39/4)*((1-'3. Assumptions'!$B$13)/($X$6)-'2. The tape'!$H$5:$H$13/12-'3. Assumptions'!$B$16)-'2. The tape'!$C$5:$C$13*'2. The tape'!$I$5:$I$13*(1+$X$5)^($A39/4)))</f>
        <v>59641269.6947327</v>
      </c>
      <c r="Z39" s="33" t="n">
        <f aca="false">'2. The tape'!$C$17*(1+MIN(MAX($Z$5,'3. Assumptions'!$B$11),'3. Assumptions'!$B$10))^INT(($A39-1)/4)/4*(1-'3. Assumptions'!$B$13)</f>
        <v>2998091.25</v>
      </c>
      <c r="AA39" s="33" t="n">
        <f aca="false">(1-'3. Assumptions'!$B$15)*SUMPRODUCT((('2. The tape'!$C$5:$C$13*'2. The tape'!$D$5:$D$13*(1-'2. The tape'!$J$5:$J$13)^($A39/4)*(1+$Z$5)^($A39/4)*((1-'3. Assumptions'!$B$13)/($Z$6)-'2. The tape'!$H$5:$H$13/12-'3. Assumptions'!$B$16)-'2. The tape'!$C$5:$C$13*'2. The tape'!$I$5:$I$13*(1+$Z$5)^($A39/4))&gt;0)*('2. The tape'!$C$5:$C$13*'2. The tape'!$D$5:$D$13*(1-'2. The tape'!$J$5:$J$13)^($A39/4)*(1+$Z$5)^($A39/4)*((1-'3. Assumptions'!$B$13)/($Z$6)-'2. The tape'!$H$5:$H$13/12-'3. Assumptions'!$B$16)-'2. The tape'!$C$5:$C$13*'2. The tape'!$I$5:$I$13*(1+$Z$5)^($A39/4)))</f>
        <v>59641269.6946205</v>
      </c>
      <c r="AB39" s="33" t="n">
        <f aca="false">'2. The tape'!$C$17*(1+MIN(MAX($AB$5,'3. Assumptions'!$B$11),'3. Assumptions'!$B$10))^INT(($A39-1)/4)/4*(1-'3. Assumptions'!$B$13)</f>
        <v>2998091.25</v>
      </c>
      <c r="AC39" s="33" t="n">
        <f aca="false">(1-'3. Assumptions'!$B$15)*SUMPRODUCT((('2. The tape'!$C$5:$C$13*'2. The tape'!$D$5:$D$13*(1-'2. The tape'!$J$5:$J$13)^($A39/4)*(1+$AB$5)^($A39/4)*((1-'3. Assumptions'!$B$13)/($AB$6)-'2. The tape'!$H$5:$H$13/12-'3. Assumptions'!$B$16)-'2. The tape'!$C$5:$C$13*'2. The tape'!$I$5:$I$13*(1+$AB$5)^($A39/4))&gt;0)*('2. The tape'!$C$5:$C$13*'2. The tape'!$D$5:$D$13*(1-'2. The tape'!$J$5:$J$13)^($A39/4)*(1+$AB$5)^($A39/4)*((1-'3. Assumptions'!$B$13)/($AB$6)-'2. The tape'!$H$5:$H$13/12-'3. Assumptions'!$B$16)-'2. The tape'!$C$5:$C$13*'2. The tape'!$I$5:$I$13*(1+$AB$5)^($A39/4)))</f>
        <v>59641269.6946205</v>
      </c>
      <c r="AD39" s="33" t="n">
        <f aca="false">'2. The tape'!$C$17*(1+MIN(MAX($AD$5,'3. Assumptions'!$B$11),'3. Assumptions'!$B$10))^INT(($A39-1)/4)/4*(1-'3. Assumptions'!$B$13)</f>
        <v>2998091.25</v>
      </c>
      <c r="AE39" s="33" t="n">
        <f aca="false">(1-'3. Assumptions'!$B$15)*SUMPRODUCT((('2. The tape'!$C$5:$C$13*'2. The tape'!$D$5:$D$13*(1-'2. The tape'!$J$5:$J$13)^($A39/4)*(1+$AD$5)^($A39/4)*((1-'3. Assumptions'!$B$13)/($AD$6)-'2. The tape'!$H$5:$H$13/12-'3. Assumptions'!$B$16)-'2. The tape'!$C$5:$C$13*'2. The tape'!$I$5:$I$13*(1+$AD$5)^($A39/4))&gt;0)*('2. The tape'!$C$5:$C$13*'2. The tape'!$D$5:$D$13*(1-'2. The tape'!$J$5:$J$13)^($A39/4)*(1+$AD$5)^($A39/4)*((1-'3. Assumptions'!$B$13)/($AD$6)-'2. The tape'!$H$5:$H$13/12-'3. Assumptions'!$B$16)-'2. The tape'!$C$5:$C$13*'2. The tape'!$I$5:$I$13*(1+$AD$5)^($A39/4)))</f>
        <v>59641269.6946205</v>
      </c>
      <c r="AF39" s="33" t="n">
        <f aca="false">'2. The tape'!$C$17*(1+MIN(MAX($AF$5,'3. Assumptions'!$B$11),'3. Assumptions'!$B$10))^INT(($A39-1)/4)/4*(1-'3. Assumptions'!$B$13)</f>
        <v>2998091.25</v>
      </c>
      <c r="AG39" s="33" t="n">
        <f aca="false">(1-'3. Assumptions'!$B$15)*SUMPRODUCT((('2. The tape'!$C$5:$C$13*'2. The tape'!$D$5:$D$13*(1-'2. The tape'!$J$5:$J$13)^($A39/4)*(1+$AF$5)^($A39/4)*((1-'3. Assumptions'!$B$13)/($AF$6)-'2. The tape'!$H$5:$H$13/12-'3. Assumptions'!$B$16)-'2. The tape'!$C$5:$C$13*'2. The tape'!$I$5:$I$13*(1+$AF$5)^($A39/4))&gt;0)*('2. The tape'!$C$5:$C$13*'2. The tape'!$D$5:$D$13*(1-'2. The tape'!$J$5:$J$13)^($A39/4)*(1+$AF$5)^($A39/4)*((1-'3. Assumptions'!$B$13)/($AF$6)-'2. The tape'!$H$5:$H$13/12-'3. Assumptions'!$B$16)-'2. The tape'!$C$5:$C$13*'2. The tape'!$I$5:$I$13*(1+$AF$5)^($A39/4)))</f>
        <v>59641269.6946205</v>
      </c>
      <c r="AH39" s="33" t="n">
        <f aca="false">'2. The tape'!$C$17*(1+MIN(MAX($AH$5,'3. Assumptions'!$B$11),'3. Assumptions'!$B$10))^INT(($A39-1)/4)/4*(1-'3. Assumptions'!$B$13)</f>
        <v>3342714.81296168</v>
      </c>
      <c r="AI39" s="33" t="n">
        <f aca="false">(1-'3. Assumptions'!$B$15)*SUMPRODUCT((('2. The tape'!$C$5:$C$13*'2. The tape'!$D$5:$D$13*(1-'2. The tape'!$J$5:$J$13)^($A39/4)*(1+$AH$5)^($A39/4)*((1-'3. Assumptions'!$B$13)/($AH$6)-'2. The tape'!$H$5:$H$13/12-'3. Assumptions'!$B$16)-'2. The tape'!$C$5:$C$13*'2. The tape'!$I$5:$I$13*(1+$AH$5)^($A39/4))&gt;0)*('2. The tape'!$C$5:$C$13*'2. The tape'!$D$5:$D$13*(1-'2. The tape'!$J$5:$J$13)^($A39/4)*(1+$AH$5)^($A39/4)*((1-'3. Assumptions'!$B$13)/($AH$6)-'2. The tape'!$H$5:$H$13/12-'3. Assumptions'!$B$16)-'2. The tape'!$C$5:$C$13*'2. The tape'!$I$5:$I$13*(1+$AH$5)^($A39/4)))</f>
        <v>156573420.24942</v>
      </c>
      <c r="AJ39" s="33" t="n">
        <f aca="false">'2. The tape'!$C$17*(1+MIN(MAX($AJ$5,'3. Assumptions'!$B$11),'3. Assumptions'!$B$10))^INT(($A39-1)/4)/4*(1-'3. Assumptions'!$B$13)</f>
        <v>3342714.81296168</v>
      </c>
      <c r="AK39" s="33" t="n">
        <f aca="false">(1-'3. Assumptions'!$B$15)*SUMPRODUCT((('2. The tape'!$C$5:$C$13*'2. The tape'!$D$5:$D$13*(1-'2. The tape'!$J$5:$J$13)^($A39/4)*(1+$AJ$5)^($A39/4)*((1-'3. Assumptions'!$B$13)/($AJ$6)-'2. The tape'!$H$5:$H$13/12-'3. Assumptions'!$B$16)-'2. The tape'!$C$5:$C$13*'2. The tape'!$I$5:$I$13*(1+$AJ$5)^($A39/4))&gt;0)*('2. The tape'!$C$5:$C$13*'2. The tape'!$D$5:$D$13*(1-'2. The tape'!$J$5:$J$13)^($A39/4)*(1+$AJ$5)^($A39/4)*((1-'3. Assumptions'!$B$13)/($AJ$6)-'2. The tape'!$H$5:$H$13/12-'3. Assumptions'!$B$16)-'2. The tape'!$C$5:$C$13*'2. The tape'!$I$5:$I$13*(1+$AJ$5)^($A39/4)))</f>
        <v>113491032.903822</v>
      </c>
      <c r="AL39" s="33" t="n">
        <f aca="false">'2. The tape'!$C$17*(1+MIN(MAX($AL$5,'3. Assumptions'!$B$11),'3. Assumptions'!$B$10))^INT(($A39-1)/4)/4*(1-'3. Assumptions'!$B$13)</f>
        <v>3342714.81296168</v>
      </c>
      <c r="AM39" s="33" t="n">
        <f aca="false">(1-'3. Assumptions'!$B$15)*SUMPRODUCT((('2. The tape'!$C$5:$C$13*'2. The tape'!$D$5:$D$13*(1-'2. The tape'!$J$5:$J$13)^($A39/4)*(1+$AL$5)^($A39/4)*((1-'3. Assumptions'!$B$13)/($AL$6)-'2. The tape'!$H$5:$H$13/12-'3. Assumptions'!$B$16)-'2. The tape'!$C$5:$C$13*'2. The tape'!$I$5:$I$13*(1+$AL$5)^($A39/4))&gt;0)*('2. The tape'!$C$5:$C$13*'2. The tape'!$D$5:$D$13*(1-'2. The tape'!$J$5:$J$13)^($A39/4)*(1+$AL$5)^($A39/4)*((1-'3. Assumptions'!$B$13)/($AL$6)-'2. The tape'!$H$5:$H$13/12-'3. Assumptions'!$B$16)-'2. The tape'!$C$5:$C$13*'2. The tape'!$I$5:$I$13*(1+$AL$5)^($A39/4)))</f>
        <v>130200254.644054</v>
      </c>
      <c r="AN39" s="33" t="n">
        <f aca="false">'2. The tape'!$C$17*(1+MIN(MAX($AN$5,'3. Assumptions'!$B$11),'3. Assumptions'!$B$10))^INT(($A39-1)/4)/4*(1-'3. Assumptions'!$B$13)</f>
        <v>3342714.81296168</v>
      </c>
      <c r="AO39" s="33" t="n">
        <f aca="false">(1-'3. Assumptions'!$B$15)*SUMPRODUCT((('2. The tape'!$C$5:$C$13*'2. The tape'!$D$5:$D$13*(1-'2. The tape'!$J$5:$J$13)^($A39/4)*(1+$AN$5)^($A39/4)*((1-'3. Assumptions'!$B$13)/($AN$6)-'2. The tape'!$H$5:$H$13/12-'3. Assumptions'!$B$16)-'2. The tape'!$C$5:$C$13*'2. The tape'!$I$5:$I$13*(1+$AN$5)^($A39/4))&gt;0)*('2. The tape'!$C$5:$C$13*'2. The tape'!$D$5:$D$13*(1-'2. The tape'!$J$5:$J$13)^($A39/4)*(1+$AN$5)^($A39/4)*((1-'3. Assumptions'!$B$13)/($AN$6)-'2. The tape'!$H$5:$H$13/12-'3. Assumptions'!$B$16)-'2. The tape'!$C$5:$C$13*'2. The tape'!$I$5:$I$13*(1+$AN$5)^($A39/4)))</f>
        <v>133328734.079978</v>
      </c>
      <c r="AP39" s="33" t="n">
        <f aca="false">'2. The tape'!$C$17*(1+MIN(MAX($AP$5,'3. Assumptions'!$B$11),'3. Assumptions'!$B$10))^INT(($A39-1)/4)/4*(1-'3. Assumptions'!$B$13)</f>
        <v>3342714.81296168</v>
      </c>
      <c r="AQ39" s="33" t="n">
        <f aca="false">(1-'3. Assumptions'!$B$15)*SUMPRODUCT((('2. The tape'!$C$5:$C$13*'2. The tape'!$D$5:$D$13*(1-'2. The tape'!$J$5:$J$13)^($A39/4)*(1+$AP$5)^($A39/4)*((1-'3. Assumptions'!$B$13)/($AP$6)-'2. The tape'!$H$5:$H$13/12-'3. Assumptions'!$B$16)-'2. The tape'!$C$5:$C$13*'2. The tape'!$I$5:$I$13*(1+$AP$5)^($A39/4))&gt;0)*('2. The tape'!$C$5:$C$13*'2. The tape'!$D$5:$D$13*(1-'2. The tape'!$J$5:$J$13)^($A39/4)*(1+$AP$5)^($A39/4)*((1-'3. Assumptions'!$B$13)/($AP$6)-'2. The tape'!$H$5:$H$13/12-'3. Assumptions'!$B$16)-'2. The tape'!$C$5:$C$13*'2. The tape'!$I$5:$I$13*(1+$AP$5)^($A39/4)))</f>
        <v>132942529.713371</v>
      </c>
      <c r="AR39" s="33" t="n">
        <f aca="false">'2. The tape'!$C$17*(1+MIN(MAX($AR$5,'3. Assumptions'!$B$11),'3. Assumptions'!$B$10))^INT(($A39-1)/4)/4*(1-'3. Assumptions'!$B$13)</f>
        <v>3342714.81296168</v>
      </c>
      <c r="AS39" s="33" t="n">
        <f aca="false">(1-'3. Assumptions'!$B$15)*SUMPRODUCT((('2. The tape'!$C$5:$C$13*'2. The tape'!$D$5:$D$13*(1-'2. The tape'!$J$5:$J$13)^($A39/4)*(1+$AR$5)^($A39/4)*((1-'3. Assumptions'!$B$13)/($AR$6)-'2. The tape'!$H$5:$H$13/12-'3. Assumptions'!$B$16)-'2. The tape'!$C$5:$C$13*'2. The tape'!$I$5:$I$13*(1+$AR$5)^($A39/4))&gt;0)*('2. The tape'!$C$5:$C$13*'2. The tape'!$D$5:$D$13*(1-'2. The tape'!$J$5:$J$13)^($A39/4)*(1+$AR$5)^($A39/4)*((1-'3. Assumptions'!$B$13)/($AR$6)-'2. The tape'!$H$5:$H$13/12-'3. Assumptions'!$B$16)-'2. The tape'!$C$5:$C$13*'2. The tape'!$I$5:$I$13*(1+$AR$5)^($A39/4)))</f>
        <v>132949009.669463</v>
      </c>
      <c r="AT39" s="33" t="n">
        <f aca="false">'2. The tape'!$C$17*(1+MIN(MAX($AT$5,'3. Assumptions'!$B$11),'3. Assumptions'!$B$10))^INT(($A39-1)/4)/4*(1-'3. Assumptions'!$B$13)</f>
        <v>3342714.81296168</v>
      </c>
      <c r="AU39" s="33" t="n">
        <f aca="false">(1-'3. Assumptions'!$B$15)*SUMPRODUCT((('2. The tape'!$C$5:$C$13*'2. The tape'!$D$5:$D$13*(1-'2. The tape'!$J$5:$J$13)^($A39/4)*(1+$AT$5)^($A39/4)*((1-'3. Assumptions'!$B$13)/($AT$6)-'2. The tape'!$H$5:$H$13/12-'3. Assumptions'!$B$16)-'2. The tape'!$C$5:$C$13*'2. The tape'!$I$5:$I$13*(1+$AT$5)^($A39/4))&gt;0)*('2. The tape'!$C$5:$C$13*'2. The tape'!$D$5:$D$13*(1-'2. The tape'!$J$5:$J$13)^($A39/4)*(1+$AT$5)^($A39/4)*((1-'3. Assumptions'!$B$13)/($AT$6)-'2. The tape'!$H$5:$H$13/12-'3. Assumptions'!$B$16)-'2. The tape'!$C$5:$C$13*'2. The tape'!$I$5:$I$13*(1+$AT$5)^($A39/4)))</f>
        <v>132949024.759651</v>
      </c>
      <c r="AV39" s="33" t="n">
        <f aca="false">'2. The tape'!$C$17*(1+MIN(MAX($AV$5,'3. Assumptions'!$B$11),'3. Assumptions'!$B$10))^INT(($A39-1)/4)/4*(1-'3. Assumptions'!$B$13)</f>
        <v>3342714.81296168</v>
      </c>
      <c r="AW39" s="33" t="n">
        <f aca="false">(1-'3. Assumptions'!$B$15)*SUMPRODUCT((('2. The tape'!$C$5:$C$13*'2. The tape'!$D$5:$D$13*(1-'2. The tape'!$J$5:$J$13)^($A39/4)*(1+$AV$5)^($A39/4)*((1-'3. Assumptions'!$B$13)/($AV$6)-'2. The tape'!$H$5:$H$13/12-'3. Assumptions'!$B$16)-'2. The tape'!$C$5:$C$13*'2. The tape'!$I$5:$I$13*(1+$AV$5)^($A39/4))&gt;0)*('2. The tape'!$C$5:$C$13*'2. The tape'!$D$5:$D$13*(1-'2. The tape'!$J$5:$J$13)^($A39/4)*(1+$AV$5)^($A39/4)*((1-'3. Assumptions'!$B$13)/($AV$6)-'2. The tape'!$H$5:$H$13/12-'3. Assumptions'!$B$16)-'2. The tape'!$C$5:$C$13*'2. The tape'!$I$5:$I$13*(1+$AV$5)^($A39/4)))</f>
        <v>132949024.75905</v>
      </c>
      <c r="AX39" s="33" t="n">
        <f aca="false">'2. The tape'!$C$17*(1+MIN(MAX($AX$5,'3. Assumptions'!$B$11),'3. Assumptions'!$B$10))^INT(($A39-1)/4)/4*(1-'3. Assumptions'!$B$13)</f>
        <v>3342714.81296168</v>
      </c>
      <c r="AY39" s="33" t="n">
        <f aca="false">(1-'3. Assumptions'!$B$15)*SUMPRODUCT((('2. The tape'!$C$5:$C$13*'2. The tape'!$D$5:$D$13*(1-'2. The tape'!$J$5:$J$13)^($A39/4)*(1+$AX$5)^($A39/4)*((1-'3. Assumptions'!$B$13)/($AX$6)-'2. The tape'!$H$5:$H$13/12-'3. Assumptions'!$B$16)-'2. The tape'!$C$5:$C$13*'2. The tape'!$I$5:$I$13*(1+$AX$5)^($A39/4))&gt;0)*('2. The tape'!$C$5:$C$13*'2. The tape'!$D$5:$D$13*(1-'2. The tape'!$J$5:$J$13)^($A39/4)*(1+$AX$5)^($A39/4)*((1-'3. Assumptions'!$B$13)/($AX$6)-'2. The tape'!$H$5:$H$13/12-'3. Assumptions'!$B$16)-'2. The tape'!$C$5:$C$13*'2. The tape'!$I$5:$I$13*(1+$AX$5)^($A39/4)))</f>
        <v>132949024.75905</v>
      </c>
      <c r="AZ39" s="33" t="n">
        <f aca="false">'2. The tape'!$C$17*(1+MIN(MAX($AZ$5,'3. Assumptions'!$B$11),'3. Assumptions'!$B$10))^INT(($A39-1)/4)/4*(1-'3. Assumptions'!$B$13)</f>
        <v>3342714.81296168</v>
      </c>
      <c r="BA39" s="33" t="n">
        <f aca="false">(1-'3. Assumptions'!$B$15)*SUMPRODUCT((('2. The tape'!$C$5:$C$13*'2. The tape'!$D$5:$D$13*(1-'2. The tape'!$J$5:$J$13)^($A39/4)*(1+$AZ$5)^($A39/4)*((1-'3. Assumptions'!$B$13)/($AZ$6)-'2. The tape'!$H$5:$H$13/12-'3. Assumptions'!$B$16)-'2. The tape'!$C$5:$C$13*'2. The tape'!$I$5:$I$13*(1+$AZ$5)^($A39/4))&gt;0)*('2. The tape'!$C$5:$C$13*'2. The tape'!$D$5:$D$13*(1-'2. The tape'!$J$5:$J$13)^($A39/4)*(1+$AZ$5)^($A39/4)*((1-'3. Assumptions'!$B$13)/($AZ$6)-'2. The tape'!$H$5:$H$13/12-'3. Assumptions'!$B$16)-'2. The tape'!$C$5:$C$13*'2. The tape'!$I$5:$I$13*(1+$AZ$5)^($A39/4)))</f>
        <v>132949024.75905</v>
      </c>
    </row>
    <row r="40" customFormat="false" ht="15" hidden="false" customHeight="false" outlineLevel="0" collapsed="false">
      <c r="A40" s="20" t="n">
        <v>25</v>
      </c>
      <c r="B40" s="33" t="n">
        <f aca="false">'2. The tape'!$C$17*(1+MIN(MAX($B$5,'3. Assumptions'!$B$11),'3. Assumptions'!$B$10))^INT(($A40-1)/4)/4*(1-'3. Assumptions'!$B$13)</f>
        <v>3416254.53884684</v>
      </c>
      <c r="C40" s="33" t="n">
        <f aca="false">(1-'3. Assumptions'!$B$15)*SUMPRODUCT((('2. The tape'!$C$5:$C$13*'2. The tape'!$D$5:$D$13*(1-'2. The tape'!$J$5:$J$13)^($A40/4)*(1+$B$5)^($A40/4)*((1-'3. Assumptions'!$B$13)/($B$6)-'2. The tape'!$H$5:$H$13/12-'3. Assumptions'!$B$16)-'2. The tape'!$C$5:$C$13*'2. The tape'!$I$5:$I$13*(1+$B$5)^($A40/4))&gt;0)*('2. The tape'!$C$5:$C$13*'2. The tape'!$D$5:$D$13*(1-'2. The tape'!$J$5:$J$13)^($A40/4)*(1+$B$5)^($A40/4)*((1-'3. Assumptions'!$B$13)/($B$6)-'2. The tape'!$H$5:$H$13/12-'3. Assumptions'!$B$16)-'2. The tape'!$C$5:$C$13*'2. The tape'!$I$5:$I$13*(1+$B$5)^($A40/4)))</f>
        <v>79606516.1679756</v>
      </c>
      <c r="D40" s="33" t="n">
        <f aca="false">'2. The tape'!$C$17*(1+MIN(MAX($D$5,'3. Assumptions'!$B$11),'3. Assumptions'!$B$10))^INT(($A40-1)/4)/4*(1-'3. Assumptions'!$B$13)</f>
        <v>3579877.742266</v>
      </c>
      <c r="E40" s="33" t="n">
        <f aca="false">(1-'3. Assumptions'!$B$15)*SUMPRODUCT((('2. The tape'!$C$5:$C$13*'2. The tape'!$D$5:$D$13*(1-'2. The tape'!$J$5:$J$13)^($A40/4)*(1+$D$5)^($A40/4)*((1-'3. Assumptions'!$B$13)/($D$6)-'2. The tape'!$H$5:$H$13/12-'3. Assumptions'!$B$16)-'2. The tape'!$C$5:$C$13*'2. The tape'!$I$5:$I$13*(1+$D$5)^($A40/4))&gt;0)*('2. The tape'!$C$5:$C$13*'2. The tape'!$D$5:$D$13*(1-'2. The tape'!$J$5:$J$13)^($A40/4)*(1+$D$5)^($A40/4)*((1-'3. Assumptions'!$B$13)/($D$6)-'2. The tape'!$H$5:$H$13/12-'3. Assumptions'!$B$16)-'2. The tape'!$C$5:$C$13*'2. The tape'!$I$5:$I$13*(1+$D$5)^($A40/4)))</f>
        <v>86150480.8287463</v>
      </c>
      <c r="F40" s="33" t="n">
        <f aca="false">'2. The tape'!$C$17*(1+MIN(MAX($F$5,'3. Assumptions'!$B$11),'3. Assumptions'!$B$10))^INT(($A40-1)/4)/4*(1-'3. Assumptions'!$B$13)</f>
        <v>3182534.27521554</v>
      </c>
      <c r="G40" s="33" t="n">
        <f aca="false">(1-'3. Assumptions'!$B$15)*SUMPRODUCT((('2. The tape'!$C$5:$C$13*'2. The tape'!$D$5:$D$13*(1-'2. The tape'!$J$5:$J$13)^($A40/4)*(1+$F$5)^($A40/4)*((1-'3. Assumptions'!$B$13)/($F$6)-'2. The tape'!$H$5:$H$13/12-'3. Assumptions'!$B$16)-'2. The tape'!$C$5:$C$13*'2. The tape'!$I$5:$I$13*(1+$F$5)^($A40/4))&gt;0)*('2. The tape'!$C$5:$C$13*'2. The tape'!$D$5:$D$13*(1-'2. The tape'!$J$5:$J$13)^($A40/4)*(1+$F$5)^($A40/4)*((1-'3. Assumptions'!$B$13)/($F$6)-'2. The tape'!$H$5:$H$13/12-'3. Assumptions'!$B$16)-'2. The tape'!$C$5:$C$13*'2. The tape'!$I$5:$I$13*(1+$F$5)^($A40/4)))</f>
        <v>73941644.5618944</v>
      </c>
      <c r="H40" s="33" t="n">
        <f aca="false">'2. The tape'!$C$17*(1+MIN(MAX($H$5,'3. Assumptions'!$B$11),'3. Assumptions'!$B$10))^INT(($A40-1)/4)/4*(1-'3. Assumptions'!$B$13)</f>
        <v>3579877.742266</v>
      </c>
      <c r="I40" s="33" t="n">
        <f aca="false">(1-'3. Assumptions'!$B$15)*SUMPRODUCT((('2. The tape'!$C$5:$C$13*'2. The tape'!$D$5:$D$13*(1-'2. The tape'!$J$5:$J$13)^($A40/4)*(1+$H$5)^($A40/4)*((1-'3. Assumptions'!$B$13)/($H$6)-'2. The tape'!$H$5:$H$13/12-'3. Assumptions'!$B$16)-'2. The tape'!$C$5:$C$13*'2. The tape'!$I$5:$I$13*(1+$H$5)^($A40/4))&gt;0)*('2. The tape'!$C$5:$C$13*'2. The tape'!$D$5:$D$13*(1-'2. The tape'!$J$5:$J$13)^($A40/4)*(1+$H$5)^($A40/4)*((1-'3. Assumptions'!$B$13)/($H$6)-'2. The tape'!$H$5:$H$13/12-'3. Assumptions'!$B$16)-'2. The tape'!$C$5:$C$13*'2. The tape'!$I$5:$I$13*(1+$H$5)^($A40/4)))</f>
        <v>86150480.8287463</v>
      </c>
      <c r="J40" s="33" t="n">
        <f aca="false">'2. The tape'!$C$17*(1+MIN(MAX($J$5,'3. Assumptions'!$B$11),'3. Assumptions'!$B$10))^INT(($A40-1)/4)/4*(1-'3. Assumptions'!$B$13)</f>
        <v>3416254.53884684</v>
      </c>
      <c r="K40" s="33" t="n">
        <f aca="false">(1-'3. Assumptions'!$B$15)*SUMPRODUCT((('2. The tape'!$C$5:$C$13*'2. The tape'!$D$5:$D$13*(1-'2. The tape'!$J$5:$J$13)^($A40/4)*(1+$J$5)^($A40/4)*((1-'3. Assumptions'!$B$13)/($J$6)-'2. The tape'!$H$5:$H$13/12-'3. Assumptions'!$B$16)-'2. The tape'!$C$5:$C$13*'2. The tape'!$I$5:$I$13*(1+$J$5)^($A40/4))&gt;0)*('2. The tape'!$C$5:$C$13*'2. The tape'!$D$5:$D$13*(1-'2. The tape'!$J$5:$J$13)^($A40/4)*(1+$J$5)^($A40/4)*((1-'3. Assumptions'!$B$13)/($J$6)-'2. The tape'!$H$5:$H$13/12-'3. Assumptions'!$B$16)-'2. The tape'!$C$5:$C$13*'2. The tape'!$I$5:$I$13*(1+$J$5)^($A40/4)))</f>
        <v>65528856.7842935</v>
      </c>
      <c r="L40" s="33" t="n">
        <f aca="false">'2. The tape'!$C$17*(1+MIN(MAX($L$5,'3. Assumptions'!$B$11),'3. Assumptions'!$B$10))^INT(($A40-1)/4)/4*(1-'3. Assumptions'!$B$13)</f>
        <v>3579877.742266</v>
      </c>
      <c r="M40" s="33" t="n">
        <f aca="false">(1-'3. Assumptions'!$B$15)*SUMPRODUCT((('2. The tape'!$C$5:$C$13*'2. The tape'!$D$5:$D$13*(1-'2. The tape'!$J$5:$J$13)^($A40/4)*(1+$L$5)^($A40/4)*((1-'3. Assumptions'!$B$13)/($L$6)-'2. The tape'!$H$5:$H$13/12-'3. Assumptions'!$B$16)-'2. The tape'!$C$5:$C$13*'2. The tape'!$I$5:$I$13*(1+$L$5)^($A40/4))&gt;0)*('2. The tape'!$C$5:$C$13*'2. The tape'!$D$5:$D$13*(1-'2. The tape'!$J$5:$J$13)^($A40/4)*(1+$L$5)^($A40/4)*((1-'3. Assumptions'!$B$13)/($L$6)-'2. The tape'!$H$5:$H$13/12-'3. Assumptions'!$B$16)-'2. The tape'!$C$5:$C$13*'2. The tape'!$I$5:$I$13*(1+$L$5)^($A40/4)))</f>
        <v>358118264.707965</v>
      </c>
      <c r="N40" s="33" t="n">
        <f aca="false">'2. The tape'!$C$17*(1+MIN(MAX($N$5,'3. Assumptions'!$B$11),'3. Assumptions'!$B$10))^INT(($A40-1)/4)/4*(1-'3. Assumptions'!$B$13)</f>
        <v>2998091.25</v>
      </c>
      <c r="O40" s="33" t="n">
        <f aca="false">(1-'3. Assumptions'!$B$15)*SUMPRODUCT((('2. The tape'!$C$5:$C$13*'2. The tape'!$D$5:$D$13*(1-'2. The tape'!$J$5:$J$13)^($A40/4)*(1+$N$5)^($A40/4)*((1-'3. Assumptions'!$B$13)/($N$6)-'2. The tape'!$H$5:$H$13/12-'3. Assumptions'!$B$16)-'2. The tape'!$C$5:$C$13*'2. The tape'!$I$5:$I$13*(1+$N$5)^($A40/4))&gt;0)*('2. The tape'!$C$5:$C$13*'2. The tape'!$D$5:$D$13*(1-'2. The tape'!$J$5:$J$13)^($A40/4)*(1+$N$5)^($A40/4)*((1-'3. Assumptions'!$B$13)/($N$6)-'2. The tape'!$H$5:$H$13/12-'3. Assumptions'!$B$16)-'2. The tape'!$C$5:$C$13*'2. The tape'!$I$5:$I$13*(1+$N$5)^($A40/4)))</f>
        <v>57438601.6834586</v>
      </c>
      <c r="P40" s="33" t="n">
        <f aca="false">'2. The tape'!$C$17*(1+MIN(MAX($P$5,'3. Assumptions'!$B$11),'3. Assumptions'!$B$10))^INT(($A40-1)/4)/4*(1-'3. Assumptions'!$B$13)</f>
        <v>2998091.25</v>
      </c>
      <c r="Q40" s="33" t="n">
        <f aca="false">(1-'3. Assumptions'!$B$15)*SUMPRODUCT((('2. The tape'!$C$5:$C$13*'2. The tape'!$D$5:$D$13*(1-'2. The tape'!$J$5:$J$13)^($A40/4)*(1+$P$5)^($A40/4)*((1-'3. Assumptions'!$B$13)/($P$6)-'2. The tape'!$H$5:$H$13/12-'3. Assumptions'!$B$16)-'2. The tape'!$C$5:$C$13*'2. The tape'!$I$5:$I$13*(1+$P$5)^($A40/4))&gt;0)*('2. The tape'!$C$5:$C$13*'2. The tape'!$D$5:$D$13*(1-'2. The tape'!$J$5:$J$13)^($A40/4)*(1+$P$5)^($A40/4)*((1-'3. Assumptions'!$B$13)/($P$6)-'2. The tape'!$H$5:$H$13/12-'3. Assumptions'!$B$16)-'2. The tape'!$C$5:$C$13*'2. The tape'!$I$5:$I$13*(1+$P$5)^($A40/4)))</f>
        <v>61241171.8844303</v>
      </c>
      <c r="R40" s="33" t="n">
        <f aca="false">'2. The tape'!$C$17*(1+MIN(MAX($R$5,'3. Assumptions'!$B$11),'3. Assumptions'!$B$10))^INT(($A40-1)/4)/4*(1-'3. Assumptions'!$B$13)</f>
        <v>2998091.25</v>
      </c>
      <c r="S40" s="33" t="n">
        <f aca="false">(1-'3. Assumptions'!$B$15)*SUMPRODUCT((('2. The tape'!$C$5:$C$13*'2. The tape'!$D$5:$D$13*(1-'2. The tape'!$J$5:$J$13)^($A40/4)*(1+$R$5)^($A40/4)*((1-'3. Assumptions'!$B$13)/($R$6)-'2. The tape'!$H$5:$H$13/12-'3. Assumptions'!$B$16)-'2. The tape'!$C$5:$C$13*'2. The tape'!$I$5:$I$13*(1+$R$5)^($A40/4))&gt;0)*('2. The tape'!$C$5:$C$13*'2. The tape'!$D$5:$D$13*(1-'2. The tape'!$J$5:$J$13)^($A40/4)*(1+$R$5)^($A40/4)*((1-'3. Assumptions'!$B$13)/($R$6)-'2. The tape'!$H$5:$H$13/12-'3. Assumptions'!$B$16)-'2. The tape'!$C$5:$C$13*'2. The tape'!$I$5:$I$13*(1+$R$5)^($A40/4)))</f>
        <v>58914865.2350096</v>
      </c>
      <c r="T40" s="33" t="n">
        <f aca="false">'2. The tape'!$C$17*(1+MIN(MAX($T$5,'3. Assumptions'!$B$11),'3. Assumptions'!$B$10))^INT(($A40-1)/4)/4*(1-'3. Assumptions'!$B$13)</f>
        <v>2998091.25</v>
      </c>
      <c r="U40" s="33" t="n">
        <f aca="false">(1-'3. Assumptions'!$B$15)*SUMPRODUCT((('2. The tape'!$C$5:$C$13*'2. The tape'!$D$5:$D$13*(1-'2. The tape'!$J$5:$J$13)^($A40/4)*(1+$T$5)^($A40/4)*((1-'3. Assumptions'!$B$13)/($T$6)-'2. The tape'!$H$5:$H$13/12-'3. Assumptions'!$B$16)-'2. The tape'!$C$5:$C$13*'2. The tape'!$I$5:$I$13*(1+$T$5)^($A40/4))&gt;0)*('2. The tape'!$C$5:$C$13*'2. The tape'!$D$5:$D$13*(1-'2. The tape'!$J$5:$J$13)^($A40/4)*(1+$T$5)^($A40/4)*((1-'3. Assumptions'!$B$13)/($T$6)-'2. The tape'!$H$5:$H$13/12-'3. Assumptions'!$B$16)-'2. The tape'!$C$5:$C$13*'2. The tape'!$I$5:$I$13*(1+$T$5)^($A40/4)))</f>
        <v>58852815.7570822</v>
      </c>
      <c r="V40" s="33" t="n">
        <f aca="false">'2. The tape'!$C$17*(1+MIN(MAX($V$5,'3. Assumptions'!$B$11),'3. Assumptions'!$B$10))^INT(($A40-1)/4)/4*(1-'3. Assumptions'!$B$13)</f>
        <v>2998091.25</v>
      </c>
      <c r="W40" s="33" t="n">
        <f aca="false">(1-'3. Assumptions'!$B$15)*SUMPRODUCT((('2. The tape'!$C$5:$C$13*'2. The tape'!$D$5:$D$13*(1-'2. The tape'!$J$5:$J$13)^($A40/4)*(1+$V$5)^($A40/4)*((1-'3. Assumptions'!$B$13)/($V$6)-'2. The tape'!$H$5:$H$13/12-'3. Assumptions'!$B$16)-'2. The tape'!$C$5:$C$13*'2. The tape'!$I$5:$I$13*(1+$V$5)^($A40/4))&gt;0)*('2. The tape'!$C$5:$C$13*'2. The tape'!$D$5:$D$13*(1-'2. The tape'!$J$5:$J$13)^($A40/4)*(1+$V$5)^($A40/4)*((1-'3. Assumptions'!$B$13)/($V$6)-'2. The tape'!$H$5:$H$13/12-'3. Assumptions'!$B$16)-'2. The tape'!$C$5:$C$13*'2. The tape'!$I$5:$I$13*(1+$V$5)^($A40/4)))</f>
        <v>58855307.7865548</v>
      </c>
      <c r="X40" s="33" t="n">
        <f aca="false">'2. The tape'!$C$17*(1+MIN(MAX($X$5,'3. Assumptions'!$B$11),'3. Assumptions'!$B$10))^INT(($A40-1)/4)/4*(1-'3. Assumptions'!$B$13)</f>
        <v>2998091.25</v>
      </c>
      <c r="Y40" s="33" t="n">
        <f aca="false">(1-'3. Assumptions'!$B$15)*SUMPRODUCT((('2. The tape'!$C$5:$C$13*'2. The tape'!$D$5:$D$13*(1-'2. The tape'!$J$5:$J$13)^($A40/4)*(1+$X$5)^($A40/4)*((1-'3. Assumptions'!$B$13)/($X$6)-'2. The tape'!$H$5:$H$13/12-'3. Assumptions'!$B$16)-'2. The tape'!$C$5:$C$13*'2. The tape'!$I$5:$I$13*(1+$X$5)^($A40/4))&gt;0)*('2. The tape'!$C$5:$C$13*'2. The tape'!$D$5:$D$13*(1-'2. The tape'!$J$5:$J$13)^($A40/4)*(1+$X$5)^($A40/4)*((1-'3. Assumptions'!$B$13)/($X$6)-'2. The tape'!$H$5:$H$13/12-'3. Assumptions'!$B$16)-'2. The tape'!$C$5:$C$13*'2. The tape'!$I$5:$I$13*(1+$X$5)^($A40/4)))</f>
        <v>58855305.1659842</v>
      </c>
      <c r="Z40" s="33" t="n">
        <f aca="false">'2. The tape'!$C$17*(1+MIN(MAX($Z$5,'3. Assumptions'!$B$11),'3. Assumptions'!$B$10))^INT(($A40-1)/4)/4*(1-'3. Assumptions'!$B$13)</f>
        <v>2998091.25</v>
      </c>
      <c r="AA40" s="33" t="n">
        <f aca="false">(1-'3. Assumptions'!$B$15)*SUMPRODUCT((('2. The tape'!$C$5:$C$13*'2. The tape'!$D$5:$D$13*(1-'2. The tape'!$J$5:$J$13)^($A40/4)*(1+$Z$5)^($A40/4)*((1-'3. Assumptions'!$B$13)/($Z$6)-'2. The tape'!$H$5:$H$13/12-'3. Assumptions'!$B$16)-'2. The tape'!$C$5:$C$13*'2. The tape'!$I$5:$I$13*(1+$Z$5)^($A40/4))&gt;0)*('2. The tape'!$C$5:$C$13*'2. The tape'!$D$5:$D$13*(1-'2. The tape'!$J$5:$J$13)^($A40/4)*(1+$Z$5)^($A40/4)*((1-'3. Assumptions'!$B$13)/($Z$6)-'2. The tape'!$H$5:$H$13/12-'3. Assumptions'!$B$16)-'2. The tape'!$C$5:$C$13*'2. The tape'!$I$5:$I$13*(1+$Z$5)^($A40/4)))</f>
        <v>58855305.1658689</v>
      </c>
      <c r="AB40" s="33" t="n">
        <f aca="false">'2. The tape'!$C$17*(1+MIN(MAX($AB$5,'3. Assumptions'!$B$11),'3. Assumptions'!$B$10))^INT(($A40-1)/4)/4*(1-'3. Assumptions'!$B$13)</f>
        <v>2998091.25</v>
      </c>
      <c r="AC40" s="33" t="n">
        <f aca="false">(1-'3. Assumptions'!$B$15)*SUMPRODUCT((('2. The tape'!$C$5:$C$13*'2. The tape'!$D$5:$D$13*(1-'2. The tape'!$J$5:$J$13)^($A40/4)*(1+$AB$5)^($A40/4)*((1-'3. Assumptions'!$B$13)/($AB$6)-'2. The tape'!$H$5:$H$13/12-'3. Assumptions'!$B$16)-'2. The tape'!$C$5:$C$13*'2. The tape'!$I$5:$I$13*(1+$AB$5)^($A40/4))&gt;0)*('2. The tape'!$C$5:$C$13*'2. The tape'!$D$5:$D$13*(1-'2. The tape'!$J$5:$J$13)^($A40/4)*(1+$AB$5)^($A40/4)*((1-'3. Assumptions'!$B$13)/($AB$6)-'2. The tape'!$H$5:$H$13/12-'3. Assumptions'!$B$16)-'2. The tape'!$C$5:$C$13*'2. The tape'!$I$5:$I$13*(1+$AB$5)^($A40/4)))</f>
        <v>58855305.1658689</v>
      </c>
      <c r="AD40" s="33" t="n">
        <f aca="false">'2. The tape'!$C$17*(1+MIN(MAX($AD$5,'3. Assumptions'!$B$11),'3. Assumptions'!$B$10))^INT(($A40-1)/4)/4*(1-'3. Assumptions'!$B$13)</f>
        <v>2998091.25</v>
      </c>
      <c r="AE40" s="33" t="n">
        <f aca="false">(1-'3. Assumptions'!$B$15)*SUMPRODUCT((('2. The tape'!$C$5:$C$13*'2. The tape'!$D$5:$D$13*(1-'2. The tape'!$J$5:$J$13)^($A40/4)*(1+$AD$5)^($A40/4)*((1-'3. Assumptions'!$B$13)/($AD$6)-'2. The tape'!$H$5:$H$13/12-'3. Assumptions'!$B$16)-'2. The tape'!$C$5:$C$13*'2. The tape'!$I$5:$I$13*(1+$AD$5)^($A40/4))&gt;0)*('2. The tape'!$C$5:$C$13*'2. The tape'!$D$5:$D$13*(1-'2. The tape'!$J$5:$J$13)^($A40/4)*(1+$AD$5)^($A40/4)*((1-'3. Assumptions'!$B$13)/($AD$6)-'2. The tape'!$H$5:$H$13/12-'3. Assumptions'!$B$16)-'2. The tape'!$C$5:$C$13*'2. The tape'!$I$5:$I$13*(1+$AD$5)^($A40/4)))</f>
        <v>58855305.1658689</v>
      </c>
      <c r="AF40" s="33" t="n">
        <f aca="false">'2. The tape'!$C$17*(1+MIN(MAX($AF$5,'3. Assumptions'!$B$11),'3. Assumptions'!$B$10))^INT(($A40-1)/4)/4*(1-'3. Assumptions'!$B$13)</f>
        <v>2998091.25</v>
      </c>
      <c r="AG40" s="33" t="n">
        <f aca="false">(1-'3. Assumptions'!$B$15)*SUMPRODUCT((('2. The tape'!$C$5:$C$13*'2. The tape'!$D$5:$D$13*(1-'2. The tape'!$J$5:$J$13)^($A40/4)*(1+$AF$5)^($A40/4)*((1-'3. Assumptions'!$B$13)/($AF$6)-'2. The tape'!$H$5:$H$13/12-'3. Assumptions'!$B$16)-'2. The tape'!$C$5:$C$13*'2. The tape'!$I$5:$I$13*(1+$AF$5)^($A40/4))&gt;0)*('2. The tape'!$C$5:$C$13*'2. The tape'!$D$5:$D$13*(1-'2. The tape'!$J$5:$J$13)^($A40/4)*(1+$AF$5)^($A40/4)*((1-'3. Assumptions'!$B$13)/($AF$6)-'2. The tape'!$H$5:$H$13/12-'3. Assumptions'!$B$16)-'2. The tape'!$C$5:$C$13*'2. The tape'!$I$5:$I$13*(1+$AF$5)^($A40/4)))</f>
        <v>58855305.1658689</v>
      </c>
      <c r="AH40" s="33" t="n">
        <f aca="false">'2. The tape'!$C$17*(1+MIN(MAX($AH$5,'3. Assumptions'!$B$11),'3. Assumptions'!$B$10))^INT(($A40-1)/4)/4*(1-'3. Assumptions'!$B$13)</f>
        <v>3416254.53884684</v>
      </c>
      <c r="AI40" s="33" t="n">
        <f aca="false">(1-'3. Assumptions'!$B$15)*SUMPRODUCT((('2. The tape'!$C$5:$C$13*'2. The tape'!$D$5:$D$13*(1-'2. The tape'!$J$5:$J$13)^($A40/4)*(1+$AH$5)^($A40/4)*((1-'3. Assumptions'!$B$13)/($AH$6)-'2. The tape'!$H$5:$H$13/12-'3. Assumptions'!$B$16)-'2. The tape'!$C$5:$C$13*'2. The tape'!$I$5:$I$13*(1+$AH$5)^($A40/4))&gt;0)*('2. The tape'!$C$5:$C$13*'2. The tape'!$D$5:$D$13*(1-'2. The tape'!$J$5:$J$13)^($A40/4)*(1+$AH$5)^($A40/4)*((1-'3. Assumptions'!$B$13)/($AH$6)-'2. The tape'!$H$5:$H$13/12-'3. Assumptions'!$B$16)-'2. The tape'!$C$5:$C$13*'2. The tape'!$I$5:$I$13*(1+$AH$5)^($A40/4)))</f>
        <v>156470536.40288</v>
      </c>
      <c r="AJ40" s="33" t="n">
        <f aca="false">'2. The tape'!$C$17*(1+MIN(MAX($AJ$5,'3. Assumptions'!$B$11),'3. Assumptions'!$B$10))^INT(($A40-1)/4)/4*(1-'3. Assumptions'!$B$13)</f>
        <v>3416254.53884684</v>
      </c>
      <c r="AK40" s="33" t="n">
        <f aca="false">(1-'3. Assumptions'!$B$15)*SUMPRODUCT((('2. The tape'!$C$5:$C$13*'2. The tape'!$D$5:$D$13*(1-'2. The tape'!$J$5:$J$13)^($A40/4)*(1+$AJ$5)^($A40/4)*((1-'3. Assumptions'!$B$13)/($AJ$6)-'2. The tape'!$H$5:$H$13/12-'3. Assumptions'!$B$16)-'2. The tape'!$C$5:$C$13*'2. The tape'!$I$5:$I$13*(1+$AJ$5)^($A40/4))&gt;0)*('2. The tape'!$C$5:$C$13*'2. The tape'!$D$5:$D$13*(1-'2. The tape'!$J$5:$J$13)^($A40/4)*(1+$AJ$5)^($A40/4)*((1-'3. Assumptions'!$B$13)/($AJ$6)-'2. The tape'!$H$5:$H$13/12-'3. Assumptions'!$B$16)-'2. The tape'!$C$5:$C$13*'2. The tape'!$I$5:$I$13*(1+$AJ$5)^($A40/4)))</f>
        <v>113392898.688813</v>
      </c>
      <c r="AL40" s="33" t="n">
        <f aca="false">'2. The tape'!$C$17*(1+MIN(MAX($AL$5,'3. Assumptions'!$B$11),'3. Assumptions'!$B$10))^INT(($A40-1)/4)/4*(1-'3. Assumptions'!$B$13)</f>
        <v>3416254.53884684</v>
      </c>
      <c r="AM40" s="33" t="n">
        <f aca="false">(1-'3. Assumptions'!$B$15)*SUMPRODUCT((('2. The tape'!$C$5:$C$13*'2. The tape'!$D$5:$D$13*(1-'2. The tape'!$J$5:$J$13)^($A40/4)*(1+$AL$5)^($A40/4)*((1-'3. Assumptions'!$B$13)/($AL$6)-'2. The tape'!$H$5:$H$13/12-'3. Assumptions'!$B$16)-'2. The tape'!$C$5:$C$13*'2. The tape'!$I$5:$I$13*(1+$AL$5)^($A40/4))&gt;0)*('2. The tape'!$C$5:$C$13*'2. The tape'!$D$5:$D$13*(1-'2. The tape'!$J$5:$J$13)^($A40/4)*(1+$AL$5)^($A40/4)*((1-'3. Assumptions'!$B$13)/($AL$6)-'2. The tape'!$H$5:$H$13/12-'3. Assumptions'!$B$16)-'2. The tape'!$C$5:$C$13*'2. The tape'!$I$5:$I$13*(1+$AL$5)^($A40/4)))</f>
        <v>130100278.315566</v>
      </c>
      <c r="AN40" s="33" t="n">
        <f aca="false">'2. The tape'!$C$17*(1+MIN(MAX($AN$5,'3. Assumptions'!$B$11),'3. Assumptions'!$B$10))^INT(($A40-1)/4)/4*(1-'3. Assumptions'!$B$13)</f>
        <v>3416254.53884684</v>
      </c>
      <c r="AO40" s="33" t="n">
        <f aca="false">(1-'3. Assumptions'!$B$15)*SUMPRODUCT((('2. The tape'!$C$5:$C$13*'2. The tape'!$D$5:$D$13*(1-'2. The tape'!$J$5:$J$13)^($A40/4)*(1+$AN$5)^($A40/4)*((1-'3. Assumptions'!$B$13)/($AN$6)-'2. The tape'!$H$5:$H$13/12-'3. Assumptions'!$B$16)-'2. The tape'!$C$5:$C$13*'2. The tape'!$I$5:$I$13*(1+$AN$5)^($A40/4))&gt;0)*('2. The tape'!$C$5:$C$13*'2. The tape'!$D$5:$D$13*(1-'2. The tape'!$J$5:$J$13)^($A40/4)*(1+$AN$5)^($A40/4)*((1-'3. Assumptions'!$B$13)/($AN$6)-'2. The tape'!$H$5:$H$13/12-'3. Assumptions'!$B$16)-'2. The tape'!$C$5:$C$13*'2. The tape'!$I$5:$I$13*(1+$AN$5)^($A40/4)))</f>
        <v>133228412.851277</v>
      </c>
      <c r="AP40" s="33" t="n">
        <f aca="false">'2. The tape'!$C$17*(1+MIN(MAX($AP$5,'3. Assumptions'!$B$11),'3. Assumptions'!$B$10))^INT(($A40-1)/4)/4*(1-'3. Assumptions'!$B$13)</f>
        <v>3416254.53884684</v>
      </c>
      <c r="AQ40" s="33" t="n">
        <f aca="false">(1-'3. Assumptions'!$B$15)*SUMPRODUCT((('2. The tape'!$C$5:$C$13*'2. The tape'!$D$5:$D$13*(1-'2. The tape'!$J$5:$J$13)^($A40/4)*(1+$AP$5)^($A40/4)*((1-'3. Assumptions'!$B$13)/($AP$6)-'2. The tape'!$H$5:$H$13/12-'3. Assumptions'!$B$16)-'2. The tape'!$C$5:$C$13*'2. The tape'!$I$5:$I$13*(1+$AP$5)^($A40/4))&gt;0)*('2. The tape'!$C$5:$C$13*'2. The tape'!$D$5:$D$13*(1-'2. The tape'!$J$5:$J$13)^($A40/4)*(1+$AP$5)^($A40/4)*((1-'3. Assumptions'!$B$13)/($AP$6)-'2. The tape'!$H$5:$H$13/12-'3. Assumptions'!$B$16)-'2. The tape'!$C$5:$C$13*'2. The tape'!$I$5:$I$13*(1+$AP$5)^($A40/4)))</f>
        <v>132842251.061893</v>
      </c>
      <c r="AR40" s="33" t="n">
        <f aca="false">'2. The tape'!$C$17*(1+MIN(MAX($AR$5,'3. Assumptions'!$B$11),'3. Assumptions'!$B$10))^INT(($A40-1)/4)/4*(1-'3. Assumptions'!$B$13)</f>
        <v>3416254.53884684</v>
      </c>
      <c r="AS40" s="33" t="n">
        <f aca="false">(1-'3. Assumptions'!$B$15)*SUMPRODUCT((('2. The tape'!$C$5:$C$13*'2. The tape'!$D$5:$D$13*(1-'2. The tape'!$J$5:$J$13)^($A40/4)*(1+$AR$5)^($A40/4)*((1-'3. Assumptions'!$B$13)/($AR$6)-'2. The tape'!$H$5:$H$13/12-'3. Assumptions'!$B$16)-'2. The tape'!$C$5:$C$13*'2. The tape'!$I$5:$I$13*(1+$AR$5)^($A40/4))&gt;0)*('2. The tape'!$C$5:$C$13*'2. The tape'!$D$5:$D$13*(1-'2. The tape'!$J$5:$J$13)^($A40/4)*(1+$AR$5)^($A40/4)*((1-'3. Assumptions'!$B$13)/($AR$6)-'2. The tape'!$H$5:$H$13/12-'3. Assumptions'!$B$16)-'2. The tape'!$C$5:$C$13*'2. The tape'!$I$5:$I$13*(1+$AR$5)^($A40/4)))</f>
        <v>132848730.303601</v>
      </c>
      <c r="AT40" s="33" t="n">
        <f aca="false">'2. The tape'!$C$17*(1+MIN(MAX($AT$5,'3. Assumptions'!$B$11),'3. Assumptions'!$B$10))^INT(($A40-1)/4)/4*(1-'3. Assumptions'!$B$13)</f>
        <v>3416254.53884684</v>
      </c>
      <c r="AU40" s="33" t="n">
        <f aca="false">(1-'3. Assumptions'!$B$15)*SUMPRODUCT((('2. The tape'!$C$5:$C$13*'2. The tape'!$D$5:$D$13*(1-'2. The tape'!$J$5:$J$13)^($A40/4)*(1+$AT$5)^($A40/4)*((1-'3. Assumptions'!$B$13)/($AT$6)-'2. The tape'!$H$5:$H$13/12-'3. Assumptions'!$B$16)-'2. The tape'!$C$5:$C$13*'2. The tape'!$I$5:$I$13*(1+$AT$5)^($A40/4))&gt;0)*('2. The tape'!$C$5:$C$13*'2. The tape'!$D$5:$D$13*(1-'2. The tape'!$J$5:$J$13)^($A40/4)*(1+$AT$5)^($A40/4)*((1-'3. Assumptions'!$B$13)/($AT$6)-'2. The tape'!$H$5:$H$13/12-'3. Assumptions'!$B$16)-'2. The tape'!$C$5:$C$13*'2. The tape'!$I$5:$I$13*(1+$AT$5)^($A40/4)))</f>
        <v>132848745.392125</v>
      </c>
      <c r="AV40" s="33" t="n">
        <f aca="false">'2. The tape'!$C$17*(1+MIN(MAX($AV$5,'3. Assumptions'!$B$11),'3. Assumptions'!$B$10))^INT(($A40-1)/4)/4*(1-'3. Assumptions'!$B$13)</f>
        <v>3416254.53884684</v>
      </c>
      <c r="AW40" s="33" t="n">
        <f aca="false">(1-'3. Assumptions'!$B$15)*SUMPRODUCT((('2. The tape'!$C$5:$C$13*'2. The tape'!$D$5:$D$13*(1-'2. The tape'!$J$5:$J$13)^($A40/4)*(1+$AV$5)^($A40/4)*((1-'3. Assumptions'!$B$13)/($AV$6)-'2. The tape'!$H$5:$H$13/12-'3. Assumptions'!$B$16)-'2. The tape'!$C$5:$C$13*'2. The tape'!$I$5:$I$13*(1+$AV$5)^($A40/4))&gt;0)*('2. The tape'!$C$5:$C$13*'2. The tape'!$D$5:$D$13*(1-'2. The tape'!$J$5:$J$13)^($A40/4)*(1+$AV$5)^($A40/4)*((1-'3. Assumptions'!$B$13)/($AV$6)-'2. The tape'!$H$5:$H$13/12-'3. Assumptions'!$B$16)-'2. The tape'!$C$5:$C$13*'2. The tape'!$I$5:$I$13*(1+$AV$5)^($A40/4)))</f>
        <v>132848745.391524</v>
      </c>
      <c r="AX40" s="33" t="n">
        <f aca="false">'2. The tape'!$C$17*(1+MIN(MAX($AX$5,'3. Assumptions'!$B$11),'3. Assumptions'!$B$10))^INT(($A40-1)/4)/4*(1-'3. Assumptions'!$B$13)</f>
        <v>3416254.53884684</v>
      </c>
      <c r="AY40" s="33" t="n">
        <f aca="false">(1-'3. Assumptions'!$B$15)*SUMPRODUCT((('2. The tape'!$C$5:$C$13*'2. The tape'!$D$5:$D$13*(1-'2. The tape'!$J$5:$J$13)^($A40/4)*(1+$AX$5)^($A40/4)*((1-'3. Assumptions'!$B$13)/($AX$6)-'2. The tape'!$H$5:$H$13/12-'3. Assumptions'!$B$16)-'2. The tape'!$C$5:$C$13*'2. The tape'!$I$5:$I$13*(1+$AX$5)^($A40/4))&gt;0)*('2. The tape'!$C$5:$C$13*'2. The tape'!$D$5:$D$13*(1-'2. The tape'!$J$5:$J$13)^($A40/4)*(1+$AX$5)^($A40/4)*((1-'3. Assumptions'!$B$13)/($AX$6)-'2. The tape'!$H$5:$H$13/12-'3. Assumptions'!$B$16)-'2. The tape'!$C$5:$C$13*'2. The tape'!$I$5:$I$13*(1+$AX$5)^($A40/4)))</f>
        <v>132848745.391524</v>
      </c>
      <c r="AZ40" s="33" t="n">
        <f aca="false">'2. The tape'!$C$17*(1+MIN(MAX($AZ$5,'3. Assumptions'!$B$11),'3. Assumptions'!$B$10))^INT(($A40-1)/4)/4*(1-'3. Assumptions'!$B$13)</f>
        <v>3416254.53884684</v>
      </c>
      <c r="BA40" s="33" t="n">
        <f aca="false">(1-'3. Assumptions'!$B$15)*SUMPRODUCT((('2. The tape'!$C$5:$C$13*'2. The tape'!$D$5:$D$13*(1-'2. The tape'!$J$5:$J$13)^($A40/4)*(1+$AZ$5)^($A40/4)*((1-'3. Assumptions'!$B$13)/($AZ$6)-'2. The tape'!$H$5:$H$13/12-'3. Assumptions'!$B$16)-'2. The tape'!$C$5:$C$13*'2. The tape'!$I$5:$I$13*(1+$AZ$5)^($A40/4))&gt;0)*('2. The tape'!$C$5:$C$13*'2. The tape'!$D$5:$D$13*(1-'2. The tape'!$J$5:$J$13)^($A40/4)*(1+$AZ$5)^($A40/4)*((1-'3. Assumptions'!$B$13)/($AZ$6)-'2. The tape'!$H$5:$H$13/12-'3. Assumptions'!$B$16)-'2. The tape'!$C$5:$C$13*'2. The tape'!$I$5:$I$13*(1+$AZ$5)^($A40/4)))</f>
        <v>132848745.391524</v>
      </c>
    </row>
    <row r="41" customFormat="false" ht="15" hidden="false" customHeight="false" outlineLevel="0" collapsed="false">
      <c r="A41" s="20" t="n">
        <v>26</v>
      </c>
      <c r="B41" s="33" t="n">
        <f aca="false">'2. The tape'!$C$17*(1+MIN(MAX($B$5,'3. Assumptions'!$B$11),'3. Assumptions'!$B$10))^INT(($A41-1)/4)/4*(1-'3. Assumptions'!$B$13)</f>
        <v>3416254.53884684</v>
      </c>
      <c r="C41" s="33" t="n">
        <f aca="false">(1-'3. Assumptions'!$B$15)*SUMPRODUCT((('2. The tape'!$C$5:$C$13*'2. The tape'!$D$5:$D$13*(1-'2. The tape'!$J$5:$J$13)^($A41/4)*(1+$B$5)^($A41/4)*((1-'3. Assumptions'!$B$13)/($B$6)-'2. The tape'!$H$5:$H$13/12-'3. Assumptions'!$B$16)-'2. The tape'!$C$5:$C$13*'2. The tape'!$I$5:$I$13*(1+$B$5)^($A41/4))&gt;0)*('2. The tape'!$C$5:$C$13*'2. The tape'!$D$5:$D$13*(1-'2. The tape'!$J$5:$J$13)^($A41/4)*(1+$B$5)^($A41/4)*((1-'3. Assumptions'!$B$13)/($B$6)-'2. The tape'!$H$5:$H$13/12-'3. Assumptions'!$B$16)-'2. The tape'!$C$5:$C$13*'2. The tape'!$I$5:$I$13*(1+$B$5)^($A41/4)))</f>
        <v>79511875.7887893</v>
      </c>
      <c r="D41" s="33" t="n">
        <f aca="false">'2. The tape'!$C$17*(1+MIN(MAX($D$5,'3. Assumptions'!$B$11),'3. Assumptions'!$B$10))^INT(($A41-1)/4)/4*(1-'3. Assumptions'!$B$13)</f>
        <v>3579877.742266</v>
      </c>
      <c r="E41" s="33" t="n">
        <f aca="false">(1-'3. Assumptions'!$B$15)*SUMPRODUCT((('2. The tape'!$C$5:$C$13*'2. The tape'!$D$5:$D$13*(1-'2. The tape'!$J$5:$J$13)^($A41/4)*(1+$D$5)^($A41/4)*((1-'3. Assumptions'!$B$13)/($D$6)-'2. The tape'!$H$5:$H$13/12-'3. Assumptions'!$B$16)-'2. The tape'!$C$5:$C$13*'2. The tape'!$I$5:$I$13*(1+$D$5)^($A41/4))&gt;0)*('2. The tape'!$C$5:$C$13*'2. The tape'!$D$5:$D$13*(1-'2. The tape'!$J$5:$J$13)^($A41/4)*(1+$D$5)^($A41/4)*((1-'3. Assumptions'!$B$13)/($D$6)-'2. The tape'!$H$5:$H$13/12-'3. Assumptions'!$B$16)-'2. The tape'!$C$5:$C$13*'2. The tape'!$I$5:$I$13*(1+$D$5)^($A41/4)))</f>
        <v>86320401.1841869</v>
      </c>
      <c r="F41" s="33" t="n">
        <f aca="false">'2. The tape'!$C$17*(1+MIN(MAX($F$5,'3. Assumptions'!$B$11),'3. Assumptions'!$B$10))^INT(($A41-1)/4)/4*(1-'3. Assumptions'!$B$13)</f>
        <v>3182534.27521554</v>
      </c>
      <c r="G41" s="33" t="n">
        <f aca="false">(1-'3. Assumptions'!$B$15)*SUMPRODUCT((('2. The tape'!$C$5:$C$13*'2. The tape'!$D$5:$D$13*(1-'2. The tape'!$J$5:$J$13)^($A41/4)*(1+$F$5)^($A41/4)*((1-'3. Assumptions'!$B$13)/($F$6)-'2. The tape'!$H$5:$H$13/12-'3. Assumptions'!$B$16)-'2. The tape'!$C$5:$C$13*'2. The tape'!$I$5:$I$13*(1+$F$5)^($A41/4))&gt;0)*('2. The tape'!$C$5:$C$13*'2. The tape'!$D$5:$D$13*(1-'2. The tape'!$J$5:$J$13)^($A41/4)*(1+$F$5)^($A41/4)*((1-'3. Assumptions'!$B$13)/($F$6)-'2. The tape'!$H$5:$H$13/12-'3. Assumptions'!$B$16)-'2. The tape'!$C$5:$C$13*'2. The tape'!$I$5:$I$13*(1+$F$5)^($A41/4)))</f>
        <v>73635985.9264358</v>
      </c>
      <c r="H41" s="33" t="n">
        <f aca="false">'2. The tape'!$C$17*(1+MIN(MAX($H$5,'3. Assumptions'!$B$11),'3. Assumptions'!$B$10))^INT(($A41-1)/4)/4*(1-'3. Assumptions'!$B$13)</f>
        <v>3579877.742266</v>
      </c>
      <c r="I41" s="33" t="n">
        <f aca="false">(1-'3. Assumptions'!$B$15)*SUMPRODUCT((('2. The tape'!$C$5:$C$13*'2. The tape'!$D$5:$D$13*(1-'2. The tape'!$J$5:$J$13)^($A41/4)*(1+$H$5)^($A41/4)*((1-'3. Assumptions'!$B$13)/($H$6)-'2. The tape'!$H$5:$H$13/12-'3. Assumptions'!$B$16)-'2. The tape'!$C$5:$C$13*'2. The tape'!$I$5:$I$13*(1+$H$5)^($A41/4))&gt;0)*('2. The tape'!$C$5:$C$13*'2. The tape'!$D$5:$D$13*(1-'2. The tape'!$J$5:$J$13)^($A41/4)*(1+$H$5)^($A41/4)*((1-'3. Assumptions'!$B$13)/($H$6)-'2. The tape'!$H$5:$H$13/12-'3. Assumptions'!$B$16)-'2. The tape'!$C$5:$C$13*'2. The tape'!$I$5:$I$13*(1+$H$5)^($A41/4)))</f>
        <v>86320401.1841869</v>
      </c>
      <c r="J41" s="33" t="n">
        <f aca="false">'2. The tape'!$C$17*(1+MIN(MAX($J$5,'3. Assumptions'!$B$11),'3. Assumptions'!$B$10))^INT(($A41-1)/4)/4*(1-'3. Assumptions'!$B$13)</f>
        <v>3416254.53884684</v>
      </c>
      <c r="K41" s="33" t="n">
        <f aca="false">(1-'3. Assumptions'!$B$15)*SUMPRODUCT((('2. The tape'!$C$5:$C$13*'2. The tape'!$D$5:$D$13*(1-'2. The tape'!$J$5:$J$13)^($A41/4)*(1+$J$5)^($A41/4)*((1-'3. Assumptions'!$B$13)/($J$6)-'2. The tape'!$H$5:$H$13/12-'3. Assumptions'!$B$16)-'2. The tape'!$C$5:$C$13*'2. The tape'!$I$5:$I$13*(1+$J$5)^($A41/4))&gt;0)*('2. The tape'!$C$5:$C$13*'2. The tape'!$D$5:$D$13*(1-'2. The tape'!$J$5:$J$13)^($A41/4)*(1+$J$5)^($A41/4)*((1-'3. Assumptions'!$B$13)/($J$6)-'2. The tape'!$H$5:$H$13/12-'3. Assumptions'!$B$16)-'2. The tape'!$C$5:$C$13*'2. The tape'!$I$5:$I$13*(1+$J$5)^($A41/4)))</f>
        <v>65435728.1696291</v>
      </c>
      <c r="L41" s="33" t="n">
        <f aca="false">'2. The tape'!$C$17*(1+MIN(MAX($L$5,'3. Assumptions'!$B$11),'3. Assumptions'!$B$10))^INT(($A41-1)/4)/4*(1-'3. Assumptions'!$B$13)</f>
        <v>3579877.742266</v>
      </c>
      <c r="M41" s="33" t="n">
        <f aca="false">(1-'3. Assumptions'!$B$15)*SUMPRODUCT((('2. The tape'!$C$5:$C$13*'2. The tape'!$D$5:$D$13*(1-'2. The tape'!$J$5:$J$13)^($A41/4)*(1+$L$5)^($A41/4)*((1-'3. Assumptions'!$B$13)/($L$6)-'2. The tape'!$H$5:$H$13/12-'3. Assumptions'!$B$16)-'2. The tape'!$C$5:$C$13*'2. The tape'!$I$5:$I$13*(1+$L$5)^($A41/4))&gt;0)*('2. The tape'!$C$5:$C$13*'2. The tape'!$D$5:$D$13*(1-'2. The tape'!$J$5:$J$13)^($A41/4)*(1+$L$5)^($A41/4)*((1-'3. Assumptions'!$B$13)/($L$6)-'2. The tape'!$H$5:$H$13/12-'3. Assumptions'!$B$16)-'2. The tape'!$C$5:$C$13*'2. The tape'!$I$5:$I$13*(1+$L$5)^($A41/4)))</f>
        <v>379868224.12256</v>
      </c>
      <c r="N41" s="33" t="n">
        <f aca="false">'2. The tape'!$C$17*(1+MIN(MAX($N$5,'3. Assumptions'!$B$11),'3. Assumptions'!$B$10))^INT(($A41-1)/4)/4*(1-'3. Assumptions'!$B$13)</f>
        <v>2998091.25</v>
      </c>
      <c r="O41" s="33" t="n">
        <f aca="false">(1-'3. Assumptions'!$B$15)*SUMPRODUCT((('2. The tape'!$C$5:$C$13*'2. The tape'!$D$5:$D$13*(1-'2. The tape'!$J$5:$J$13)^($A41/4)*(1+$N$5)^($A41/4)*((1-'3. Assumptions'!$B$13)/($N$6)-'2. The tape'!$H$5:$H$13/12-'3. Assumptions'!$B$16)-'2. The tape'!$C$5:$C$13*'2. The tape'!$I$5:$I$13*(1+$N$5)^($A41/4))&gt;0)*('2. The tape'!$C$5:$C$13*'2. The tape'!$D$5:$D$13*(1-'2. The tape'!$J$5:$J$13)^($A41/4)*(1+$N$5)^($A41/4)*((1-'3. Assumptions'!$B$13)/($N$6)-'2. The tape'!$H$5:$H$13/12-'3. Assumptions'!$B$16)-'2. The tape'!$C$5:$C$13*'2. The tape'!$I$5:$I$13*(1+$N$5)^($A41/4)))</f>
        <v>56626203.9996813</v>
      </c>
      <c r="P41" s="33" t="n">
        <f aca="false">'2. The tape'!$C$17*(1+MIN(MAX($P$5,'3. Assumptions'!$B$11),'3. Assumptions'!$B$10))^INT(($A41-1)/4)/4*(1-'3. Assumptions'!$B$13)</f>
        <v>2998091.25</v>
      </c>
      <c r="Q41" s="33" t="n">
        <f aca="false">(1-'3. Assumptions'!$B$15)*SUMPRODUCT((('2. The tape'!$C$5:$C$13*'2. The tape'!$D$5:$D$13*(1-'2. The tape'!$J$5:$J$13)^($A41/4)*(1+$P$5)^($A41/4)*((1-'3. Assumptions'!$B$13)/($P$6)-'2. The tape'!$H$5:$H$13/12-'3. Assumptions'!$B$16)-'2. The tape'!$C$5:$C$13*'2. The tape'!$I$5:$I$13*(1+$P$5)^($A41/4))&gt;0)*('2. The tape'!$C$5:$C$13*'2. The tape'!$D$5:$D$13*(1-'2. The tape'!$J$5:$J$13)^($A41/4)*(1+$P$5)^($A41/4)*((1-'3. Assumptions'!$B$13)/($P$6)-'2. The tape'!$H$5:$H$13/12-'3. Assumptions'!$B$16)-'2. The tape'!$C$5:$C$13*'2. The tape'!$I$5:$I$13*(1+$P$5)^($A41/4)))</f>
        <v>60529999.2402161</v>
      </c>
      <c r="R41" s="33" t="n">
        <f aca="false">'2. The tape'!$C$17*(1+MIN(MAX($R$5,'3. Assumptions'!$B$11),'3. Assumptions'!$B$10))^INT(($A41-1)/4)/4*(1-'3. Assumptions'!$B$13)</f>
        <v>2998091.25</v>
      </c>
      <c r="S41" s="33" t="n">
        <f aca="false">(1-'3. Assumptions'!$B$15)*SUMPRODUCT((('2. The tape'!$C$5:$C$13*'2. The tape'!$D$5:$D$13*(1-'2. The tape'!$J$5:$J$13)^($A41/4)*(1+$R$5)^($A41/4)*((1-'3. Assumptions'!$B$13)/($R$6)-'2. The tape'!$H$5:$H$13/12-'3. Assumptions'!$B$16)-'2. The tape'!$C$5:$C$13*'2. The tape'!$I$5:$I$13*(1+$R$5)^($A41/4))&gt;0)*('2. The tape'!$C$5:$C$13*'2. The tape'!$D$5:$D$13*(1-'2. The tape'!$J$5:$J$13)^($A41/4)*(1+$R$5)^($A41/4)*((1-'3. Assumptions'!$B$13)/($R$6)-'2. The tape'!$H$5:$H$13/12-'3. Assumptions'!$B$16)-'2. The tape'!$C$5:$C$13*'2. The tape'!$I$5:$I$13*(1+$R$5)^($A41/4)))</f>
        <v>58140574.7007487</v>
      </c>
      <c r="T41" s="33" t="n">
        <f aca="false">'2. The tape'!$C$17*(1+MIN(MAX($T$5,'3. Assumptions'!$B$11),'3. Assumptions'!$B$10))^INT(($A41-1)/4)/4*(1-'3. Assumptions'!$B$13)</f>
        <v>2998091.25</v>
      </c>
      <c r="U41" s="33" t="n">
        <f aca="false">(1-'3. Assumptions'!$B$15)*SUMPRODUCT((('2. The tape'!$C$5:$C$13*'2. The tape'!$D$5:$D$13*(1-'2. The tape'!$J$5:$J$13)^($A41/4)*(1+$T$5)^($A41/4)*((1-'3. Assumptions'!$B$13)/($T$6)-'2. The tape'!$H$5:$H$13/12-'3. Assumptions'!$B$16)-'2. The tape'!$C$5:$C$13*'2. The tape'!$I$5:$I$13*(1+$T$5)^($A41/4))&gt;0)*('2. The tape'!$C$5:$C$13*'2. The tape'!$D$5:$D$13*(1-'2. The tape'!$J$5:$J$13)^($A41/4)*(1+$T$5)^($A41/4)*((1-'3. Assumptions'!$B$13)/($T$6)-'2. The tape'!$H$5:$H$13/12-'3. Assumptions'!$B$16)-'2. The tape'!$C$5:$C$13*'2. The tape'!$I$5:$I$13*(1+$T$5)^($A41/4)))</f>
        <v>58076892.6923649</v>
      </c>
      <c r="V41" s="33" t="n">
        <f aca="false">'2. The tape'!$C$17*(1+MIN(MAX($V$5,'3. Assumptions'!$B$11),'3. Assumptions'!$B$10))^INT(($A41-1)/4)/4*(1-'3. Assumptions'!$B$13)</f>
        <v>2998091.25</v>
      </c>
      <c r="W41" s="33" t="n">
        <f aca="false">(1-'3. Assumptions'!$B$15)*SUMPRODUCT((('2. The tape'!$C$5:$C$13*'2. The tape'!$D$5:$D$13*(1-'2. The tape'!$J$5:$J$13)^($A41/4)*(1+$V$5)^($A41/4)*((1-'3. Assumptions'!$B$13)/($V$6)-'2. The tape'!$H$5:$H$13/12-'3. Assumptions'!$B$16)-'2. The tape'!$C$5:$C$13*'2. The tape'!$I$5:$I$13*(1+$V$5)^($A41/4))&gt;0)*('2. The tape'!$C$5:$C$13*'2. The tape'!$D$5:$D$13*(1-'2. The tape'!$J$5:$J$13)^($A41/4)*(1+$V$5)^($A41/4)*((1-'3. Assumptions'!$B$13)/($V$6)-'2. The tape'!$H$5:$H$13/12-'3. Assumptions'!$B$16)-'2. The tape'!$C$5:$C$13*'2. The tape'!$I$5:$I$13*(1+$V$5)^($A41/4)))</f>
        <v>58079450.2357369</v>
      </c>
      <c r="X41" s="33" t="n">
        <f aca="false">'2. The tape'!$C$17*(1+MIN(MAX($X$5,'3. Assumptions'!$B$11),'3. Assumptions'!$B$10))^INT(($A41-1)/4)/4*(1-'3. Assumptions'!$B$13)</f>
        <v>2998091.25</v>
      </c>
      <c r="Y41" s="33" t="n">
        <f aca="false">(1-'3. Assumptions'!$B$15)*SUMPRODUCT((('2. The tape'!$C$5:$C$13*'2. The tape'!$D$5:$D$13*(1-'2. The tape'!$J$5:$J$13)^($A41/4)*(1+$X$5)^($A41/4)*((1-'3. Assumptions'!$B$13)/($X$6)-'2. The tape'!$H$5:$H$13/12-'3. Assumptions'!$B$16)-'2. The tape'!$C$5:$C$13*'2. The tape'!$I$5:$I$13*(1+$X$5)^($A41/4))&gt;0)*('2. The tape'!$C$5:$C$13*'2. The tape'!$D$5:$D$13*(1-'2. The tape'!$J$5:$J$13)^($A41/4)*(1+$X$5)^($A41/4)*((1-'3. Assumptions'!$B$13)/($X$6)-'2. The tape'!$H$5:$H$13/12-'3. Assumptions'!$B$16)-'2. The tape'!$C$5:$C$13*'2. The tape'!$I$5:$I$13*(1+$X$5)^($A41/4)))</f>
        <v>58079447.5462709</v>
      </c>
      <c r="Z41" s="33" t="n">
        <f aca="false">'2. The tape'!$C$17*(1+MIN(MAX($Z$5,'3. Assumptions'!$B$11),'3. Assumptions'!$B$10))^INT(($A41-1)/4)/4*(1-'3. Assumptions'!$B$13)</f>
        <v>2998091.25</v>
      </c>
      <c r="AA41" s="33" t="n">
        <f aca="false">(1-'3. Assumptions'!$B$15)*SUMPRODUCT((('2. The tape'!$C$5:$C$13*'2. The tape'!$D$5:$D$13*(1-'2. The tape'!$J$5:$J$13)^($A41/4)*(1+$Z$5)^($A41/4)*((1-'3. Assumptions'!$B$13)/($Z$6)-'2. The tape'!$H$5:$H$13/12-'3. Assumptions'!$B$16)-'2. The tape'!$C$5:$C$13*'2. The tape'!$I$5:$I$13*(1+$Z$5)^($A41/4))&gt;0)*('2. The tape'!$C$5:$C$13*'2. The tape'!$D$5:$D$13*(1-'2. The tape'!$J$5:$J$13)^($A41/4)*(1+$Z$5)^($A41/4)*((1-'3. Assumptions'!$B$13)/($Z$6)-'2. The tape'!$H$5:$H$13/12-'3. Assumptions'!$B$16)-'2. The tape'!$C$5:$C$13*'2. The tape'!$I$5:$I$13*(1+$Z$5)^($A41/4)))</f>
        <v>58079447.5461526</v>
      </c>
      <c r="AB41" s="33" t="n">
        <f aca="false">'2. The tape'!$C$17*(1+MIN(MAX($AB$5,'3. Assumptions'!$B$11),'3. Assumptions'!$B$10))^INT(($A41-1)/4)/4*(1-'3. Assumptions'!$B$13)</f>
        <v>2998091.25</v>
      </c>
      <c r="AC41" s="33" t="n">
        <f aca="false">(1-'3. Assumptions'!$B$15)*SUMPRODUCT((('2. The tape'!$C$5:$C$13*'2. The tape'!$D$5:$D$13*(1-'2. The tape'!$J$5:$J$13)^($A41/4)*(1+$AB$5)^($A41/4)*((1-'3. Assumptions'!$B$13)/($AB$6)-'2. The tape'!$H$5:$H$13/12-'3. Assumptions'!$B$16)-'2. The tape'!$C$5:$C$13*'2. The tape'!$I$5:$I$13*(1+$AB$5)^($A41/4))&gt;0)*('2. The tape'!$C$5:$C$13*'2. The tape'!$D$5:$D$13*(1-'2. The tape'!$J$5:$J$13)^($A41/4)*(1+$AB$5)^($A41/4)*((1-'3. Assumptions'!$B$13)/($AB$6)-'2. The tape'!$H$5:$H$13/12-'3. Assumptions'!$B$16)-'2. The tape'!$C$5:$C$13*'2. The tape'!$I$5:$I$13*(1+$AB$5)^($A41/4)))</f>
        <v>58079447.5461526</v>
      </c>
      <c r="AD41" s="33" t="n">
        <f aca="false">'2. The tape'!$C$17*(1+MIN(MAX($AD$5,'3. Assumptions'!$B$11),'3. Assumptions'!$B$10))^INT(($A41-1)/4)/4*(1-'3. Assumptions'!$B$13)</f>
        <v>2998091.25</v>
      </c>
      <c r="AE41" s="33" t="n">
        <f aca="false">(1-'3. Assumptions'!$B$15)*SUMPRODUCT((('2. The tape'!$C$5:$C$13*'2. The tape'!$D$5:$D$13*(1-'2. The tape'!$J$5:$J$13)^($A41/4)*(1+$AD$5)^($A41/4)*((1-'3. Assumptions'!$B$13)/($AD$6)-'2. The tape'!$H$5:$H$13/12-'3. Assumptions'!$B$16)-'2. The tape'!$C$5:$C$13*'2. The tape'!$I$5:$I$13*(1+$AD$5)^($A41/4))&gt;0)*('2. The tape'!$C$5:$C$13*'2. The tape'!$D$5:$D$13*(1-'2. The tape'!$J$5:$J$13)^($A41/4)*(1+$AD$5)^($A41/4)*((1-'3. Assumptions'!$B$13)/($AD$6)-'2. The tape'!$H$5:$H$13/12-'3. Assumptions'!$B$16)-'2. The tape'!$C$5:$C$13*'2. The tape'!$I$5:$I$13*(1+$AD$5)^($A41/4)))</f>
        <v>58079447.5461526</v>
      </c>
      <c r="AF41" s="33" t="n">
        <f aca="false">'2. The tape'!$C$17*(1+MIN(MAX($AF$5,'3. Assumptions'!$B$11),'3. Assumptions'!$B$10))^INT(($A41-1)/4)/4*(1-'3. Assumptions'!$B$13)</f>
        <v>2998091.25</v>
      </c>
      <c r="AG41" s="33" t="n">
        <f aca="false">(1-'3. Assumptions'!$B$15)*SUMPRODUCT((('2. The tape'!$C$5:$C$13*'2. The tape'!$D$5:$D$13*(1-'2. The tape'!$J$5:$J$13)^($A41/4)*(1+$AF$5)^($A41/4)*((1-'3. Assumptions'!$B$13)/($AF$6)-'2. The tape'!$H$5:$H$13/12-'3. Assumptions'!$B$16)-'2. The tape'!$C$5:$C$13*'2. The tape'!$I$5:$I$13*(1+$AF$5)^($A41/4))&gt;0)*('2. The tape'!$C$5:$C$13*'2. The tape'!$D$5:$D$13*(1-'2. The tape'!$J$5:$J$13)^($A41/4)*(1+$AF$5)^($A41/4)*((1-'3. Assumptions'!$B$13)/($AF$6)-'2. The tape'!$H$5:$H$13/12-'3. Assumptions'!$B$16)-'2. The tape'!$C$5:$C$13*'2. The tape'!$I$5:$I$13*(1+$AF$5)^($A41/4)))</f>
        <v>58079447.5461526</v>
      </c>
      <c r="AH41" s="33" t="n">
        <f aca="false">'2. The tape'!$C$17*(1+MIN(MAX($AH$5,'3. Assumptions'!$B$11),'3. Assumptions'!$B$10))^INT(($A41-1)/4)/4*(1-'3. Assumptions'!$B$13)</f>
        <v>3416254.53884684</v>
      </c>
      <c r="AI41" s="33" t="n">
        <f aca="false">(1-'3. Assumptions'!$B$15)*SUMPRODUCT((('2. The tape'!$C$5:$C$13*'2. The tape'!$D$5:$D$13*(1-'2. The tape'!$J$5:$J$13)^($A41/4)*(1+$AH$5)^($A41/4)*((1-'3. Assumptions'!$B$13)/($AH$6)-'2. The tape'!$H$5:$H$13/12-'3. Assumptions'!$B$16)-'2. The tape'!$C$5:$C$13*'2. The tape'!$I$5:$I$13*(1+$AH$5)^($A41/4))&gt;0)*('2. The tape'!$C$5:$C$13*'2. The tape'!$D$5:$D$13*(1-'2. The tape'!$J$5:$J$13)^($A41/4)*(1+$AH$5)^($A41/4)*((1-'3. Assumptions'!$B$13)/($AH$6)-'2. The tape'!$H$5:$H$13/12-'3. Assumptions'!$B$16)-'2. The tape'!$C$5:$C$13*'2. The tape'!$I$5:$I$13*(1+$AH$5)^($A41/4)))</f>
        <v>156367641.789404</v>
      </c>
      <c r="AJ41" s="33" t="n">
        <f aca="false">'2. The tape'!$C$17*(1+MIN(MAX($AJ$5,'3. Assumptions'!$B$11),'3. Assumptions'!$B$10))^INT(($A41-1)/4)/4*(1-'3. Assumptions'!$B$13)</f>
        <v>3416254.53884684</v>
      </c>
      <c r="AK41" s="33" t="n">
        <f aca="false">(1-'3. Assumptions'!$B$15)*SUMPRODUCT((('2. The tape'!$C$5:$C$13*'2. The tape'!$D$5:$D$13*(1-'2. The tape'!$J$5:$J$13)^($A41/4)*(1+$AJ$5)^($A41/4)*((1-'3. Assumptions'!$B$13)/($AJ$6)-'2. The tape'!$H$5:$H$13/12-'3. Assumptions'!$B$16)-'2. The tape'!$C$5:$C$13*'2. The tape'!$I$5:$I$13*(1+$AJ$5)^($A41/4))&gt;0)*('2. The tape'!$C$5:$C$13*'2. The tape'!$D$5:$D$13*(1-'2. The tape'!$J$5:$J$13)^($A41/4)*(1+$AJ$5)^($A41/4)*((1-'3. Assumptions'!$B$13)/($AJ$6)-'2. The tape'!$H$5:$H$13/12-'3. Assumptions'!$B$16)-'2. The tape'!$C$5:$C$13*'2. The tape'!$I$5:$I$13*(1+$AJ$5)^($A41/4)))</f>
        <v>113294630.074774</v>
      </c>
      <c r="AL41" s="33" t="n">
        <f aca="false">'2. The tape'!$C$17*(1+MIN(MAX($AL$5,'3. Assumptions'!$B$11),'3. Assumptions'!$B$10))^INT(($A41-1)/4)/4*(1-'3. Assumptions'!$B$13)</f>
        <v>3416254.53884684</v>
      </c>
      <c r="AM41" s="33" t="n">
        <f aca="false">(1-'3. Assumptions'!$B$15)*SUMPRODUCT((('2. The tape'!$C$5:$C$13*'2. The tape'!$D$5:$D$13*(1-'2. The tape'!$J$5:$J$13)^($A41/4)*(1+$AL$5)^($A41/4)*((1-'3. Assumptions'!$B$13)/($AL$6)-'2. The tape'!$H$5:$H$13/12-'3. Assumptions'!$B$16)-'2. The tape'!$C$5:$C$13*'2. The tape'!$I$5:$I$13*(1+$AL$5)^($A41/4))&gt;0)*('2. The tape'!$C$5:$C$13*'2. The tape'!$D$5:$D$13*(1-'2. The tape'!$J$5:$J$13)^($A41/4)*(1+$AL$5)^($A41/4)*((1-'3. Assumptions'!$B$13)/($AL$6)-'2. The tape'!$H$5:$H$13/12-'3. Assumptions'!$B$16)-'2. The tape'!$C$5:$C$13*'2. The tape'!$I$5:$I$13*(1+$AL$5)^($A41/4)))</f>
        <v>130000215.537945</v>
      </c>
      <c r="AN41" s="33" t="n">
        <f aca="false">'2. The tape'!$C$17*(1+MIN(MAX($AN$5,'3. Assumptions'!$B$11),'3. Assumptions'!$B$10))^INT(($A41-1)/4)/4*(1-'3. Assumptions'!$B$13)</f>
        <v>3416254.53884684</v>
      </c>
      <c r="AO41" s="33" t="n">
        <f aca="false">(1-'3. Assumptions'!$B$15)*SUMPRODUCT((('2. The tape'!$C$5:$C$13*'2. The tape'!$D$5:$D$13*(1-'2. The tape'!$J$5:$J$13)^($A41/4)*(1+$AN$5)^($A41/4)*((1-'3. Assumptions'!$B$13)/($AN$6)-'2. The tape'!$H$5:$H$13/12-'3. Assumptions'!$B$16)-'2. The tape'!$C$5:$C$13*'2. The tape'!$I$5:$I$13*(1+$AN$5)^($A41/4))&gt;0)*('2. The tape'!$C$5:$C$13*'2. The tape'!$D$5:$D$13*(1-'2. The tape'!$J$5:$J$13)^($A41/4)*(1+$AN$5)^($A41/4)*((1-'3. Assumptions'!$B$13)/($AN$6)-'2. The tape'!$H$5:$H$13/12-'3. Assumptions'!$B$16)-'2. The tape'!$C$5:$C$13*'2. The tape'!$I$5:$I$13*(1+$AN$5)^($A41/4)))</f>
        <v>133128014.151137</v>
      </c>
      <c r="AP41" s="33" t="n">
        <f aca="false">'2. The tape'!$C$17*(1+MIN(MAX($AP$5,'3. Assumptions'!$B$11),'3. Assumptions'!$B$10))^INT(($A41-1)/4)/4*(1-'3. Assumptions'!$B$13)</f>
        <v>3416254.53884684</v>
      </c>
      <c r="AQ41" s="33" t="n">
        <f aca="false">(1-'3. Assumptions'!$B$15)*SUMPRODUCT((('2. The tape'!$C$5:$C$13*'2. The tape'!$D$5:$D$13*(1-'2. The tape'!$J$5:$J$13)^($A41/4)*(1+$AP$5)^($A41/4)*((1-'3. Assumptions'!$B$13)/($AP$6)-'2. The tape'!$H$5:$H$13/12-'3. Assumptions'!$B$16)-'2. The tape'!$C$5:$C$13*'2. The tape'!$I$5:$I$13*(1+$AP$5)^($A41/4))&gt;0)*('2. The tape'!$C$5:$C$13*'2. The tape'!$D$5:$D$13*(1-'2. The tape'!$J$5:$J$13)^($A41/4)*(1+$AP$5)^($A41/4)*((1-'3. Assumptions'!$B$13)/($AP$6)-'2. The tape'!$H$5:$H$13/12-'3. Assumptions'!$B$16)-'2. The tape'!$C$5:$C$13*'2. The tape'!$I$5:$I$13*(1+$AP$5)^($A41/4)))</f>
        <v>132741893.830699</v>
      </c>
      <c r="AR41" s="33" t="n">
        <f aca="false">'2. The tape'!$C$17*(1+MIN(MAX($AR$5,'3. Assumptions'!$B$11),'3. Assumptions'!$B$10))^INT(($A41-1)/4)/4*(1-'3. Assumptions'!$B$13)</f>
        <v>3416254.53884684</v>
      </c>
      <c r="AS41" s="33" t="n">
        <f aca="false">(1-'3. Assumptions'!$B$15)*SUMPRODUCT((('2. The tape'!$C$5:$C$13*'2. The tape'!$D$5:$D$13*(1-'2. The tape'!$J$5:$J$13)^($A41/4)*(1+$AR$5)^($A41/4)*((1-'3. Assumptions'!$B$13)/($AR$6)-'2. The tape'!$H$5:$H$13/12-'3. Assumptions'!$B$16)-'2. The tape'!$C$5:$C$13*'2. The tape'!$I$5:$I$13*(1+$AR$5)^($A41/4))&gt;0)*('2. The tape'!$C$5:$C$13*'2. The tape'!$D$5:$D$13*(1-'2. The tape'!$J$5:$J$13)^($A41/4)*(1+$AR$5)^($A41/4)*((1-'3. Assumptions'!$B$13)/($AR$6)-'2. The tape'!$H$5:$H$13/12-'3. Assumptions'!$B$16)-'2. The tape'!$C$5:$C$13*'2. The tape'!$I$5:$I$13*(1+$AR$5)^($A41/4)))</f>
        <v>132748372.376617</v>
      </c>
      <c r="AT41" s="33" t="n">
        <f aca="false">'2. The tape'!$C$17*(1+MIN(MAX($AT$5,'3. Assumptions'!$B$11),'3. Assumptions'!$B$10))^INT(($A41-1)/4)/4*(1-'3. Assumptions'!$B$13)</f>
        <v>3416254.53884684</v>
      </c>
      <c r="AU41" s="33" t="n">
        <f aca="false">(1-'3. Assumptions'!$B$15)*SUMPRODUCT((('2. The tape'!$C$5:$C$13*'2. The tape'!$D$5:$D$13*(1-'2. The tape'!$J$5:$J$13)^($A41/4)*(1+$AT$5)^($A41/4)*((1-'3. Assumptions'!$B$13)/($AT$6)-'2. The tape'!$H$5:$H$13/12-'3. Assumptions'!$B$16)-'2. The tape'!$C$5:$C$13*'2. The tape'!$I$5:$I$13*(1+$AT$5)^($A41/4))&gt;0)*('2. The tape'!$C$5:$C$13*'2. The tape'!$D$5:$D$13*(1-'2. The tape'!$J$5:$J$13)^($A41/4)*(1+$AT$5)^($A41/4)*((1-'3. Assumptions'!$B$13)/($AT$6)-'2. The tape'!$H$5:$H$13/12-'3. Assumptions'!$B$16)-'2. The tape'!$C$5:$C$13*'2. The tape'!$I$5:$I$13*(1+$AT$5)^($A41/4)))</f>
        <v>132748387.463521</v>
      </c>
      <c r="AV41" s="33" t="n">
        <f aca="false">'2. The tape'!$C$17*(1+MIN(MAX($AV$5,'3. Assumptions'!$B$11),'3. Assumptions'!$B$10))^INT(($A41-1)/4)/4*(1-'3. Assumptions'!$B$13)</f>
        <v>3416254.53884684</v>
      </c>
      <c r="AW41" s="33" t="n">
        <f aca="false">(1-'3. Assumptions'!$B$15)*SUMPRODUCT((('2. The tape'!$C$5:$C$13*'2. The tape'!$D$5:$D$13*(1-'2. The tape'!$J$5:$J$13)^($A41/4)*(1+$AV$5)^($A41/4)*((1-'3. Assumptions'!$B$13)/($AV$6)-'2. The tape'!$H$5:$H$13/12-'3. Assumptions'!$B$16)-'2. The tape'!$C$5:$C$13*'2. The tape'!$I$5:$I$13*(1+$AV$5)^($A41/4))&gt;0)*('2. The tape'!$C$5:$C$13*'2. The tape'!$D$5:$D$13*(1-'2. The tape'!$J$5:$J$13)^($A41/4)*(1+$AV$5)^($A41/4)*((1-'3. Assumptions'!$B$13)/($AV$6)-'2. The tape'!$H$5:$H$13/12-'3. Assumptions'!$B$16)-'2. The tape'!$C$5:$C$13*'2. The tape'!$I$5:$I$13*(1+$AV$5)^($A41/4)))</f>
        <v>132748387.46292</v>
      </c>
      <c r="AX41" s="33" t="n">
        <f aca="false">'2. The tape'!$C$17*(1+MIN(MAX($AX$5,'3. Assumptions'!$B$11),'3. Assumptions'!$B$10))^INT(($A41-1)/4)/4*(1-'3. Assumptions'!$B$13)</f>
        <v>3416254.53884684</v>
      </c>
      <c r="AY41" s="33" t="n">
        <f aca="false">(1-'3. Assumptions'!$B$15)*SUMPRODUCT((('2. The tape'!$C$5:$C$13*'2. The tape'!$D$5:$D$13*(1-'2. The tape'!$J$5:$J$13)^($A41/4)*(1+$AX$5)^($A41/4)*((1-'3. Assumptions'!$B$13)/($AX$6)-'2. The tape'!$H$5:$H$13/12-'3. Assumptions'!$B$16)-'2. The tape'!$C$5:$C$13*'2. The tape'!$I$5:$I$13*(1+$AX$5)^($A41/4))&gt;0)*('2. The tape'!$C$5:$C$13*'2. The tape'!$D$5:$D$13*(1-'2. The tape'!$J$5:$J$13)^($A41/4)*(1+$AX$5)^($A41/4)*((1-'3. Assumptions'!$B$13)/($AX$6)-'2. The tape'!$H$5:$H$13/12-'3. Assumptions'!$B$16)-'2. The tape'!$C$5:$C$13*'2. The tape'!$I$5:$I$13*(1+$AX$5)^($A41/4)))</f>
        <v>132748387.46292</v>
      </c>
      <c r="AZ41" s="33" t="n">
        <f aca="false">'2. The tape'!$C$17*(1+MIN(MAX($AZ$5,'3. Assumptions'!$B$11),'3. Assumptions'!$B$10))^INT(($A41-1)/4)/4*(1-'3. Assumptions'!$B$13)</f>
        <v>3416254.53884684</v>
      </c>
      <c r="BA41" s="33" t="n">
        <f aca="false">(1-'3. Assumptions'!$B$15)*SUMPRODUCT((('2. The tape'!$C$5:$C$13*'2. The tape'!$D$5:$D$13*(1-'2. The tape'!$J$5:$J$13)^($A41/4)*(1+$AZ$5)^($A41/4)*((1-'3. Assumptions'!$B$13)/($AZ$6)-'2. The tape'!$H$5:$H$13/12-'3. Assumptions'!$B$16)-'2. The tape'!$C$5:$C$13*'2. The tape'!$I$5:$I$13*(1+$AZ$5)^($A41/4))&gt;0)*('2. The tape'!$C$5:$C$13*'2. The tape'!$D$5:$D$13*(1-'2. The tape'!$J$5:$J$13)^($A41/4)*(1+$AZ$5)^($A41/4)*((1-'3. Assumptions'!$B$13)/($AZ$6)-'2. The tape'!$H$5:$H$13/12-'3. Assumptions'!$B$16)-'2. The tape'!$C$5:$C$13*'2. The tape'!$I$5:$I$13*(1+$AZ$5)^($A41/4)))</f>
        <v>132748387.46292</v>
      </c>
    </row>
    <row r="42" customFormat="false" ht="15" hidden="false" customHeight="false" outlineLevel="0" collapsed="false">
      <c r="A42" s="20" t="n">
        <v>27</v>
      </c>
      <c r="B42" s="33" t="n">
        <f aca="false">'2. The tape'!$C$17*(1+MIN(MAX($B$5,'3. Assumptions'!$B$11),'3. Assumptions'!$B$10))^INT(($A42-1)/4)/4*(1-'3. Assumptions'!$B$13)</f>
        <v>3416254.53884684</v>
      </c>
      <c r="C42" s="33" t="n">
        <f aca="false">(1-'3. Assumptions'!$B$15)*SUMPRODUCT((('2. The tape'!$C$5:$C$13*'2. The tape'!$D$5:$D$13*(1-'2. The tape'!$J$5:$J$13)^($A42/4)*(1+$B$5)^($A42/4)*((1-'3. Assumptions'!$B$13)/($B$6)-'2. The tape'!$H$5:$H$13/12-'3. Assumptions'!$B$16)-'2. The tape'!$C$5:$C$13*'2. The tape'!$I$5:$I$13*(1+$B$5)^($A42/4))&gt;0)*('2. The tape'!$C$5:$C$13*'2. The tape'!$D$5:$D$13*(1-'2. The tape'!$J$5:$J$13)^($A42/4)*(1+$B$5)^($A42/4)*((1-'3. Assumptions'!$B$13)/($B$6)-'2. The tape'!$H$5:$H$13/12-'3. Assumptions'!$B$16)-'2. The tape'!$C$5:$C$13*'2. The tape'!$I$5:$I$13*(1+$B$5)^($A42/4)))</f>
        <v>79417001.1753428</v>
      </c>
      <c r="D42" s="33" t="n">
        <f aca="false">'2. The tape'!$C$17*(1+MIN(MAX($D$5,'3. Assumptions'!$B$11),'3. Assumptions'!$B$10))^INT(($A42-1)/4)/4*(1-'3. Assumptions'!$B$13)</f>
        <v>3579877.742266</v>
      </c>
      <c r="E42" s="33" t="n">
        <f aca="false">(1-'3. Assumptions'!$B$15)*SUMPRODUCT((('2. The tape'!$C$5:$C$13*'2. The tape'!$D$5:$D$13*(1-'2. The tape'!$J$5:$J$13)^($A42/4)*(1+$D$5)^($A42/4)*((1-'3. Assumptions'!$B$13)/($D$6)-'2. The tape'!$H$5:$H$13/12-'3. Assumptions'!$B$16)-'2. The tape'!$C$5:$C$13*'2. The tape'!$I$5:$I$13*(1+$D$5)^($A42/4))&gt;0)*('2. The tape'!$C$5:$C$13*'2. The tape'!$D$5:$D$13*(1-'2. The tape'!$J$5:$J$13)^($A42/4)*(1+$D$5)^($A42/4)*((1-'3. Assumptions'!$B$13)/($D$6)-'2. The tape'!$H$5:$H$13/12-'3. Assumptions'!$B$16)-'2. The tape'!$C$5:$C$13*'2. The tape'!$I$5:$I$13*(1+$D$5)^($A42/4)))</f>
        <v>86490279.0541357</v>
      </c>
      <c r="F42" s="33" t="n">
        <f aca="false">'2. The tape'!$C$17*(1+MIN(MAX($F$5,'3. Assumptions'!$B$11),'3. Assumptions'!$B$10))^INT(($A42-1)/4)/4*(1-'3. Assumptions'!$B$13)</f>
        <v>3182534.27521554</v>
      </c>
      <c r="G42" s="33" t="n">
        <f aca="false">(1-'3. Assumptions'!$B$15)*SUMPRODUCT((('2. The tape'!$C$5:$C$13*'2. The tape'!$D$5:$D$13*(1-'2. The tape'!$J$5:$J$13)^($A42/4)*(1+$F$5)^($A42/4)*((1-'3. Assumptions'!$B$13)/($F$6)-'2. The tape'!$H$5:$H$13/12-'3. Assumptions'!$B$16)-'2. The tape'!$C$5:$C$13*'2. The tape'!$I$5:$I$13*(1+$F$5)^($A42/4))&gt;0)*('2. The tape'!$C$5:$C$13*'2. The tape'!$D$5:$D$13*(1-'2. The tape'!$J$5:$J$13)^($A42/4)*(1+$F$5)^($A42/4)*((1-'3. Assumptions'!$B$13)/($F$6)-'2. The tape'!$H$5:$H$13/12-'3. Assumptions'!$B$16)-'2. The tape'!$C$5:$C$13*'2. The tape'!$I$5:$I$13*(1+$F$5)^($A42/4)))</f>
        <v>73331270.6407464</v>
      </c>
      <c r="H42" s="33" t="n">
        <f aca="false">'2. The tape'!$C$17*(1+MIN(MAX($H$5,'3. Assumptions'!$B$11),'3. Assumptions'!$B$10))^INT(($A42-1)/4)/4*(1-'3. Assumptions'!$B$13)</f>
        <v>3579877.742266</v>
      </c>
      <c r="I42" s="33" t="n">
        <f aca="false">(1-'3. Assumptions'!$B$15)*SUMPRODUCT((('2. The tape'!$C$5:$C$13*'2. The tape'!$D$5:$D$13*(1-'2. The tape'!$J$5:$J$13)^($A42/4)*(1+$H$5)^($A42/4)*((1-'3. Assumptions'!$B$13)/($H$6)-'2. The tape'!$H$5:$H$13/12-'3. Assumptions'!$B$16)-'2. The tape'!$C$5:$C$13*'2. The tape'!$I$5:$I$13*(1+$H$5)^($A42/4))&gt;0)*('2. The tape'!$C$5:$C$13*'2. The tape'!$D$5:$D$13*(1-'2. The tape'!$J$5:$J$13)^($A42/4)*(1+$H$5)^($A42/4)*((1-'3. Assumptions'!$B$13)/($H$6)-'2. The tape'!$H$5:$H$13/12-'3. Assumptions'!$B$16)-'2. The tape'!$C$5:$C$13*'2. The tape'!$I$5:$I$13*(1+$H$5)^($A42/4)))</f>
        <v>86490279.0541357</v>
      </c>
      <c r="J42" s="33" t="n">
        <f aca="false">'2. The tape'!$C$17*(1+MIN(MAX($J$5,'3. Assumptions'!$B$11),'3. Assumptions'!$B$10))^INT(($A42-1)/4)/4*(1-'3. Assumptions'!$B$13)</f>
        <v>3416254.53884684</v>
      </c>
      <c r="K42" s="33" t="n">
        <f aca="false">(1-'3. Assumptions'!$B$15)*SUMPRODUCT((('2. The tape'!$C$5:$C$13*'2. The tape'!$D$5:$D$13*(1-'2. The tape'!$J$5:$J$13)^($A42/4)*(1+$J$5)^($A42/4)*((1-'3. Assumptions'!$B$13)/($J$6)-'2. The tape'!$H$5:$H$13/12-'3. Assumptions'!$B$16)-'2. The tape'!$C$5:$C$13*'2. The tape'!$I$5:$I$13*(1+$J$5)^($A42/4))&gt;0)*('2. The tape'!$C$5:$C$13*'2. The tape'!$D$5:$D$13*(1-'2. The tape'!$J$5:$J$13)^($A42/4)*(1+$J$5)^($A42/4)*((1-'3. Assumptions'!$B$13)/($J$6)-'2. The tape'!$H$5:$H$13/12-'3. Assumptions'!$B$16)-'2. The tape'!$C$5:$C$13*'2. The tape'!$I$5:$I$13*(1+$J$5)^($A42/4)))</f>
        <v>65342324.9399454</v>
      </c>
      <c r="L42" s="33" t="n">
        <f aca="false">'2. The tape'!$C$17*(1+MIN(MAX($L$5,'3. Assumptions'!$B$11),'3. Assumptions'!$B$10))^INT(($A42-1)/4)/4*(1-'3. Assumptions'!$B$13)</f>
        <v>3579877.742266</v>
      </c>
      <c r="M42" s="33" t="n">
        <f aca="false">(1-'3. Assumptions'!$B$15)*SUMPRODUCT((('2. The tape'!$C$5:$C$13*'2. The tape'!$D$5:$D$13*(1-'2. The tape'!$J$5:$J$13)^($A42/4)*(1+$L$5)^($A42/4)*((1-'3. Assumptions'!$B$13)/($L$6)-'2. The tape'!$H$5:$H$13/12-'3. Assumptions'!$B$16)-'2. The tape'!$C$5:$C$13*'2. The tape'!$I$5:$I$13*(1+$L$5)^($A42/4))&gt;0)*('2. The tape'!$C$5:$C$13*'2. The tape'!$D$5:$D$13*(1-'2. The tape'!$J$5:$J$13)^($A42/4)*(1+$L$5)^($A42/4)*((1-'3. Assumptions'!$B$13)/($L$6)-'2. The tape'!$H$5:$H$13/12-'3. Assumptions'!$B$16)-'2. The tape'!$C$5:$C$13*'2. The tape'!$I$5:$I$13*(1+$L$5)^($A42/4)))</f>
        <v>402937386.568403</v>
      </c>
      <c r="N42" s="33" t="n">
        <f aca="false">'2. The tape'!$C$17*(1+MIN(MAX($N$5,'3. Assumptions'!$B$11),'3. Assumptions'!$B$10))^INT(($A42-1)/4)/4*(1-'3. Assumptions'!$B$13)</f>
        <v>2998091.25</v>
      </c>
      <c r="O42" s="33" t="n">
        <f aca="false">(1-'3. Assumptions'!$B$15)*SUMPRODUCT((('2. The tape'!$C$5:$C$13*'2. The tape'!$D$5:$D$13*(1-'2. The tape'!$J$5:$J$13)^($A42/4)*(1+$N$5)^($A42/4)*((1-'3. Assumptions'!$B$13)/($N$6)-'2. The tape'!$H$5:$H$13/12-'3. Assumptions'!$B$16)-'2. The tape'!$C$5:$C$13*'2. The tape'!$I$5:$I$13*(1+$N$5)^($A42/4))&gt;0)*('2. The tape'!$C$5:$C$13*'2. The tape'!$D$5:$D$13*(1-'2. The tape'!$J$5:$J$13)^($A42/4)*(1+$N$5)^($A42/4)*((1-'3. Assumptions'!$B$13)/($N$6)-'2. The tape'!$H$5:$H$13/12-'3. Assumptions'!$B$16)-'2. The tape'!$C$5:$C$13*'2. The tape'!$I$5:$I$13*(1+$N$5)^($A42/4)))</f>
        <v>55825052.9308108</v>
      </c>
      <c r="P42" s="33" t="n">
        <f aca="false">'2. The tape'!$C$17*(1+MIN(MAX($P$5,'3. Assumptions'!$B$11),'3. Assumptions'!$B$10))^INT(($A42-1)/4)/4*(1-'3. Assumptions'!$B$13)</f>
        <v>2998091.25</v>
      </c>
      <c r="Q42" s="33" t="n">
        <f aca="false">(1-'3. Assumptions'!$B$15)*SUMPRODUCT((('2. The tape'!$C$5:$C$13*'2. The tape'!$D$5:$D$13*(1-'2. The tape'!$J$5:$J$13)^($A42/4)*(1+$P$5)^($A42/4)*((1-'3. Assumptions'!$B$13)/($P$6)-'2. The tape'!$H$5:$H$13/12-'3. Assumptions'!$B$16)-'2. The tape'!$C$5:$C$13*'2. The tape'!$I$5:$I$13*(1+$P$5)^($A42/4))&gt;0)*('2. The tape'!$C$5:$C$13*'2. The tape'!$D$5:$D$13*(1-'2. The tape'!$J$5:$J$13)^($A42/4)*(1+$P$5)^($A42/4)*((1-'3. Assumptions'!$B$13)/($P$6)-'2. The tape'!$H$5:$H$13/12-'3. Assumptions'!$B$16)-'2. The tape'!$C$5:$C$13*'2. The tape'!$I$5:$I$13*(1+$P$5)^($A42/4)))</f>
        <v>59826823.9853211</v>
      </c>
      <c r="R42" s="33" t="n">
        <f aca="false">'2. The tape'!$C$17*(1+MIN(MAX($R$5,'3. Assumptions'!$B$11),'3. Assumptions'!$B$10))^INT(($A42-1)/4)/4*(1-'3. Assumptions'!$B$13)</f>
        <v>2998091.25</v>
      </c>
      <c r="S42" s="33" t="n">
        <f aca="false">(1-'3. Assumptions'!$B$15)*SUMPRODUCT((('2. The tape'!$C$5:$C$13*'2. The tape'!$D$5:$D$13*(1-'2. The tape'!$J$5:$J$13)^($A42/4)*(1+$R$5)^($A42/4)*((1-'3. Assumptions'!$B$13)/($R$6)-'2. The tape'!$H$5:$H$13/12-'3. Assumptions'!$B$16)-'2. The tape'!$C$5:$C$13*'2. The tape'!$I$5:$I$13*(1+$R$5)^($A42/4))&gt;0)*('2. The tape'!$C$5:$C$13*'2. The tape'!$D$5:$D$13*(1-'2. The tape'!$J$5:$J$13)^($A42/4)*(1+$R$5)^($A42/4)*((1-'3. Assumptions'!$B$13)/($R$6)-'2. The tape'!$H$5:$H$13/12-'3. Assumptions'!$B$16)-'2. The tape'!$C$5:$C$13*'2. The tape'!$I$5:$I$13*(1+$R$5)^($A42/4)))</f>
        <v>57376209.7910783</v>
      </c>
      <c r="T42" s="33" t="n">
        <f aca="false">'2. The tape'!$C$17*(1+MIN(MAX($T$5,'3. Assumptions'!$B$11),'3. Assumptions'!$B$10))^INT(($A42-1)/4)/4*(1-'3. Assumptions'!$B$13)</f>
        <v>2998091.25</v>
      </c>
      <c r="U42" s="33" t="n">
        <f aca="false">(1-'3. Assumptions'!$B$15)*SUMPRODUCT((('2. The tape'!$C$5:$C$13*'2. The tape'!$D$5:$D$13*(1-'2. The tape'!$J$5:$J$13)^($A42/4)*(1+$T$5)^($A42/4)*((1-'3. Assumptions'!$B$13)/($T$6)-'2. The tape'!$H$5:$H$13/12-'3. Assumptions'!$B$16)-'2. The tape'!$C$5:$C$13*'2. The tape'!$I$5:$I$13*(1+$T$5)^($A42/4))&gt;0)*('2. The tape'!$C$5:$C$13*'2. The tape'!$D$5:$D$13*(1-'2. The tape'!$J$5:$J$13)^($A42/4)*(1+$T$5)^($A42/4)*((1-'3. Assumptions'!$B$13)/($T$6)-'2. The tape'!$H$5:$H$13/12-'3. Assumptions'!$B$16)-'2. The tape'!$C$5:$C$13*'2. The tape'!$I$5:$I$13*(1+$T$5)^($A42/4)))</f>
        <v>57310949.2677406</v>
      </c>
      <c r="V42" s="33" t="n">
        <f aca="false">'2. The tape'!$C$17*(1+MIN(MAX($V$5,'3. Assumptions'!$B$11),'3. Assumptions'!$B$10))^INT(($A42-1)/4)/4*(1-'3. Assumptions'!$B$13)</f>
        <v>2998091.25</v>
      </c>
      <c r="W42" s="33" t="n">
        <f aca="false">(1-'3. Assumptions'!$B$15)*SUMPRODUCT((('2. The tape'!$C$5:$C$13*'2. The tape'!$D$5:$D$13*(1-'2. The tape'!$J$5:$J$13)^($A42/4)*(1+$V$5)^($A42/4)*((1-'3. Assumptions'!$B$13)/($V$6)-'2. The tape'!$H$5:$H$13/12-'3. Assumptions'!$B$16)-'2. The tape'!$C$5:$C$13*'2. The tape'!$I$5:$I$13*(1+$V$5)^($A42/4))&gt;0)*('2. The tape'!$C$5:$C$13*'2. The tape'!$D$5:$D$13*(1-'2. The tape'!$J$5:$J$13)^($A42/4)*(1+$V$5)^($A42/4)*((1-'3. Assumptions'!$B$13)/($V$6)-'2. The tape'!$H$5:$H$13/12-'3. Assumptions'!$B$16)-'2. The tape'!$C$5:$C$13*'2. The tape'!$I$5:$I$13*(1+$V$5)^($A42/4)))</f>
        <v>57313570.1530783</v>
      </c>
      <c r="X42" s="33" t="n">
        <f aca="false">'2. The tape'!$C$17*(1+MIN(MAX($X$5,'3. Assumptions'!$B$11),'3. Assumptions'!$B$10))^INT(($A42-1)/4)/4*(1-'3. Assumptions'!$B$13)</f>
        <v>2998091.25</v>
      </c>
      <c r="Y42" s="33" t="n">
        <f aca="false">(1-'3. Assumptions'!$B$15)*SUMPRODUCT((('2. The tape'!$C$5:$C$13*'2. The tape'!$D$5:$D$13*(1-'2. The tape'!$J$5:$J$13)^($A42/4)*(1+$X$5)^($A42/4)*((1-'3. Assumptions'!$B$13)/($X$6)-'2. The tape'!$H$5:$H$13/12-'3. Assumptions'!$B$16)-'2. The tape'!$C$5:$C$13*'2. The tape'!$I$5:$I$13*(1+$X$5)^($A42/4))&gt;0)*('2. The tape'!$C$5:$C$13*'2. The tape'!$D$5:$D$13*(1-'2. The tape'!$J$5:$J$13)^($A42/4)*(1+$X$5)^($A42/4)*((1-'3. Assumptions'!$B$13)/($X$6)-'2. The tape'!$H$5:$H$13/12-'3. Assumptions'!$B$16)-'2. The tape'!$C$5:$C$13*'2. The tape'!$I$5:$I$13*(1+$X$5)^($A42/4)))</f>
        <v>57313567.3970007</v>
      </c>
      <c r="Z42" s="33" t="n">
        <f aca="false">'2. The tape'!$C$17*(1+MIN(MAX($Z$5,'3. Assumptions'!$B$11),'3. Assumptions'!$B$10))^INT(($A42-1)/4)/4*(1-'3. Assumptions'!$B$13)</f>
        <v>2998091.25</v>
      </c>
      <c r="AA42" s="33" t="n">
        <f aca="false">(1-'3. Assumptions'!$B$15)*SUMPRODUCT((('2. The tape'!$C$5:$C$13*'2. The tape'!$D$5:$D$13*(1-'2. The tape'!$J$5:$J$13)^($A42/4)*(1+$Z$5)^($A42/4)*((1-'3. Assumptions'!$B$13)/($Z$6)-'2. The tape'!$H$5:$H$13/12-'3. Assumptions'!$B$16)-'2. The tape'!$C$5:$C$13*'2. The tape'!$I$5:$I$13*(1+$Z$5)^($A42/4))&gt;0)*('2. The tape'!$C$5:$C$13*'2. The tape'!$D$5:$D$13*(1-'2. The tape'!$J$5:$J$13)^($A42/4)*(1+$Z$5)^($A42/4)*((1-'3. Assumptions'!$B$13)/($Z$6)-'2. The tape'!$H$5:$H$13/12-'3. Assumptions'!$B$16)-'2. The tape'!$C$5:$C$13*'2. The tape'!$I$5:$I$13*(1+$Z$5)^($A42/4)))</f>
        <v>57313567.3968794</v>
      </c>
      <c r="AB42" s="33" t="n">
        <f aca="false">'2. The tape'!$C$17*(1+MIN(MAX($AB$5,'3. Assumptions'!$B$11),'3. Assumptions'!$B$10))^INT(($A42-1)/4)/4*(1-'3. Assumptions'!$B$13)</f>
        <v>2998091.25</v>
      </c>
      <c r="AC42" s="33" t="n">
        <f aca="false">(1-'3. Assumptions'!$B$15)*SUMPRODUCT((('2. The tape'!$C$5:$C$13*'2. The tape'!$D$5:$D$13*(1-'2. The tape'!$J$5:$J$13)^($A42/4)*(1+$AB$5)^($A42/4)*((1-'3. Assumptions'!$B$13)/($AB$6)-'2. The tape'!$H$5:$H$13/12-'3. Assumptions'!$B$16)-'2. The tape'!$C$5:$C$13*'2. The tape'!$I$5:$I$13*(1+$AB$5)^($A42/4))&gt;0)*('2. The tape'!$C$5:$C$13*'2. The tape'!$D$5:$D$13*(1-'2. The tape'!$J$5:$J$13)^($A42/4)*(1+$AB$5)^($A42/4)*((1-'3. Assumptions'!$B$13)/($AB$6)-'2. The tape'!$H$5:$H$13/12-'3. Assumptions'!$B$16)-'2. The tape'!$C$5:$C$13*'2. The tape'!$I$5:$I$13*(1+$AB$5)^($A42/4)))</f>
        <v>57313567.3968794</v>
      </c>
      <c r="AD42" s="33" t="n">
        <f aca="false">'2. The tape'!$C$17*(1+MIN(MAX($AD$5,'3. Assumptions'!$B$11),'3. Assumptions'!$B$10))^INT(($A42-1)/4)/4*(1-'3. Assumptions'!$B$13)</f>
        <v>2998091.25</v>
      </c>
      <c r="AE42" s="33" t="n">
        <f aca="false">(1-'3. Assumptions'!$B$15)*SUMPRODUCT((('2. The tape'!$C$5:$C$13*'2. The tape'!$D$5:$D$13*(1-'2. The tape'!$J$5:$J$13)^($A42/4)*(1+$AD$5)^($A42/4)*((1-'3. Assumptions'!$B$13)/($AD$6)-'2. The tape'!$H$5:$H$13/12-'3. Assumptions'!$B$16)-'2. The tape'!$C$5:$C$13*'2. The tape'!$I$5:$I$13*(1+$AD$5)^($A42/4))&gt;0)*('2. The tape'!$C$5:$C$13*'2. The tape'!$D$5:$D$13*(1-'2. The tape'!$J$5:$J$13)^($A42/4)*(1+$AD$5)^($A42/4)*((1-'3. Assumptions'!$B$13)/($AD$6)-'2. The tape'!$H$5:$H$13/12-'3. Assumptions'!$B$16)-'2. The tape'!$C$5:$C$13*'2. The tape'!$I$5:$I$13*(1+$AD$5)^($A42/4)))</f>
        <v>57313567.3968794</v>
      </c>
      <c r="AF42" s="33" t="n">
        <f aca="false">'2. The tape'!$C$17*(1+MIN(MAX($AF$5,'3. Assumptions'!$B$11),'3. Assumptions'!$B$10))^INT(($A42-1)/4)/4*(1-'3. Assumptions'!$B$13)</f>
        <v>2998091.25</v>
      </c>
      <c r="AG42" s="33" t="n">
        <f aca="false">(1-'3. Assumptions'!$B$15)*SUMPRODUCT((('2. The tape'!$C$5:$C$13*'2. The tape'!$D$5:$D$13*(1-'2. The tape'!$J$5:$J$13)^($A42/4)*(1+$AF$5)^($A42/4)*((1-'3. Assumptions'!$B$13)/($AF$6)-'2. The tape'!$H$5:$H$13/12-'3. Assumptions'!$B$16)-'2. The tape'!$C$5:$C$13*'2. The tape'!$I$5:$I$13*(1+$AF$5)^($A42/4))&gt;0)*('2. The tape'!$C$5:$C$13*'2. The tape'!$D$5:$D$13*(1-'2. The tape'!$J$5:$J$13)^($A42/4)*(1+$AF$5)^($A42/4)*((1-'3. Assumptions'!$B$13)/($AF$6)-'2. The tape'!$H$5:$H$13/12-'3. Assumptions'!$B$16)-'2. The tape'!$C$5:$C$13*'2. The tape'!$I$5:$I$13*(1+$AF$5)^($A42/4)))</f>
        <v>57313567.3968794</v>
      </c>
      <c r="AH42" s="33" t="n">
        <f aca="false">'2. The tape'!$C$17*(1+MIN(MAX($AH$5,'3. Assumptions'!$B$11),'3. Assumptions'!$B$10))^INT(($A42-1)/4)/4*(1-'3. Assumptions'!$B$13)</f>
        <v>3416254.53884684</v>
      </c>
      <c r="AI42" s="33" t="n">
        <f aca="false">(1-'3. Assumptions'!$B$15)*SUMPRODUCT((('2. The tape'!$C$5:$C$13*'2. The tape'!$D$5:$D$13*(1-'2. The tape'!$J$5:$J$13)^($A42/4)*(1+$AH$5)^($A42/4)*((1-'3. Assumptions'!$B$13)/($AH$6)-'2. The tape'!$H$5:$H$13/12-'3. Assumptions'!$B$16)-'2. The tape'!$C$5:$C$13*'2. The tape'!$I$5:$I$13*(1+$AH$5)^($A42/4))&gt;0)*('2. The tape'!$C$5:$C$13*'2. The tape'!$D$5:$D$13*(1-'2. The tape'!$J$5:$J$13)^($A42/4)*(1+$AH$5)^($A42/4)*((1-'3. Assumptions'!$B$13)/($AH$6)-'2. The tape'!$H$5:$H$13/12-'3. Assumptions'!$B$16)-'2. The tape'!$C$5:$C$13*'2. The tape'!$I$5:$I$13*(1+$AH$5)^($A42/4)))</f>
        <v>156264733.420613</v>
      </c>
      <c r="AJ42" s="33" t="n">
        <f aca="false">'2. The tape'!$C$17*(1+MIN(MAX($AJ$5,'3. Assumptions'!$B$11),'3. Assumptions'!$B$10))^INT(($A42-1)/4)/4*(1-'3. Assumptions'!$B$13)</f>
        <v>3416254.53884684</v>
      </c>
      <c r="AK42" s="33" t="n">
        <f aca="false">(1-'3. Assumptions'!$B$15)*SUMPRODUCT((('2. The tape'!$C$5:$C$13*'2. The tape'!$D$5:$D$13*(1-'2. The tape'!$J$5:$J$13)^($A42/4)*(1+$AJ$5)^($A42/4)*((1-'3. Assumptions'!$B$13)/($AJ$6)-'2. The tape'!$H$5:$H$13/12-'3. Assumptions'!$B$16)-'2. The tape'!$C$5:$C$13*'2. The tape'!$I$5:$I$13*(1+$AJ$5)^($A42/4))&gt;0)*('2. The tape'!$C$5:$C$13*'2. The tape'!$D$5:$D$13*(1-'2. The tape'!$J$5:$J$13)^($A42/4)*(1+$AJ$5)^($A42/4)*((1-'3. Assumptions'!$B$13)/($AJ$6)-'2. The tape'!$H$5:$H$13/12-'3. Assumptions'!$B$16)-'2. The tape'!$C$5:$C$13*'2. The tape'!$I$5:$I$13*(1+$AJ$5)^($A42/4)))</f>
        <v>113196224.140297</v>
      </c>
      <c r="AL42" s="33" t="n">
        <f aca="false">'2. The tape'!$C$17*(1+MIN(MAX($AL$5,'3. Assumptions'!$B$11),'3. Assumptions'!$B$10))^INT(($A42-1)/4)/4*(1-'3. Assumptions'!$B$13)</f>
        <v>3416254.53884684</v>
      </c>
      <c r="AM42" s="33" t="n">
        <f aca="false">(1-'3. Assumptions'!$B$15)*SUMPRODUCT((('2. The tape'!$C$5:$C$13*'2. The tape'!$D$5:$D$13*(1-'2. The tape'!$J$5:$J$13)^($A42/4)*(1+$AL$5)^($A42/4)*((1-'3. Assumptions'!$B$13)/($AL$6)-'2. The tape'!$H$5:$H$13/12-'3. Assumptions'!$B$16)-'2. The tape'!$C$5:$C$13*'2. The tape'!$I$5:$I$13*(1+$AL$5)^($A42/4))&gt;0)*('2. The tape'!$C$5:$C$13*'2. The tape'!$D$5:$D$13*(1-'2. The tape'!$J$5:$J$13)^($A42/4)*(1+$AL$5)^($A42/4)*((1-'3. Assumptions'!$B$13)/($AL$6)-'2. The tape'!$H$5:$H$13/12-'3. Assumptions'!$B$16)-'2. The tape'!$C$5:$C$13*'2. The tape'!$I$5:$I$13*(1+$AL$5)^($A42/4)))</f>
        <v>129900063.363811</v>
      </c>
      <c r="AN42" s="33" t="n">
        <f aca="false">'2. The tape'!$C$17*(1+MIN(MAX($AN$5,'3. Assumptions'!$B$11),'3. Assumptions'!$B$10))^INT(($A42-1)/4)/4*(1-'3. Assumptions'!$B$13)</f>
        <v>3416254.53884684</v>
      </c>
      <c r="AO42" s="33" t="n">
        <f aca="false">(1-'3. Assumptions'!$B$15)*SUMPRODUCT((('2. The tape'!$C$5:$C$13*'2. The tape'!$D$5:$D$13*(1-'2. The tape'!$J$5:$J$13)^($A42/4)*(1+$AN$5)^($A42/4)*((1-'3. Assumptions'!$B$13)/($AN$6)-'2. The tape'!$H$5:$H$13/12-'3. Assumptions'!$B$16)-'2. The tape'!$C$5:$C$13*'2. The tape'!$I$5:$I$13*(1+$AN$5)^($A42/4))&gt;0)*('2. The tape'!$C$5:$C$13*'2. The tape'!$D$5:$D$13*(1-'2. The tape'!$J$5:$J$13)^($A42/4)*(1+$AN$5)^($A42/4)*((1-'3. Assumptions'!$B$13)/($AN$6)-'2. The tape'!$H$5:$H$13/12-'3. Assumptions'!$B$16)-'2. The tape'!$C$5:$C$13*'2. The tape'!$I$5:$I$13*(1+$AN$5)^($A42/4)))</f>
        <v>133027535.027313</v>
      </c>
      <c r="AP42" s="33" t="n">
        <f aca="false">'2. The tape'!$C$17*(1+MIN(MAX($AP$5,'3. Assumptions'!$B$11),'3. Assumptions'!$B$10))^INT(($A42-1)/4)/4*(1-'3. Assumptions'!$B$13)</f>
        <v>3416254.53884684</v>
      </c>
      <c r="AQ42" s="33" t="n">
        <f aca="false">(1-'3. Assumptions'!$B$15)*SUMPRODUCT((('2. The tape'!$C$5:$C$13*'2. The tape'!$D$5:$D$13*(1-'2. The tape'!$J$5:$J$13)^($A42/4)*(1+$AP$5)^($A42/4)*((1-'3. Assumptions'!$B$13)/($AP$6)-'2. The tape'!$H$5:$H$13/12-'3. Assumptions'!$B$16)-'2. The tape'!$C$5:$C$13*'2. The tape'!$I$5:$I$13*(1+$AP$5)^($A42/4))&gt;0)*('2. The tape'!$C$5:$C$13*'2. The tape'!$D$5:$D$13*(1-'2. The tape'!$J$5:$J$13)^($A42/4)*(1+$AP$5)^($A42/4)*((1-'3. Assumptions'!$B$13)/($AP$6)-'2. The tape'!$H$5:$H$13/12-'3. Assumptions'!$B$16)-'2. The tape'!$C$5:$C$13*'2. The tape'!$I$5:$I$13*(1+$AP$5)^($A42/4)))</f>
        <v>132641455.068143</v>
      </c>
      <c r="AR42" s="33" t="n">
        <f aca="false">'2. The tape'!$C$17*(1+MIN(MAX($AR$5,'3. Assumptions'!$B$11),'3. Assumptions'!$B$10))^INT(($A42-1)/4)/4*(1-'3. Assumptions'!$B$13)</f>
        <v>3416254.53884684</v>
      </c>
      <c r="AS42" s="33" t="n">
        <f aca="false">(1-'3. Assumptions'!$B$15)*SUMPRODUCT((('2. The tape'!$C$5:$C$13*'2. The tape'!$D$5:$D$13*(1-'2. The tape'!$J$5:$J$13)^($A42/4)*(1+$AR$5)^($A42/4)*((1-'3. Assumptions'!$B$13)/($AR$6)-'2. The tape'!$H$5:$H$13/12-'3. Assumptions'!$B$16)-'2. The tape'!$C$5:$C$13*'2. The tape'!$I$5:$I$13*(1+$AR$5)^($A42/4))&gt;0)*('2. The tape'!$C$5:$C$13*'2. The tape'!$D$5:$D$13*(1-'2. The tape'!$J$5:$J$13)^($A42/4)*(1+$AR$5)^($A42/4)*((1-'3. Assumptions'!$B$13)/($AR$6)-'2. The tape'!$H$5:$H$13/12-'3. Assumptions'!$B$16)-'2. The tape'!$C$5:$C$13*'2. The tape'!$I$5:$I$13*(1+$AR$5)^($A42/4)))</f>
        <v>132647932.936857</v>
      </c>
      <c r="AT42" s="33" t="n">
        <f aca="false">'2. The tape'!$C$17*(1+MIN(MAX($AT$5,'3. Assumptions'!$B$11),'3. Assumptions'!$B$10))^INT(($A42-1)/4)/4*(1-'3. Assumptions'!$B$13)</f>
        <v>3416254.53884684</v>
      </c>
      <c r="AU42" s="33" t="n">
        <f aca="false">(1-'3. Assumptions'!$B$15)*SUMPRODUCT((('2. The tape'!$C$5:$C$13*'2. The tape'!$D$5:$D$13*(1-'2. The tape'!$J$5:$J$13)^($A42/4)*(1+$AT$5)^($A42/4)*((1-'3. Assumptions'!$B$13)/($AT$6)-'2. The tape'!$H$5:$H$13/12-'3. Assumptions'!$B$16)-'2. The tape'!$C$5:$C$13*'2. The tape'!$I$5:$I$13*(1+$AT$5)^($A42/4))&gt;0)*('2. The tape'!$C$5:$C$13*'2. The tape'!$D$5:$D$13*(1-'2. The tape'!$J$5:$J$13)^($A42/4)*(1+$AT$5)^($A42/4)*((1-'3. Assumptions'!$B$13)/($AT$6)-'2. The tape'!$H$5:$H$13/12-'3. Assumptions'!$B$16)-'2. The tape'!$C$5:$C$13*'2. The tape'!$I$5:$I$13*(1+$AT$5)^($A42/4)))</f>
        <v>132647948.022183</v>
      </c>
      <c r="AV42" s="33" t="n">
        <f aca="false">'2. The tape'!$C$17*(1+MIN(MAX($AV$5,'3. Assumptions'!$B$11),'3. Assumptions'!$B$10))^INT(($A42-1)/4)/4*(1-'3. Assumptions'!$B$13)</f>
        <v>3416254.53884684</v>
      </c>
      <c r="AW42" s="33" t="n">
        <f aca="false">(1-'3. Assumptions'!$B$15)*SUMPRODUCT((('2. The tape'!$C$5:$C$13*'2. The tape'!$D$5:$D$13*(1-'2. The tape'!$J$5:$J$13)^($A42/4)*(1+$AV$5)^($A42/4)*((1-'3. Assumptions'!$B$13)/($AV$6)-'2. The tape'!$H$5:$H$13/12-'3. Assumptions'!$B$16)-'2. The tape'!$C$5:$C$13*'2. The tape'!$I$5:$I$13*(1+$AV$5)^($A42/4))&gt;0)*('2. The tape'!$C$5:$C$13*'2. The tape'!$D$5:$D$13*(1-'2. The tape'!$J$5:$J$13)^($A42/4)*(1+$AV$5)^($A42/4)*((1-'3. Assumptions'!$B$13)/($AV$6)-'2. The tape'!$H$5:$H$13/12-'3. Assumptions'!$B$16)-'2. The tape'!$C$5:$C$13*'2. The tape'!$I$5:$I$13*(1+$AV$5)^($A42/4)))</f>
        <v>132647948.021583</v>
      </c>
      <c r="AX42" s="33" t="n">
        <f aca="false">'2. The tape'!$C$17*(1+MIN(MAX($AX$5,'3. Assumptions'!$B$11),'3. Assumptions'!$B$10))^INT(($A42-1)/4)/4*(1-'3. Assumptions'!$B$13)</f>
        <v>3416254.53884684</v>
      </c>
      <c r="AY42" s="33" t="n">
        <f aca="false">(1-'3. Assumptions'!$B$15)*SUMPRODUCT((('2. The tape'!$C$5:$C$13*'2. The tape'!$D$5:$D$13*(1-'2. The tape'!$J$5:$J$13)^($A42/4)*(1+$AX$5)^($A42/4)*((1-'3. Assumptions'!$B$13)/($AX$6)-'2. The tape'!$H$5:$H$13/12-'3. Assumptions'!$B$16)-'2. The tape'!$C$5:$C$13*'2. The tape'!$I$5:$I$13*(1+$AX$5)^($A42/4))&gt;0)*('2. The tape'!$C$5:$C$13*'2. The tape'!$D$5:$D$13*(1-'2. The tape'!$J$5:$J$13)^($A42/4)*(1+$AX$5)^($A42/4)*((1-'3. Assumptions'!$B$13)/($AX$6)-'2. The tape'!$H$5:$H$13/12-'3. Assumptions'!$B$16)-'2. The tape'!$C$5:$C$13*'2. The tape'!$I$5:$I$13*(1+$AX$5)^($A42/4)))</f>
        <v>132647948.021583</v>
      </c>
      <c r="AZ42" s="33" t="n">
        <f aca="false">'2. The tape'!$C$17*(1+MIN(MAX($AZ$5,'3. Assumptions'!$B$11),'3. Assumptions'!$B$10))^INT(($A42-1)/4)/4*(1-'3. Assumptions'!$B$13)</f>
        <v>3416254.53884684</v>
      </c>
      <c r="BA42" s="33" t="n">
        <f aca="false">(1-'3. Assumptions'!$B$15)*SUMPRODUCT((('2. The tape'!$C$5:$C$13*'2. The tape'!$D$5:$D$13*(1-'2. The tape'!$J$5:$J$13)^($A42/4)*(1+$AZ$5)^($A42/4)*((1-'3. Assumptions'!$B$13)/($AZ$6)-'2. The tape'!$H$5:$H$13/12-'3. Assumptions'!$B$16)-'2. The tape'!$C$5:$C$13*'2. The tape'!$I$5:$I$13*(1+$AZ$5)^($A42/4))&gt;0)*('2. The tape'!$C$5:$C$13*'2. The tape'!$D$5:$D$13*(1-'2. The tape'!$J$5:$J$13)^($A42/4)*(1+$AZ$5)^($A42/4)*((1-'3. Assumptions'!$B$13)/($AZ$6)-'2. The tape'!$H$5:$H$13/12-'3. Assumptions'!$B$16)-'2. The tape'!$C$5:$C$13*'2. The tape'!$I$5:$I$13*(1+$AZ$5)^($A42/4)))</f>
        <v>132647948.021583</v>
      </c>
    </row>
    <row r="43" customFormat="false" ht="15" hidden="false" customHeight="false" outlineLevel="0" collapsed="false">
      <c r="A43" s="20" t="n">
        <v>28</v>
      </c>
      <c r="B43" s="33" t="n">
        <f aca="false">'2. The tape'!$C$17*(1+MIN(MAX($B$5,'3. Assumptions'!$B$11),'3. Assumptions'!$B$10))^INT(($A43-1)/4)/4*(1-'3. Assumptions'!$B$13)</f>
        <v>3416254.53884684</v>
      </c>
      <c r="C43" s="33" t="n">
        <f aca="false">(1-'3. Assumptions'!$B$15)*SUMPRODUCT((('2. The tape'!$C$5:$C$13*'2. The tape'!$D$5:$D$13*(1-'2. The tape'!$J$5:$J$13)^($A43/4)*(1+$B$5)^($A43/4)*((1-'3. Assumptions'!$B$13)/($B$6)-'2. The tape'!$H$5:$H$13/12-'3. Assumptions'!$B$16)-'2. The tape'!$C$5:$C$13*'2. The tape'!$I$5:$I$13*(1+$B$5)^($A43/4))&gt;0)*('2. The tape'!$C$5:$C$13*'2. The tape'!$D$5:$D$13*(1-'2. The tape'!$J$5:$J$13)^($A43/4)*(1+$B$5)^($A43/4)*((1-'3. Assumptions'!$B$13)/($B$6)-'2. The tape'!$H$5:$H$13/12-'3. Assumptions'!$B$16)-'2. The tape'!$C$5:$C$13*'2. The tape'!$I$5:$I$13*(1+$B$5)^($A43/4)))</f>
        <v>79321889.4447364</v>
      </c>
      <c r="D43" s="33" t="n">
        <f aca="false">'2. The tape'!$C$17*(1+MIN(MAX($D$5,'3. Assumptions'!$B$11),'3. Assumptions'!$B$10))^INT(($A43-1)/4)/4*(1-'3. Assumptions'!$B$13)</f>
        <v>3579877.742266</v>
      </c>
      <c r="E43" s="33" t="n">
        <f aca="false">(1-'3. Assumptions'!$B$15)*SUMPRODUCT((('2. The tape'!$C$5:$C$13*'2. The tape'!$D$5:$D$13*(1-'2. The tape'!$J$5:$J$13)^($A43/4)*(1+$D$5)^($A43/4)*((1-'3. Assumptions'!$B$13)/($D$6)-'2. The tape'!$H$5:$H$13/12-'3. Assumptions'!$B$16)-'2. The tape'!$C$5:$C$13*'2. The tape'!$I$5:$I$13*(1+$D$5)^($A43/4))&gt;0)*('2. The tape'!$C$5:$C$13*'2. The tape'!$D$5:$D$13*(1-'2. The tape'!$J$5:$J$13)^($A43/4)*(1+$D$5)^($A43/4)*((1-'3. Assumptions'!$B$13)/($D$6)-'2. The tape'!$H$5:$H$13/12-'3. Assumptions'!$B$16)-'2. The tape'!$C$5:$C$13*'2. The tape'!$I$5:$I$13*(1+$D$5)^($A43/4)))</f>
        <v>86660108.5105729</v>
      </c>
      <c r="F43" s="33" t="n">
        <f aca="false">'2. The tape'!$C$17*(1+MIN(MAX($F$5,'3. Assumptions'!$B$11),'3. Assumptions'!$B$10))^INT(($A43-1)/4)/4*(1-'3. Assumptions'!$B$13)</f>
        <v>3182534.27521554</v>
      </c>
      <c r="G43" s="33" t="n">
        <f aca="false">(1-'3. Assumptions'!$B$15)*SUMPRODUCT((('2. The tape'!$C$5:$C$13*'2. The tape'!$D$5:$D$13*(1-'2. The tape'!$J$5:$J$13)^($A43/4)*(1+$F$5)^($A43/4)*((1-'3. Assumptions'!$B$13)/($F$6)-'2. The tape'!$H$5:$H$13/12-'3. Assumptions'!$B$16)-'2. The tape'!$C$5:$C$13*'2. The tape'!$I$5:$I$13*(1+$F$5)^($A43/4))&gt;0)*('2. The tape'!$C$5:$C$13*'2. The tape'!$D$5:$D$13*(1-'2. The tape'!$J$5:$J$13)^($A43/4)*(1+$F$5)^($A43/4)*((1-'3. Assumptions'!$B$13)/($F$6)-'2. The tape'!$H$5:$H$13/12-'3. Assumptions'!$B$16)-'2. The tape'!$C$5:$C$13*'2. The tape'!$I$5:$I$13*(1+$F$5)^($A43/4)))</f>
        <v>73027493.7827556</v>
      </c>
      <c r="H43" s="33" t="n">
        <f aca="false">'2. The tape'!$C$17*(1+MIN(MAX($H$5,'3. Assumptions'!$B$11),'3. Assumptions'!$B$10))^INT(($A43-1)/4)/4*(1-'3. Assumptions'!$B$13)</f>
        <v>3579877.742266</v>
      </c>
      <c r="I43" s="33" t="n">
        <f aca="false">(1-'3. Assumptions'!$B$15)*SUMPRODUCT((('2. The tape'!$C$5:$C$13*'2. The tape'!$D$5:$D$13*(1-'2. The tape'!$J$5:$J$13)^($A43/4)*(1+$H$5)^($A43/4)*((1-'3. Assumptions'!$B$13)/($H$6)-'2. The tape'!$H$5:$H$13/12-'3. Assumptions'!$B$16)-'2. The tape'!$C$5:$C$13*'2. The tape'!$I$5:$I$13*(1+$H$5)^($A43/4))&gt;0)*('2. The tape'!$C$5:$C$13*'2. The tape'!$D$5:$D$13*(1-'2. The tape'!$J$5:$J$13)^($A43/4)*(1+$H$5)^($A43/4)*((1-'3. Assumptions'!$B$13)/($H$6)-'2. The tape'!$H$5:$H$13/12-'3. Assumptions'!$B$16)-'2. The tape'!$C$5:$C$13*'2. The tape'!$I$5:$I$13*(1+$H$5)^($A43/4)))</f>
        <v>86660108.5105729</v>
      </c>
      <c r="J43" s="33" t="n">
        <f aca="false">'2. The tape'!$C$17*(1+MIN(MAX($J$5,'3. Assumptions'!$B$11),'3. Assumptions'!$B$10))^INT(($A43-1)/4)/4*(1-'3. Assumptions'!$B$13)</f>
        <v>3416254.53884684</v>
      </c>
      <c r="K43" s="33" t="n">
        <f aca="false">(1-'3. Assumptions'!$B$15)*SUMPRODUCT((('2. The tape'!$C$5:$C$13*'2. The tape'!$D$5:$D$13*(1-'2. The tape'!$J$5:$J$13)^($A43/4)*(1+$J$5)^($A43/4)*((1-'3. Assumptions'!$B$13)/($J$6)-'2. The tape'!$H$5:$H$13/12-'3. Assumptions'!$B$16)-'2. The tape'!$C$5:$C$13*'2. The tape'!$I$5:$I$13*(1+$J$5)^($A43/4))&gt;0)*('2. The tape'!$C$5:$C$13*'2. The tape'!$D$5:$D$13*(1-'2. The tape'!$J$5:$J$13)^($A43/4)*(1+$J$5)^($A43/4)*((1-'3. Assumptions'!$B$13)/($J$6)-'2. The tape'!$H$5:$H$13/12-'3. Assumptions'!$B$16)-'2. The tape'!$C$5:$C$13*'2. The tape'!$I$5:$I$13*(1+$J$5)^($A43/4)))</f>
        <v>65248644.2340789</v>
      </c>
      <c r="L43" s="33" t="n">
        <f aca="false">'2. The tape'!$C$17*(1+MIN(MAX($L$5,'3. Assumptions'!$B$11),'3. Assumptions'!$B$10))^INT(($A43-1)/4)/4*(1-'3. Assumptions'!$B$13)</f>
        <v>3579877.742266</v>
      </c>
      <c r="M43" s="33" t="n">
        <f aca="false">(1-'3. Assumptions'!$B$15)*SUMPRODUCT((('2. The tape'!$C$5:$C$13*'2. The tape'!$D$5:$D$13*(1-'2. The tape'!$J$5:$J$13)^($A43/4)*(1+$L$5)^($A43/4)*((1-'3. Assumptions'!$B$13)/($L$6)-'2. The tape'!$H$5:$H$13/12-'3. Assumptions'!$B$16)-'2. The tape'!$C$5:$C$13*'2. The tape'!$I$5:$I$13*(1+$L$5)^($A43/4))&gt;0)*('2. The tape'!$C$5:$C$13*'2. The tape'!$D$5:$D$13*(1-'2. The tape'!$J$5:$J$13)^($A43/4)*(1+$L$5)^($A43/4)*((1-'3. Assumptions'!$B$13)/($L$6)-'2. The tape'!$H$5:$H$13/12-'3. Assumptions'!$B$16)-'2. The tape'!$C$5:$C$13*'2. The tape'!$I$5:$I$13*(1+$L$5)^($A43/4)))</f>
        <v>427405637.365577</v>
      </c>
      <c r="N43" s="33" t="n">
        <f aca="false">'2. The tape'!$C$17*(1+MIN(MAX($N$5,'3. Assumptions'!$B$11),'3. Assumptions'!$B$10))^INT(($A43-1)/4)/4*(1-'3. Assumptions'!$B$13)</f>
        <v>2998091.25</v>
      </c>
      <c r="O43" s="33" t="n">
        <f aca="false">(1-'3. Assumptions'!$B$15)*SUMPRODUCT((('2. The tape'!$C$5:$C$13*'2. The tape'!$D$5:$D$13*(1-'2. The tape'!$J$5:$J$13)^($A43/4)*(1+$N$5)^($A43/4)*((1-'3. Assumptions'!$B$13)/($N$6)-'2. The tape'!$H$5:$H$13/12-'3. Assumptions'!$B$16)-'2. The tape'!$C$5:$C$13*'2. The tape'!$I$5:$I$13*(1+$N$5)^($A43/4))&gt;0)*('2. The tape'!$C$5:$C$13*'2. The tape'!$D$5:$D$13*(1-'2. The tape'!$J$5:$J$13)^($A43/4)*(1+$N$5)^($A43/4)*((1-'3. Assumptions'!$B$13)/($N$6)-'2. The tape'!$H$5:$H$13/12-'3. Assumptions'!$B$16)-'2. The tape'!$C$5:$C$13*'2. The tape'!$I$5:$I$13*(1+$N$5)^($A43/4)))</f>
        <v>55034993.5368402</v>
      </c>
      <c r="P43" s="33" t="n">
        <f aca="false">'2. The tape'!$C$17*(1+MIN(MAX($P$5,'3. Assumptions'!$B$11),'3. Assumptions'!$B$10))^INT(($A43-1)/4)/4*(1-'3. Assumptions'!$B$13)</f>
        <v>2998091.25</v>
      </c>
      <c r="Q43" s="33" t="n">
        <f aca="false">(1-'3. Assumptions'!$B$15)*SUMPRODUCT((('2. The tape'!$C$5:$C$13*'2. The tape'!$D$5:$D$13*(1-'2. The tape'!$J$5:$J$13)^($A43/4)*(1+$P$5)^($A43/4)*((1-'3. Assumptions'!$B$13)/($P$6)-'2. The tape'!$H$5:$H$13/12-'3. Assumptions'!$B$16)-'2. The tape'!$C$5:$C$13*'2. The tape'!$I$5:$I$13*(1+$P$5)^($A43/4))&gt;0)*('2. The tape'!$C$5:$C$13*'2. The tape'!$D$5:$D$13*(1-'2. The tape'!$J$5:$J$13)^($A43/4)*(1+$P$5)^($A43/4)*((1-'3. Assumptions'!$B$13)/($P$6)-'2. The tape'!$H$5:$H$13/12-'3. Assumptions'!$B$16)-'2. The tape'!$C$5:$C$13*'2. The tape'!$I$5:$I$13*(1+$P$5)^($A43/4)))</f>
        <v>59131556.344295</v>
      </c>
      <c r="R43" s="33" t="n">
        <f aca="false">'2. The tape'!$C$17*(1+MIN(MAX($R$5,'3. Assumptions'!$B$11),'3. Assumptions'!$B$10))^INT(($A43-1)/4)/4*(1-'3. Assumptions'!$B$13)</f>
        <v>2998091.25</v>
      </c>
      <c r="S43" s="33" t="n">
        <f aca="false">(1-'3. Assumptions'!$B$15)*SUMPRODUCT((('2. The tape'!$C$5:$C$13*'2. The tape'!$D$5:$D$13*(1-'2. The tape'!$J$5:$J$13)^($A43/4)*(1+$R$5)^($A43/4)*((1-'3. Assumptions'!$B$13)/($R$6)-'2. The tape'!$H$5:$H$13/12-'3. Assumptions'!$B$16)-'2. The tape'!$C$5:$C$13*'2. The tape'!$I$5:$I$13*(1+$R$5)^($A43/4))&gt;0)*('2. The tape'!$C$5:$C$13*'2. The tape'!$D$5:$D$13*(1-'2. The tape'!$J$5:$J$13)^($A43/4)*(1+$R$5)^($A43/4)*((1-'3. Assumptions'!$B$13)/($R$6)-'2. The tape'!$H$5:$H$13/12-'3. Assumptions'!$B$16)-'2. The tape'!$C$5:$C$13*'2. The tape'!$I$5:$I$13*(1+$R$5)^($A43/4)))</f>
        <v>56621643.7977579</v>
      </c>
      <c r="T43" s="33" t="n">
        <f aca="false">'2. The tape'!$C$17*(1+MIN(MAX($T$5,'3. Assumptions'!$B$11),'3. Assumptions'!$B$10))^INT(($A43-1)/4)/4*(1-'3. Assumptions'!$B$13)</f>
        <v>2998091.25</v>
      </c>
      <c r="U43" s="33" t="n">
        <f aca="false">(1-'3. Assumptions'!$B$15)*SUMPRODUCT((('2. The tape'!$C$5:$C$13*'2. The tape'!$D$5:$D$13*(1-'2. The tape'!$J$5:$J$13)^($A43/4)*(1+$T$5)^($A43/4)*((1-'3. Assumptions'!$B$13)/($T$6)-'2. The tape'!$H$5:$H$13/12-'3. Assumptions'!$B$16)-'2. The tape'!$C$5:$C$13*'2. The tape'!$I$5:$I$13*(1+$T$5)^($A43/4))&gt;0)*('2. The tape'!$C$5:$C$13*'2. The tape'!$D$5:$D$13*(1-'2. The tape'!$J$5:$J$13)^($A43/4)*(1+$T$5)^($A43/4)*((1-'3. Assumptions'!$B$13)/($T$6)-'2. The tape'!$H$5:$H$13/12-'3. Assumptions'!$B$16)-'2. The tape'!$C$5:$C$13*'2. The tape'!$I$5:$I$13*(1+$T$5)^($A43/4)))</f>
        <v>56554857.6666424</v>
      </c>
      <c r="V43" s="33" t="n">
        <f aca="false">'2. The tape'!$C$17*(1+MIN(MAX($V$5,'3. Assumptions'!$B$11),'3. Assumptions'!$B$10))^INT(($A43-1)/4)/4*(1-'3. Assumptions'!$B$13)</f>
        <v>2998091.25</v>
      </c>
      <c r="W43" s="33" t="n">
        <f aca="false">(1-'3. Assumptions'!$B$15)*SUMPRODUCT((('2. The tape'!$C$5:$C$13*'2. The tape'!$D$5:$D$13*(1-'2. The tape'!$J$5:$J$13)^($A43/4)*(1+$V$5)^($A43/4)*((1-'3. Assumptions'!$B$13)/($V$6)-'2. The tape'!$H$5:$H$13/12-'3. Assumptions'!$B$16)-'2. The tape'!$C$5:$C$13*'2. The tape'!$I$5:$I$13*(1+$V$5)^($A43/4))&gt;0)*('2. The tape'!$C$5:$C$13*'2. The tape'!$D$5:$D$13*(1-'2. The tape'!$J$5:$J$13)^($A43/4)*(1+$V$5)^($A43/4)*((1-'3. Assumptions'!$B$13)/($V$6)-'2. The tape'!$H$5:$H$13/12-'3. Assumptions'!$B$16)-'2. The tape'!$C$5:$C$13*'2. The tape'!$I$5:$I$13*(1+$V$5)^($A43/4)))</f>
        <v>56557539.7666536</v>
      </c>
      <c r="X43" s="33" t="n">
        <f aca="false">'2. The tape'!$C$17*(1+MIN(MAX($X$5,'3. Assumptions'!$B$11),'3. Assumptions'!$B$10))^INT(($A43-1)/4)/4*(1-'3. Assumptions'!$B$13)</f>
        <v>2998091.25</v>
      </c>
      <c r="Y43" s="33" t="n">
        <f aca="false">(1-'3. Assumptions'!$B$15)*SUMPRODUCT((('2. The tape'!$C$5:$C$13*'2. The tape'!$D$5:$D$13*(1-'2. The tape'!$J$5:$J$13)^($A43/4)*(1+$X$5)^($A43/4)*((1-'3. Assumptions'!$B$13)/($X$6)-'2. The tape'!$H$5:$H$13/12-'3. Assumptions'!$B$16)-'2. The tape'!$C$5:$C$13*'2. The tape'!$I$5:$I$13*(1+$X$5)^($A43/4))&gt;0)*('2. The tape'!$C$5:$C$13*'2. The tape'!$D$5:$D$13*(1-'2. The tape'!$J$5:$J$13)^($A43/4)*(1+$X$5)^($A43/4)*((1-'3. Assumptions'!$B$13)/($X$6)-'2. The tape'!$H$5:$H$13/12-'3. Assumptions'!$B$16)-'2. The tape'!$C$5:$C$13*'2. The tape'!$I$5:$I$13*(1+$X$5)^($A43/4)))</f>
        <v>56557536.9462013</v>
      </c>
      <c r="Z43" s="33" t="n">
        <f aca="false">'2. The tape'!$C$17*(1+MIN(MAX($Z$5,'3. Assumptions'!$B$11),'3. Assumptions'!$B$10))^INT(($A43-1)/4)/4*(1-'3. Assumptions'!$B$13)</f>
        <v>2998091.25</v>
      </c>
      <c r="AA43" s="33" t="n">
        <f aca="false">(1-'3. Assumptions'!$B$15)*SUMPRODUCT((('2. The tape'!$C$5:$C$13*'2. The tape'!$D$5:$D$13*(1-'2. The tape'!$J$5:$J$13)^($A43/4)*(1+$Z$5)^($A43/4)*((1-'3. Assumptions'!$B$13)/($Z$6)-'2. The tape'!$H$5:$H$13/12-'3. Assumptions'!$B$16)-'2. The tape'!$C$5:$C$13*'2. The tape'!$I$5:$I$13*(1+$Z$5)^($A43/4))&gt;0)*('2. The tape'!$C$5:$C$13*'2. The tape'!$D$5:$D$13*(1-'2. The tape'!$J$5:$J$13)^($A43/4)*(1+$Z$5)^($A43/4)*((1-'3. Assumptions'!$B$13)/($Z$6)-'2. The tape'!$H$5:$H$13/12-'3. Assumptions'!$B$16)-'2. The tape'!$C$5:$C$13*'2. The tape'!$I$5:$I$13*(1+$Z$5)^($A43/4)))</f>
        <v>56557536.9460772</v>
      </c>
      <c r="AB43" s="33" t="n">
        <f aca="false">'2. The tape'!$C$17*(1+MIN(MAX($AB$5,'3. Assumptions'!$B$11),'3. Assumptions'!$B$10))^INT(($A43-1)/4)/4*(1-'3. Assumptions'!$B$13)</f>
        <v>2998091.25</v>
      </c>
      <c r="AC43" s="33" t="n">
        <f aca="false">(1-'3. Assumptions'!$B$15)*SUMPRODUCT((('2. The tape'!$C$5:$C$13*'2. The tape'!$D$5:$D$13*(1-'2. The tape'!$J$5:$J$13)^($A43/4)*(1+$AB$5)^($A43/4)*((1-'3. Assumptions'!$B$13)/($AB$6)-'2. The tape'!$H$5:$H$13/12-'3. Assumptions'!$B$16)-'2. The tape'!$C$5:$C$13*'2. The tape'!$I$5:$I$13*(1+$AB$5)^($A43/4))&gt;0)*('2. The tape'!$C$5:$C$13*'2. The tape'!$D$5:$D$13*(1-'2. The tape'!$J$5:$J$13)^($A43/4)*(1+$AB$5)^($A43/4)*((1-'3. Assumptions'!$B$13)/($AB$6)-'2. The tape'!$H$5:$H$13/12-'3. Assumptions'!$B$16)-'2. The tape'!$C$5:$C$13*'2. The tape'!$I$5:$I$13*(1+$AB$5)^($A43/4)))</f>
        <v>56557536.9460772</v>
      </c>
      <c r="AD43" s="33" t="n">
        <f aca="false">'2. The tape'!$C$17*(1+MIN(MAX($AD$5,'3. Assumptions'!$B$11),'3. Assumptions'!$B$10))^INT(($A43-1)/4)/4*(1-'3. Assumptions'!$B$13)</f>
        <v>2998091.25</v>
      </c>
      <c r="AE43" s="33" t="n">
        <f aca="false">(1-'3. Assumptions'!$B$15)*SUMPRODUCT((('2. The tape'!$C$5:$C$13*'2. The tape'!$D$5:$D$13*(1-'2. The tape'!$J$5:$J$13)^($A43/4)*(1+$AD$5)^($A43/4)*((1-'3. Assumptions'!$B$13)/($AD$6)-'2. The tape'!$H$5:$H$13/12-'3. Assumptions'!$B$16)-'2. The tape'!$C$5:$C$13*'2. The tape'!$I$5:$I$13*(1+$AD$5)^($A43/4))&gt;0)*('2. The tape'!$C$5:$C$13*'2. The tape'!$D$5:$D$13*(1-'2. The tape'!$J$5:$J$13)^($A43/4)*(1+$AD$5)^($A43/4)*((1-'3. Assumptions'!$B$13)/($AD$6)-'2. The tape'!$H$5:$H$13/12-'3. Assumptions'!$B$16)-'2. The tape'!$C$5:$C$13*'2. The tape'!$I$5:$I$13*(1+$AD$5)^($A43/4)))</f>
        <v>56557536.9460772</v>
      </c>
      <c r="AF43" s="33" t="n">
        <f aca="false">'2. The tape'!$C$17*(1+MIN(MAX($AF$5,'3. Assumptions'!$B$11),'3. Assumptions'!$B$10))^INT(($A43-1)/4)/4*(1-'3. Assumptions'!$B$13)</f>
        <v>2998091.25</v>
      </c>
      <c r="AG43" s="33" t="n">
        <f aca="false">(1-'3. Assumptions'!$B$15)*SUMPRODUCT((('2. The tape'!$C$5:$C$13*'2. The tape'!$D$5:$D$13*(1-'2. The tape'!$J$5:$J$13)^($A43/4)*(1+$AF$5)^($A43/4)*((1-'3. Assumptions'!$B$13)/($AF$6)-'2. The tape'!$H$5:$H$13/12-'3. Assumptions'!$B$16)-'2. The tape'!$C$5:$C$13*'2. The tape'!$I$5:$I$13*(1+$AF$5)^($A43/4))&gt;0)*('2. The tape'!$C$5:$C$13*'2. The tape'!$D$5:$D$13*(1-'2. The tape'!$J$5:$J$13)^($A43/4)*(1+$AF$5)^($A43/4)*((1-'3. Assumptions'!$B$13)/($AF$6)-'2. The tape'!$H$5:$H$13/12-'3. Assumptions'!$B$16)-'2. The tape'!$C$5:$C$13*'2. The tape'!$I$5:$I$13*(1+$AF$5)^($A43/4)))</f>
        <v>56557536.9460772</v>
      </c>
      <c r="AH43" s="33" t="n">
        <f aca="false">'2. The tape'!$C$17*(1+MIN(MAX($AH$5,'3. Assumptions'!$B$11),'3. Assumptions'!$B$10))^INT(($A43-1)/4)/4*(1-'3. Assumptions'!$B$13)</f>
        <v>3416254.53884684</v>
      </c>
      <c r="AI43" s="33" t="n">
        <f aca="false">(1-'3. Assumptions'!$B$15)*SUMPRODUCT((('2. The tape'!$C$5:$C$13*'2. The tape'!$D$5:$D$13*(1-'2. The tape'!$J$5:$J$13)^($A43/4)*(1+$AH$5)^($A43/4)*((1-'3. Assumptions'!$B$13)/($AH$6)-'2. The tape'!$H$5:$H$13/12-'3. Assumptions'!$B$16)-'2. The tape'!$C$5:$C$13*'2. The tape'!$I$5:$I$13*(1+$AH$5)^($A43/4))&gt;0)*('2. The tape'!$C$5:$C$13*'2. The tape'!$D$5:$D$13*(1-'2. The tape'!$J$5:$J$13)^($A43/4)*(1+$AH$5)^($A43/4)*((1-'3. Assumptions'!$B$13)/($AH$6)-'2. The tape'!$H$5:$H$13/12-'3. Assumptions'!$B$16)-'2. The tape'!$C$5:$C$13*'2. The tape'!$I$5:$I$13*(1+$AH$5)^($A43/4)))</f>
        <v>156161808.294926</v>
      </c>
      <c r="AJ43" s="33" t="n">
        <f aca="false">'2. The tape'!$C$17*(1+MIN(MAX($AJ$5,'3. Assumptions'!$B$11),'3. Assumptions'!$B$10))^INT(($A43-1)/4)/4*(1-'3. Assumptions'!$B$13)</f>
        <v>3416254.53884684</v>
      </c>
      <c r="AK43" s="33" t="n">
        <f aca="false">(1-'3. Assumptions'!$B$15)*SUMPRODUCT((('2. The tape'!$C$5:$C$13*'2. The tape'!$D$5:$D$13*(1-'2. The tape'!$J$5:$J$13)^($A43/4)*(1+$AJ$5)^($A43/4)*((1-'3. Assumptions'!$B$13)/($AJ$6)-'2. The tape'!$H$5:$H$13/12-'3. Assumptions'!$B$16)-'2. The tape'!$C$5:$C$13*'2. The tape'!$I$5:$I$13*(1+$AJ$5)^($A43/4))&gt;0)*('2. The tape'!$C$5:$C$13*'2. The tape'!$D$5:$D$13*(1-'2. The tape'!$J$5:$J$13)^($A43/4)*(1+$AJ$5)^($A43/4)*((1-'3. Assumptions'!$B$13)/($AJ$6)-'2. The tape'!$H$5:$H$13/12-'3. Assumptions'!$B$16)-'2. The tape'!$C$5:$C$13*'2. The tape'!$I$5:$I$13*(1+$AJ$5)^($A43/4)))</f>
        <v>113097677.950314</v>
      </c>
      <c r="AL43" s="33" t="n">
        <f aca="false">'2. The tape'!$C$17*(1+MIN(MAX($AL$5,'3. Assumptions'!$B$11),'3. Assumptions'!$B$10))^INT(($A43-1)/4)/4*(1-'3. Assumptions'!$B$13)</f>
        <v>3416254.53884684</v>
      </c>
      <c r="AM43" s="33" t="n">
        <f aca="false">(1-'3. Assumptions'!$B$15)*SUMPRODUCT((('2. The tape'!$C$5:$C$13*'2. The tape'!$D$5:$D$13*(1-'2. The tape'!$J$5:$J$13)^($A43/4)*(1+$AL$5)^($A43/4)*((1-'3. Assumptions'!$B$13)/($AL$6)-'2. The tape'!$H$5:$H$13/12-'3. Assumptions'!$B$16)-'2. The tape'!$C$5:$C$13*'2. The tape'!$I$5:$I$13*(1+$AL$5)^($A43/4))&gt;0)*('2. The tape'!$C$5:$C$13*'2. The tape'!$D$5:$D$13*(1-'2. The tape'!$J$5:$J$13)^($A43/4)*(1+$AL$5)^($A43/4)*((1-'3. Assumptions'!$B$13)/($AL$6)-'2. The tape'!$H$5:$H$13/12-'3. Assumptions'!$B$16)-'2. The tape'!$C$5:$C$13*'2. The tape'!$I$5:$I$13*(1+$AL$5)^($A43/4)))</f>
        <v>129799818.832298</v>
      </c>
      <c r="AN43" s="33" t="n">
        <f aca="false">'2. The tape'!$C$17*(1+MIN(MAX($AN$5,'3. Assumptions'!$B$11),'3. Assumptions'!$B$10))^INT(($A43-1)/4)/4*(1-'3. Assumptions'!$B$13)</f>
        <v>3416254.53884684</v>
      </c>
      <c r="AO43" s="33" t="n">
        <f aca="false">(1-'3. Assumptions'!$B$15)*SUMPRODUCT((('2. The tape'!$C$5:$C$13*'2. The tape'!$D$5:$D$13*(1-'2. The tape'!$J$5:$J$13)^($A43/4)*(1+$AN$5)^($A43/4)*((1-'3. Assumptions'!$B$13)/($AN$6)-'2. The tape'!$H$5:$H$13/12-'3. Assumptions'!$B$16)-'2. The tape'!$C$5:$C$13*'2. The tape'!$I$5:$I$13*(1+$AN$5)^($A43/4))&gt;0)*('2. The tape'!$C$5:$C$13*'2. The tape'!$D$5:$D$13*(1-'2. The tape'!$J$5:$J$13)^($A43/4)*(1+$AN$5)^($A43/4)*((1-'3. Assumptions'!$B$13)/($AN$6)-'2. The tape'!$H$5:$H$13/12-'3. Assumptions'!$B$16)-'2. The tape'!$C$5:$C$13*'2. The tape'!$I$5:$I$13*(1+$AN$5)^($A43/4)))</f>
        <v>132926972.514111</v>
      </c>
      <c r="AP43" s="33" t="n">
        <f aca="false">'2. The tape'!$C$17*(1+MIN(MAX($AP$5,'3. Assumptions'!$B$11),'3. Assumptions'!$B$10))^INT(($A43-1)/4)/4*(1-'3. Assumptions'!$B$13)</f>
        <v>3416254.53884684</v>
      </c>
      <c r="AQ43" s="33" t="n">
        <f aca="false">(1-'3. Assumptions'!$B$15)*SUMPRODUCT((('2. The tape'!$C$5:$C$13*'2. The tape'!$D$5:$D$13*(1-'2. The tape'!$J$5:$J$13)^($A43/4)*(1+$AP$5)^($A43/4)*((1-'3. Assumptions'!$B$13)/($AP$6)-'2. The tape'!$H$5:$H$13/12-'3. Assumptions'!$B$16)-'2. The tape'!$C$5:$C$13*'2. The tape'!$I$5:$I$13*(1+$AP$5)^($A43/4))&gt;0)*('2. The tape'!$C$5:$C$13*'2. The tape'!$D$5:$D$13*(1-'2. The tape'!$J$5:$J$13)^($A43/4)*(1+$AP$5)^($A43/4)*((1-'3. Assumptions'!$B$13)/($AP$6)-'2. The tape'!$H$5:$H$13/12-'3. Assumptions'!$B$16)-'2. The tape'!$C$5:$C$13*'2. The tape'!$I$5:$I$13*(1+$AP$5)^($A43/4)))</f>
        <v>132540931.809128</v>
      </c>
      <c r="AR43" s="33" t="n">
        <f aca="false">'2. The tape'!$C$17*(1+MIN(MAX($AR$5,'3. Assumptions'!$B$11),'3. Assumptions'!$B$10))^INT(($A43-1)/4)/4*(1-'3. Assumptions'!$B$13)</f>
        <v>3416254.53884684</v>
      </c>
      <c r="AS43" s="33" t="n">
        <f aca="false">(1-'3. Assumptions'!$B$15)*SUMPRODUCT((('2. The tape'!$C$5:$C$13*'2. The tape'!$D$5:$D$13*(1-'2. The tape'!$J$5:$J$13)^($A43/4)*(1+$AR$5)^($A43/4)*((1-'3. Assumptions'!$B$13)/($AR$6)-'2. The tape'!$H$5:$H$13/12-'3. Assumptions'!$B$16)-'2. The tape'!$C$5:$C$13*'2. The tape'!$I$5:$I$13*(1+$AR$5)^($A43/4))&gt;0)*('2. The tape'!$C$5:$C$13*'2. The tape'!$D$5:$D$13*(1-'2. The tape'!$J$5:$J$13)^($A43/4)*(1+$AR$5)^($A43/4)*((1-'3. Assumptions'!$B$13)/($AR$6)-'2. The tape'!$H$5:$H$13/12-'3. Assumptions'!$B$16)-'2. The tape'!$C$5:$C$13*'2. The tape'!$I$5:$I$13*(1+$AR$5)^($A43/4)))</f>
        <v>132547409.019213</v>
      </c>
      <c r="AT43" s="33" t="n">
        <f aca="false">'2. The tape'!$C$17*(1+MIN(MAX($AT$5,'3. Assumptions'!$B$11),'3. Assumptions'!$B$10))^INT(($A43-1)/4)/4*(1-'3. Assumptions'!$B$13)</f>
        <v>3416254.53884684</v>
      </c>
      <c r="AU43" s="33" t="n">
        <f aca="false">(1-'3. Assumptions'!$B$15)*SUMPRODUCT((('2. The tape'!$C$5:$C$13*'2. The tape'!$D$5:$D$13*(1-'2. The tape'!$J$5:$J$13)^($A43/4)*(1+$AT$5)^($A43/4)*((1-'3. Assumptions'!$B$13)/($AT$6)-'2. The tape'!$H$5:$H$13/12-'3. Assumptions'!$B$16)-'2. The tape'!$C$5:$C$13*'2. The tape'!$I$5:$I$13*(1+$AT$5)^($A43/4))&gt;0)*('2. The tape'!$C$5:$C$13*'2. The tape'!$D$5:$D$13*(1-'2. The tape'!$J$5:$J$13)^($A43/4)*(1+$AT$5)^($A43/4)*((1-'3. Assumptions'!$B$13)/($AT$6)-'2. The tape'!$H$5:$H$13/12-'3. Assumptions'!$B$16)-'2. The tape'!$C$5:$C$13*'2. The tape'!$I$5:$I$13*(1+$AT$5)^($A43/4)))</f>
        <v>132547424.103006</v>
      </c>
      <c r="AV43" s="33" t="n">
        <f aca="false">'2. The tape'!$C$17*(1+MIN(MAX($AV$5,'3. Assumptions'!$B$11),'3. Assumptions'!$B$10))^INT(($A43-1)/4)/4*(1-'3. Assumptions'!$B$13)</f>
        <v>3416254.53884684</v>
      </c>
      <c r="AW43" s="33" t="n">
        <f aca="false">(1-'3. Assumptions'!$B$15)*SUMPRODUCT((('2. The tape'!$C$5:$C$13*'2. The tape'!$D$5:$D$13*(1-'2. The tape'!$J$5:$J$13)^($A43/4)*(1+$AV$5)^($A43/4)*((1-'3. Assumptions'!$B$13)/($AV$6)-'2. The tape'!$H$5:$H$13/12-'3. Assumptions'!$B$16)-'2. The tape'!$C$5:$C$13*'2. The tape'!$I$5:$I$13*(1+$AV$5)^($A43/4))&gt;0)*('2. The tape'!$C$5:$C$13*'2. The tape'!$D$5:$D$13*(1-'2. The tape'!$J$5:$J$13)^($A43/4)*(1+$AV$5)^($A43/4)*((1-'3. Assumptions'!$B$13)/($AV$6)-'2. The tape'!$H$5:$H$13/12-'3. Assumptions'!$B$16)-'2. The tape'!$C$5:$C$13*'2. The tape'!$I$5:$I$13*(1+$AV$5)^($A43/4)))</f>
        <v>132547424.102405</v>
      </c>
      <c r="AX43" s="33" t="n">
        <f aca="false">'2. The tape'!$C$17*(1+MIN(MAX($AX$5,'3. Assumptions'!$B$11),'3. Assumptions'!$B$10))^INT(($A43-1)/4)/4*(1-'3. Assumptions'!$B$13)</f>
        <v>3416254.53884684</v>
      </c>
      <c r="AY43" s="33" t="n">
        <f aca="false">(1-'3. Assumptions'!$B$15)*SUMPRODUCT((('2. The tape'!$C$5:$C$13*'2. The tape'!$D$5:$D$13*(1-'2. The tape'!$J$5:$J$13)^($A43/4)*(1+$AX$5)^($A43/4)*((1-'3. Assumptions'!$B$13)/($AX$6)-'2. The tape'!$H$5:$H$13/12-'3. Assumptions'!$B$16)-'2. The tape'!$C$5:$C$13*'2. The tape'!$I$5:$I$13*(1+$AX$5)^($A43/4))&gt;0)*('2. The tape'!$C$5:$C$13*'2. The tape'!$D$5:$D$13*(1-'2. The tape'!$J$5:$J$13)^($A43/4)*(1+$AX$5)^($A43/4)*((1-'3. Assumptions'!$B$13)/($AX$6)-'2. The tape'!$H$5:$H$13/12-'3. Assumptions'!$B$16)-'2. The tape'!$C$5:$C$13*'2. The tape'!$I$5:$I$13*(1+$AX$5)^($A43/4)))</f>
        <v>132547424.102405</v>
      </c>
      <c r="AZ43" s="33" t="n">
        <f aca="false">'2. The tape'!$C$17*(1+MIN(MAX($AZ$5,'3. Assumptions'!$B$11),'3. Assumptions'!$B$10))^INT(($A43-1)/4)/4*(1-'3. Assumptions'!$B$13)</f>
        <v>3416254.53884684</v>
      </c>
      <c r="BA43" s="33" t="n">
        <f aca="false">(1-'3. Assumptions'!$B$15)*SUMPRODUCT((('2. The tape'!$C$5:$C$13*'2. The tape'!$D$5:$D$13*(1-'2. The tape'!$J$5:$J$13)^($A43/4)*(1+$AZ$5)^($A43/4)*((1-'3. Assumptions'!$B$13)/($AZ$6)-'2. The tape'!$H$5:$H$13/12-'3. Assumptions'!$B$16)-'2. The tape'!$C$5:$C$13*'2. The tape'!$I$5:$I$13*(1+$AZ$5)^($A43/4))&gt;0)*('2. The tape'!$C$5:$C$13*'2. The tape'!$D$5:$D$13*(1-'2. The tape'!$J$5:$J$13)^($A43/4)*(1+$AZ$5)^($A43/4)*((1-'3. Assumptions'!$B$13)/($AZ$6)-'2. The tape'!$H$5:$H$13/12-'3. Assumptions'!$B$16)-'2. The tape'!$C$5:$C$13*'2. The tape'!$I$5:$I$13*(1+$AZ$5)^($A43/4)))</f>
        <v>132547424.102405</v>
      </c>
    </row>
    <row r="44" customFormat="false" ht="15" hidden="false" customHeight="false" outlineLevel="0" collapsed="false">
      <c r="A44" s="20" t="n">
        <v>29</v>
      </c>
      <c r="B44" s="33" t="n">
        <f aca="false">'2. The tape'!$C$17*(1+MIN(MAX($B$5,'3. Assumptions'!$B$11),'3. Assumptions'!$B$10))^INT(($A44-1)/4)/4*(1-'3. Assumptions'!$B$13)</f>
        <v>3491412.13870147</v>
      </c>
      <c r="C44" s="33" t="n">
        <f aca="false">(1-'3. Assumptions'!$B$15)*SUMPRODUCT((('2. The tape'!$C$5:$C$13*'2. The tape'!$D$5:$D$13*(1-'2. The tape'!$J$5:$J$13)^($A44/4)*(1+$B$5)^($A44/4)*((1-'3. Assumptions'!$B$13)/($B$6)-'2. The tape'!$H$5:$H$13/12-'3. Assumptions'!$B$16)-'2. The tape'!$C$5:$C$13*'2. The tape'!$I$5:$I$13*(1+$B$5)^($A44/4))&gt;0)*('2. The tape'!$C$5:$C$13*'2. The tape'!$D$5:$D$13*(1-'2. The tape'!$J$5:$J$13)^($A44/4)*(1+$B$5)^($A44/4)*((1-'3. Assumptions'!$B$13)/($B$6)-'2. The tape'!$H$5:$H$13/12-'3. Assumptions'!$B$16)-'2. The tape'!$C$5:$C$13*'2. The tape'!$I$5:$I$13*(1+$B$5)^($A44/4)))</f>
        <v>79226537.6999714</v>
      </c>
      <c r="D44" s="33" t="n">
        <f aca="false">'2. The tape'!$C$17*(1+MIN(MAX($D$5,'3. Assumptions'!$B$11),'3. Assumptions'!$B$10))^INT(($A44-1)/4)/4*(1-'3. Assumptions'!$B$13)</f>
        <v>3687274.07453398</v>
      </c>
      <c r="E44" s="33" t="n">
        <f aca="false">(1-'3. Assumptions'!$B$15)*SUMPRODUCT((('2. The tape'!$C$5:$C$13*'2. The tape'!$D$5:$D$13*(1-'2. The tape'!$J$5:$J$13)^($A44/4)*(1+$D$5)^($A44/4)*((1-'3. Assumptions'!$B$13)/($D$6)-'2. The tape'!$H$5:$H$13/12-'3. Assumptions'!$B$16)-'2. The tape'!$C$5:$C$13*'2. The tape'!$I$5:$I$13*(1+$D$5)^($A44/4))&gt;0)*('2. The tape'!$C$5:$C$13*'2. The tape'!$D$5:$D$13*(1-'2. The tape'!$J$5:$J$13)^($A44/4)*(1+$D$5)^($A44/4)*((1-'3. Assumptions'!$B$13)/($D$6)-'2. The tape'!$H$5:$H$13/12-'3. Assumptions'!$B$16)-'2. The tape'!$C$5:$C$13*'2. The tape'!$I$5:$I$13*(1+$D$5)^($A44/4)))</f>
        <v>86829883.5504356</v>
      </c>
      <c r="F44" s="33" t="n">
        <f aca="false">'2. The tape'!$C$17*(1+MIN(MAX($F$5,'3. Assumptions'!$B$11),'3. Assumptions'!$B$10))^INT(($A44-1)/4)/4*(1-'3. Assumptions'!$B$13)</f>
        <v>3214359.6179677</v>
      </c>
      <c r="G44" s="33" t="n">
        <f aca="false">(1-'3. Assumptions'!$B$15)*SUMPRODUCT((('2. The tape'!$C$5:$C$13*'2. The tape'!$D$5:$D$13*(1-'2. The tape'!$J$5:$J$13)^($A44/4)*(1+$F$5)^($A44/4)*((1-'3. Assumptions'!$B$13)/($F$6)-'2. The tape'!$H$5:$H$13/12-'3. Assumptions'!$B$16)-'2. The tape'!$C$5:$C$13*'2. The tape'!$I$5:$I$13*(1+$F$5)^($A44/4))&gt;0)*('2. The tape'!$C$5:$C$13*'2. The tape'!$D$5:$D$13*(1-'2. The tape'!$J$5:$J$13)^($A44/4)*(1+$F$5)^($A44/4)*((1-'3. Assumptions'!$B$13)/($F$6)-'2. The tape'!$H$5:$H$13/12-'3. Assumptions'!$B$16)-'2. The tape'!$C$5:$C$13*'2. The tape'!$I$5:$I$13*(1+$F$5)^($A44/4)))</f>
        <v>72724650.4520457</v>
      </c>
      <c r="H44" s="33" t="n">
        <f aca="false">'2. The tape'!$C$17*(1+MIN(MAX($H$5,'3. Assumptions'!$B$11),'3. Assumptions'!$B$10))^INT(($A44-1)/4)/4*(1-'3. Assumptions'!$B$13)</f>
        <v>3687274.07453398</v>
      </c>
      <c r="I44" s="33" t="n">
        <f aca="false">(1-'3. Assumptions'!$B$15)*SUMPRODUCT((('2. The tape'!$C$5:$C$13*'2. The tape'!$D$5:$D$13*(1-'2. The tape'!$J$5:$J$13)^($A44/4)*(1+$H$5)^($A44/4)*((1-'3. Assumptions'!$B$13)/($H$6)-'2. The tape'!$H$5:$H$13/12-'3. Assumptions'!$B$16)-'2. The tape'!$C$5:$C$13*'2. The tape'!$I$5:$I$13*(1+$H$5)^($A44/4))&gt;0)*('2. The tape'!$C$5:$C$13*'2. The tape'!$D$5:$D$13*(1-'2. The tape'!$J$5:$J$13)^($A44/4)*(1+$H$5)^($A44/4)*((1-'3. Assumptions'!$B$13)/($H$6)-'2. The tape'!$H$5:$H$13/12-'3. Assumptions'!$B$16)-'2. The tape'!$C$5:$C$13*'2. The tape'!$I$5:$I$13*(1+$H$5)^($A44/4)))</f>
        <v>86829883.5504356</v>
      </c>
      <c r="J44" s="33" t="n">
        <f aca="false">'2. The tape'!$C$17*(1+MIN(MAX($J$5,'3. Assumptions'!$B$11),'3. Assumptions'!$B$10))^INT(($A44-1)/4)/4*(1-'3. Assumptions'!$B$13)</f>
        <v>3491412.13870147</v>
      </c>
      <c r="K44" s="33" t="n">
        <f aca="false">(1-'3. Assumptions'!$B$15)*SUMPRODUCT((('2. The tape'!$C$5:$C$13*'2. The tape'!$D$5:$D$13*(1-'2. The tape'!$J$5:$J$13)^($A44/4)*(1+$J$5)^($A44/4)*((1-'3. Assumptions'!$B$13)/($J$6)-'2. The tape'!$H$5:$H$13/12-'3. Assumptions'!$B$16)-'2. The tape'!$C$5:$C$13*'2. The tape'!$I$5:$I$13*(1+$J$5)^($A44/4))&gt;0)*('2. The tape'!$C$5:$C$13*'2. The tape'!$D$5:$D$13*(1-'2. The tape'!$J$5:$J$13)^($A44/4)*(1+$J$5)^($A44/4)*((1-'3. Assumptions'!$B$13)/($J$6)-'2. The tape'!$H$5:$H$13/12-'3. Assumptions'!$B$16)-'2. The tape'!$C$5:$C$13*'2. The tape'!$I$5:$I$13*(1+$J$5)^($A44/4)))</f>
        <v>65154683.1766182</v>
      </c>
      <c r="L44" s="33" t="n">
        <f aca="false">'2. The tape'!$C$17*(1+MIN(MAX($L$5,'3. Assumptions'!$B$11),'3. Assumptions'!$B$10))^INT(($A44-1)/4)/4*(1-'3. Assumptions'!$B$13)</f>
        <v>3687274.07453398</v>
      </c>
      <c r="M44" s="33" t="n">
        <f aca="false">(1-'3. Assumptions'!$B$15)*SUMPRODUCT((('2. The tape'!$C$5:$C$13*'2. The tape'!$D$5:$D$13*(1-'2. The tape'!$J$5:$J$13)^($A44/4)*(1+$L$5)^($A44/4)*((1-'3. Assumptions'!$B$13)/($L$6)-'2. The tape'!$H$5:$H$13/12-'3. Assumptions'!$B$16)-'2. The tape'!$C$5:$C$13*'2. The tape'!$I$5:$I$13*(1+$L$5)^($A44/4))&gt;0)*('2. The tape'!$C$5:$C$13*'2. The tape'!$D$5:$D$13*(1-'2. The tape'!$J$5:$J$13)^($A44/4)*(1+$L$5)^($A44/4)*((1-'3. Assumptions'!$B$13)/($L$6)-'2. The tape'!$H$5:$H$13/12-'3. Assumptions'!$B$16)-'2. The tape'!$C$5:$C$13*'2. The tape'!$I$5:$I$13*(1+$L$5)^($A44/4)))</f>
        <v>453357690.035866</v>
      </c>
      <c r="N44" s="33" t="n">
        <f aca="false">'2. The tape'!$C$17*(1+MIN(MAX($N$5,'3. Assumptions'!$B$11),'3. Assumptions'!$B$10))^INT(($A44-1)/4)/4*(1-'3. Assumptions'!$B$13)</f>
        <v>2998091.25</v>
      </c>
      <c r="O44" s="33" t="n">
        <f aca="false">(1-'3. Assumptions'!$B$15)*SUMPRODUCT((('2. The tape'!$C$5:$C$13*'2. The tape'!$D$5:$D$13*(1-'2. The tape'!$J$5:$J$13)^($A44/4)*(1+$N$5)^($A44/4)*((1-'3. Assumptions'!$B$13)/($N$6)-'2. The tape'!$H$5:$H$13/12-'3. Assumptions'!$B$16)-'2. The tape'!$C$5:$C$13*'2. The tape'!$I$5:$I$13*(1+$N$5)^($A44/4))&gt;0)*('2. The tape'!$C$5:$C$13*'2. The tape'!$D$5:$D$13*(1-'2. The tape'!$J$5:$J$13)^($A44/4)*(1+$N$5)^($A44/4)*((1-'3. Assumptions'!$B$13)/($N$6)-'2. The tape'!$H$5:$H$13/12-'3. Assumptions'!$B$16)-'2. The tape'!$C$5:$C$13*'2. The tape'!$I$5:$I$13*(1+$N$5)^($A44/4)))</f>
        <v>54255873.0195284</v>
      </c>
      <c r="P44" s="33" t="n">
        <f aca="false">'2. The tape'!$C$17*(1+MIN(MAX($P$5,'3. Assumptions'!$B$11),'3. Assumptions'!$B$10))^INT(($A44-1)/4)/4*(1-'3. Assumptions'!$B$13)</f>
        <v>2998091.25</v>
      </c>
      <c r="Q44" s="33" t="n">
        <f aca="false">(1-'3. Assumptions'!$B$15)*SUMPRODUCT((('2. The tape'!$C$5:$C$13*'2. The tape'!$D$5:$D$13*(1-'2. The tape'!$J$5:$J$13)^($A44/4)*(1+$P$5)^($A44/4)*((1-'3. Assumptions'!$B$13)/($P$6)-'2. The tape'!$H$5:$H$13/12-'3. Assumptions'!$B$16)-'2. The tape'!$C$5:$C$13*'2. The tape'!$I$5:$I$13*(1+$P$5)^($A44/4))&gt;0)*('2. The tape'!$C$5:$C$13*'2. The tape'!$D$5:$D$13*(1-'2. The tape'!$J$5:$J$13)^($A44/4)*(1+$P$5)^($A44/4)*((1-'3. Assumptions'!$B$13)/($P$6)-'2. The tape'!$H$5:$H$13/12-'3. Assumptions'!$B$16)-'2. The tape'!$C$5:$C$13*'2. The tape'!$I$5:$I$13*(1+$P$5)^($A44/4)))</f>
        <v>58444107.5597246</v>
      </c>
      <c r="R44" s="33" t="n">
        <f aca="false">'2. The tape'!$C$17*(1+MIN(MAX($R$5,'3. Assumptions'!$B$11),'3. Assumptions'!$B$10))^INT(($A44-1)/4)/4*(1-'3. Assumptions'!$B$13)</f>
        <v>2998091.25</v>
      </c>
      <c r="S44" s="33" t="n">
        <f aca="false">(1-'3. Assumptions'!$B$15)*SUMPRODUCT((('2. The tape'!$C$5:$C$13*'2. The tape'!$D$5:$D$13*(1-'2. The tape'!$J$5:$J$13)^($A44/4)*(1+$R$5)^($A44/4)*((1-'3. Assumptions'!$B$13)/($R$6)-'2. The tape'!$H$5:$H$13/12-'3. Assumptions'!$B$16)-'2. The tape'!$C$5:$C$13*'2. The tape'!$I$5:$I$13*(1+$R$5)^($A44/4))&gt;0)*('2. The tape'!$C$5:$C$13*'2. The tape'!$D$5:$D$13*(1-'2. The tape'!$J$5:$J$13)^($A44/4)*(1+$R$5)^($A44/4)*((1-'3. Assumptions'!$B$13)/($R$6)-'2. The tape'!$H$5:$H$13/12-'3. Assumptions'!$B$16)-'2. The tape'!$C$5:$C$13*'2. The tape'!$I$5:$I$13*(1+$R$5)^($A44/4)))</f>
        <v>55876751.6388313</v>
      </c>
      <c r="T44" s="33" t="n">
        <f aca="false">'2. The tape'!$C$17*(1+MIN(MAX($T$5,'3. Assumptions'!$B$11),'3. Assumptions'!$B$10))^INT(($A44-1)/4)/4*(1-'3. Assumptions'!$B$13)</f>
        <v>2998091.25</v>
      </c>
      <c r="U44" s="33" t="n">
        <f aca="false">(1-'3. Assumptions'!$B$15)*SUMPRODUCT((('2. The tape'!$C$5:$C$13*'2. The tape'!$D$5:$D$13*(1-'2. The tape'!$J$5:$J$13)^($A44/4)*(1+$T$5)^($A44/4)*((1-'3. Assumptions'!$B$13)/($T$6)-'2. The tape'!$H$5:$H$13/12-'3. Assumptions'!$B$16)-'2. The tape'!$C$5:$C$13*'2. The tape'!$I$5:$I$13*(1+$T$5)^($A44/4))&gt;0)*('2. The tape'!$C$5:$C$13*'2. The tape'!$D$5:$D$13*(1-'2. The tape'!$J$5:$J$13)^($A44/4)*(1+$T$5)^($A44/4)*((1-'3. Assumptions'!$B$13)/($T$6)-'2. The tape'!$H$5:$H$13/12-'3. Assumptions'!$B$16)-'2. The tape'!$C$5:$C$13*'2. The tape'!$I$5:$I$13*(1+$T$5)^($A44/4)))</f>
        <v>55808491.7182444</v>
      </c>
      <c r="V44" s="33" t="n">
        <f aca="false">'2. The tape'!$C$17*(1+MIN(MAX($V$5,'3. Assumptions'!$B$11),'3. Assumptions'!$B$10))^INT(($A44-1)/4)/4*(1-'3. Assumptions'!$B$13)</f>
        <v>2998091.25</v>
      </c>
      <c r="W44" s="33" t="n">
        <f aca="false">(1-'3. Assumptions'!$B$15)*SUMPRODUCT((('2. The tape'!$C$5:$C$13*'2. The tape'!$D$5:$D$13*(1-'2. The tape'!$J$5:$J$13)^($A44/4)*(1+$V$5)^($A44/4)*((1-'3. Assumptions'!$B$13)/($V$6)-'2. The tape'!$H$5:$H$13/12-'3. Assumptions'!$B$16)-'2. The tape'!$C$5:$C$13*'2. The tape'!$I$5:$I$13*(1+$V$5)^($A44/4))&gt;0)*('2. The tape'!$C$5:$C$13*'2. The tape'!$D$5:$D$13*(1-'2. The tape'!$J$5:$J$13)^($A44/4)*(1+$V$5)^($A44/4)*((1-'3. Assumptions'!$B$13)/($V$6)-'2. The tape'!$H$5:$H$13/12-'3. Assumptions'!$B$16)-'2. The tape'!$C$5:$C$13*'2. The tape'!$I$5:$I$13*(1+$V$5)^($A44/4)))</f>
        <v>55811232.9494937</v>
      </c>
      <c r="X44" s="33" t="n">
        <f aca="false">'2. The tape'!$C$17*(1+MIN(MAX($X$5,'3. Assumptions'!$B$11),'3. Assumptions'!$B$10))^INT(($A44-1)/4)/4*(1-'3. Assumptions'!$B$13)</f>
        <v>2998091.25</v>
      </c>
      <c r="Y44" s="33" t="n">
        <f aca="false">(1-'3. Assumptions'!$B$15)*SUMPRODUCT((('2. The tape'!$C$5:$C$13*'2. The tape'!$D$5:$D$13*(1-'2. The tape'!$J$5:$J$13)^($A44/4)*(1+$X$5)^($A44/4)*((1-'3. Assumptions'!$B$13)/($X$6)-'2. The tape'!$H$5:$H$13/12-'3. Assumptions'!$B$16)-'2. The tape'!$C$5:$C$13*'2. The tape'!$I$5:$I$13*(1+$X$5)^($A44/4))&gt;0)*('2. The tape'!$C$5:$C$13*'2. The tape'!$D$5:$D$13*(1-'2. The tape'!$J$5:$J$13)^($A44/4)*(1+$X$5)^($A44/4)*((1-'3. Assumptions'!$B$13)/($X$6)-'2. The tape'!$H$5:$H$13/12-'3. Assumptions'!$B$16)-'2. The tape'!$C$5:$C$13*'2. The tape'!$I$5:$I$13*(1+$X$5)^($A44/4)))</f>
        <v>55811230.0668575</v>
      </c>
      <c r="Z44" s="33" t="n">
        <f aca="false">'2. The tape'!$C$17*(1+MIN(MAX($Z$5,'3. Assumptions'!$B$11),'3. Assumptions'!$B$10))^INT(($A44-1)/4)/4*(1-'3. Assumptions'!$B$13)</f>
        <v>2998091.25</v>
      </c>
      <c r="AA44" s="33" t="n">
        <f aca="false">(1-'3. Assumptions'!$B$15)*SUMPRODUCT((('2. The tape'!$C$5:$C$13*'2. The tape'!$D$5:$D$13*(1-'2. The tape'!$J$5:$J$13)^($A44/4)*(1+$Z$5)^($A44/4)*((1-'3. Assumptions'!$B$13)/($Z$6)-'2. The tape'!$H$5:$H$13/12-'3. Assumptions'!$B$16)-'2. The tape'!$C$5:$C$13*'2. The tape'!$I$5:$I$13*(1+$Z$5)^($A44/4))&gt;0)*('2. The tape'!$C$5:$C$13*'2. The tape'!$D$5:$D$13*(1-'2. The tape'!$J$5:$J$13)^($A44/4)*(1+$Z$5)^($A44/4)*((1-'3. Assumptions'!$B$13)/($Z$6)-'2. The tape'!$H$5:$H$13/12-'3. Assumptions'!$B$16)-'2. The tape'!$C$5:$C$13*'2. The tape'!$I$5:$I$13*(1+$Z$5)^($A44/4)))</f>
        <v>55811230.0667307</v>
      </c>
      <c r="AB44" s="33" t="n">
        <f aca="false">'2. The tape'!$C$17*(1+MIN(MAX($AB$5,'3. Assumptions'!$B$11),'3. Assumptions'!$B$10))^INT(($A44-1)/4)/4*(1-'3. Assumptions'!$B$13)</f>
        <v>2998091.25</v>
      </c>
      <c r="AC44" s="33" t="n">
        <f aca="false">(1-'3. Assumptions'!$B$15)*SUMPRODUCT((('2. The tape'!$C$5:$C$13*'2. The tape'!$D$5:$D$13*(1-'2. The tape'!$J$5:$J$13)^($A44/4)*(1+$AB$5)^($A44/4)*((1-'3. Assumptions'!$B$13)/($AB$6)-'2. The tape'!$H$5:$H$13/12-'3. Assumptions'!$B$16)-'2. The tape'!$C$5:$C$13*'2. The tape'!$I$5:$I$13*(1+$AB$5)^($A44/4))&gt;0)*('2. The tape'!$C$5:$C$13*'2. The tape'!$D$5:$D$13*(1-'2. The tape'!$J$5:$J$13)^($A44/4)*(1+$AB$5)^($A44/4)*((1-'3. Assumptions'!$B$13)/($AB$6)-'2. The tape'!$H$5:$H$13/12-'3. Assumptions'!$B$16)-'2. The tape'!$C$5:$C$13*'2. The tape'!$I$5:$I$13*(1+$AB$5)^($A44/4)))</f>
        <v>55811230.0667307</v>
      </c>
      <c r="AD44" s="33" t="n">
        <f aca="false">'2. The tape'!$C$17*(1+MIN(MAX($AD$5,'3. Assumptions'!$B$11),'3. Assumptions'!$B$10))^INT(($A44-1)/4)/4*(1-'3. Assumptions'!$B$13)</f>
        <v>2998091.25</v>
      </c>
      <c r="AE44" s="33" t="n">
        <f aca="false">(1-'3. Assumptions'!$B$15)*SUMPRODUCT((('2. The tape'!$C$5:$C$13*'2. The tape'!$D$5:$D$13*(1-'2. The tape'!$J$5:$J$13)^($A44/4)*(1+$AD$5)^($A44/4)*((1-'3. Assumptions'!$B$13)/($AD$6)-'2. The tape'!$H$5:$H$13/12-'3. Assumptions'!$B$16)-'2. The tape'!$C$5:$C$13*'2. The tape'!$I$5:$I$13*(1+$AD$5)^($A44/4))&gt;0)*('2. The tape'!$C$5:$C$13*'2. The tape'!$D$5:$D$13*(1-'2. The tape'!$J$5:$J$13)^($A44/4)*(1+$AD$5)^($A44/4)*((1-'3. Assumptions'!$B$13)/($AD$6)-'2. The tape'!$H$5:$H$13/12-'3. Assumptions'!$B$16)-'2. The tape'!$C$5:$C$13*'2. The tape'!$I$5:$I$13*(1+$AD$5)^($A44/4)))</f>
        <v>55811230.0667307</v>
      </c>
      <c r="AF44" s="33" t="n">
        <f aca="false">'2. The tape'!$C$17*(1+MIN(MAX($AF$5,'3. Assumptions'!$B$11),'3. Assumptions'!$B$10))^INT(($A44-1)/4)/4*(1-'3. Assumptions'!$B$13)</f>
        <v>2998091.25</v>
      </c>
      <c r="AG44" s="33" t="n">
        <f aca="false">(1-'3. Assumptions'!$B$15)*SUMPRODUCT((('2. The tape'!$C$5:$C$13*'2. The tape'!$D$5:$D$13*(1-'2. The tape'!$J$5:$J$13)^($A44/4)*(1+$AF$5)^($A44/4)*((1-'3. Assumptions'!$B$13)/($AF$6)-'2. The tape'!$H$5:$H$13/12-'3. Assumptions'!$B$16)-'2. The tape'!$C$5:$C$13*'2. The tape'!$I$5:$I$13*(1+$AF$5)^($A44/4))&gt;0)*('2. The tape'!$C$5:$C$13*'2. The tape'!$D$5:$D$13*(1-'2. The tape'!$J$5:$J$13)^($A44/4)*(1+$AF$5)^($A44/4)*((1-'3. Assumptions'!$B$13)/($AF$6)-'2. The tape'!$H$5:$H$13/12-'3. Assumptions'!$B$16)-'2. The tape'!$C$5:$C$13*'2. The tape'!$I$5:$I$13*(1+$AF$5)^($A44/4)))</f>
        <v>55811230.0667307</v>
      </c>
      <c r="AH44" s="33" t="n">
        <f aca="false">'2. The tape'!$C$17*(1+MIN(MAX($AH$5,'3. Assumptions'!$B$11),'3. Assumptions'!$B$10))^INT(($A44-1)/4)/4*(1-'3. Assumptions'!$B$13)</f>
        <v>3491412.13870147</v>
      </c>
      <c r="AI44" s="33" t="n">
        <f aca="false">(1-'3. Assumptions'!$B$15)*SUMPRODUCT((('2. The tape'!$C$5:$C$13*'2. The tape'!$D$5:$D$13*(1-'2. The tape'!$J$5:$J$13)^($A44/4)*(1+$AH$5)^($A44/4)*((1-'3. Assumptions'!$B$13)/($AH$6)-'2. The tape'!$H$5:$H$13/12-'3. Assumptions'!$B$16)-'2. The tape'!$C$5:$C$13*'2. The tape'!$I$5:$I$13*(1+$AH$5)^($A44/4))&gt;0)*('2. The tape'!$C$5:$C$13*'2. The tape'!$D$5:$D$13*(1-'2. The tape'!$J$5:$J$13)^($A44/4)*(1+$AH$5)^($A44/4)*((1-'3. Assumptions'!$B$13)/($AH$6)-'2. The tape'!$H$5:$H$13/12-'3. Assumptions'!$B$16)-'2. The tape'!$C$5:$C$13*'2. The tape'!$I$5:$I$13*(1+$AH$5)^($A44/4)))</f>
        <v>156058863.39748</v>
      </c>
      <c r="AJ44" s="33" t="n">
        <f aca="false">'2. The tape'!$C$17*(1+MIN(MAX($AJ$5,'3. Assumptions'!$B$11),'3. Assumptions'!$B$10))^INT(($A44-1)/4)/4*(1-'3. Assumptions'!$B$13)</f>
        <v>3491412.13870147</v>
      </c>
      <c r="AK44" s="33" t="n">
        <f aca="false">(1-'3. Assumptions'!$B$15)*SUMPRODUCT((('2. The tape'!$C$5:$C$13*'2. The tape'!$D$5:$D$13*(1-'2. The tape'!$J$5:$J$13)^($A44/4)*(1+$AJ$5)^($A44/4)*((1-'3. Assumptions'!$B$13)/($AJ$6)-'2. The tape'!$H$5:$H$13/12-'3. Assumptions'!$B$16)-'2. The tape'!$C$5:$C$13*'2. The tape'!$I$5:$I$13*(1+$AJ$5)^($A44/4))&gt;0)*('2. The tape'!$C$5:$C$13*'2. The tape'!$D$5:$D$13*(1-'2. The tape'!$J$5:$J$13)^($A44/4)*(1+$AJ$5)^($A44/4)*((1-'3. Assumptions'!$B$13)/($AJ$6)-'2. The tape'!$H$5:$H$13/12-'3. Assumptions'!$B$16)-'2. The tape'!$C$5:$C$13*'2. The tape'!$I$5:$I$13*(1+$AJ$5)^($A44/4)))</f>
        <v>112998988.556019</v>
      </c>
      <c r="AL44" s="33" t="n">
        <f aca="false">'2. The tape'!$C$17*(1+MIN(MAX($AL$5,'3. Assumptions'!$B$11),'3. Assumptions'!$B$10))^INT(($A44-1)/4)/4*(1-'3. Assumptions'!$B$13)</f>
        <v>3491412.13870147</v>
      </c>
      <c r="AM44" s="33" t="n">
        <f aca="false">(1-'3. Assumptions'!$B$15)*SUMPRODUCT((('2. The tape'!$C$5:$C$13*'2. The tape'!$D$5:$D$13*(1-'2. The tape'!$J$5:$J$13)^($A44/4)*(1+$AL$5)^($A44/4)*((1-'3. Assumptions'!$B$13)/($AL$6)-'2. The tape'!$H$5:$H$13/12-'3. Assumptions'!$B$16)-'2. The tape'!$C$5:$C$13*'2. The tape'!$I$5:$I$13*(1+$AL$5)^($A44/4))&gt;0)*('2. The tape'!$C$5:$C$13*'2. The tape'!$D$5:$D$13*(1-'2. The tape'!$J$5:$J$13)^($A44/4)*(1+$AL$5)^($A44/4)*((1-'3. Assumptions'!$B$13)/($AL$6)-'2. The tape'!$H$5:$H$13/12-'3. Assumptions'!$B$16)-'2. The tape'!$C$5:$C$13*'2. The tape'!$I$5:$I$13*(1+$AL$5)^($A44/4)))</f>
        <v>129699478.968979</v>
      </c>
      <c r="AN44" s="33" t="n">
        <f aca="false">'2. The tape'!$C$17*(1+MIN(MAX($AN$5,'3. Assumptions'!$B$11),'3. Assumptions'!$B$10))^INT(($A44-1)/4)/4*(1-'3. Assumptions'!$B$13)</f>
        <v>3491412.13870147</v>
      </c>
      <c r="AO44" s="33" t="n">
        <f aca="false">(1-'3. Assumptions'!$B$15)*SUMPRODUCT((('2. The tape'!$C$5:$C$13*'2. The tape'!$D$5:$D$13*(1-'2. The tape'!$J$5:$J$13)^($A44/4)*(1+$AN$5)^($A44/4)*((1-'3. Assumptions'!$B$13)/($AN$6)-'2. The tape'!$H$5:$H$13/12-'3. Assumptions'!$B$16)-'2. The tape'!$C$5:$C$13*'2. The tape'!$I$5:$I$13*(1+$AN$5)^($A44/4))&gt;0)*('2. The tape'!$C$5:$C$13*'2. The tape'!$D$5:$D$13*(1-'2. The tape'!$J$5:$J$13)^($A44/4)*(1+$AN$5)^($A44/4)*((1-'3. Assumptions'!$B$13)/($AN$6)-'2. The tape'!$H$5:$H$13/12-'3. Assumptions'!$B$16)-'2. The tape'!$C$5:$C$13*'2. The tape'!$I$5:$I$13*(1+$AN$5)^($A44/4)))</f>
        <v>132826323.632306</v>
      </c>
      <c r="AP44" s="33" t="n">
        <f aca="false">'2. The tape'!$C$17*(1+MIN(MAX($AP$5,'3. Assumptions'!$B$11),'3. Assumptions'!$B$10))^INT(($A44-1)/4)/4*(1-'3. Assumptions'!$B$13)</f>
        <v>3491412.13870147</v>
      </c>
      <c r="AQ44" s="33" t="n">
        <f aca="false">(1-'3. Assumptions'!$B$15)*SUMPRODUCT((('2. The tape'!$C$5:$C$13*'2. The tape'!$D$5:$D$13*(1-'2. The tape'!$J$5:$J$13)^($A44/4)*(1+$AP$5)^($A44/4)*((1-'3. Assumptions'!$B$13)/($AP$6)-'2. The tape'!$H$5:$H$13/12-'3. Assumptions'!$B$16)-'2. The tape'!$C$5:$C$13*'2. The tape'!$I$5:$I$13*(1+$AP$5)^($A44/4))&gt;0)*('2. The tape'!$C$5:$C$13*'2. The tape'!$D$5:$D$13*(1-'2. The tape'!$J$5:$J$13)^($A44/4)*(1+$AP$5)^($A44/4)*((1-'3. Assumptions'!$B$13)/($AP$6)-'2. The tape'!$H$5:$H$13/12-'3. Assumptions'!$B$16)-'2. The tape'!$C$5:$C$13*'2. The tape'!$I$5:$I$13*(1+$AP$5)^($A44/4)))</f>
        <v>132440321.075021</v>
      </c>
      <c r="AR44" s="33" t="n">
        <f aca="false">'2. The tape'!$C$17*(1+MIN(MAX($AR$5,'3. Assumptions'!$B$11),'3. Assumptions'!$B$10))^INT(($A44-1)/4)/4*(1-'3. Assumptions'!$B$13)</f>
        <v>3491412.13870147</v>
      </c>
      <c r="AS44" s="33" t="n">
        <f aca="false">(1-'3. Assumptions'!$B$15)*SUMPRODUCT((('2. The tape'!$C$5:$C$13*'2. The tape'!$D$5:$D$13*(1-'2. The tape'!$J$5:$J$13)^($A44/4)*(1+$AR$5)^($A44/4)*((1-'3. Assumptions'!$B$13)/($AR$6)-'2. The tape'!$H$5:$H$13/12-'3. Assumptions'!$B$16)-'2. The tape'!$C$5:$C$13*'2. The tape'!$I$5:$I$13*(1+$AR$5)^($A44/4))&gt;0)*('2. The tape'!$C$5:$C$13*'2. The tape'!$D$5:$D$13*(1-'2. The tape'!$J$5:$J$13)^($A44/4)*(1+$AR$5)^($A44/4)*((1-'3. Assumptions'!$B$13)/($AR$6)-'2. The tape'!$H$5:$H$13/12-'3. Assumptions'!$B$16)-'2. The tape'!$C$5:$C$13*'2. The tape'!$I$5:$I$13*(1+$AR$5)^($A44/4)))</f>
        <v>132446797.645043</v>
      </c>
      <c r="AT44" s="33" t="n">
        <f aca="false">'2. The tape'!$C$17*(1+MIN(MAX($AT$5,'3. Assumptions'!$B$11),'3. Assumptions'!$B$10))^INT(($A44-1)/4)/4*(1-'3. Assumptions'!$B$13)</f>
        <v>3491412.13870147</v>
      </c>
      <c r="AU44" s="33" t="n">
        <f aca="false">(1-'3. Assumptions'!$B$15)*SUMPRODUCT((('2. The tape'!$C$5:$C$13*'2. The tape'!$D$5:$D$13*(1-'2. The tape'!$J$5:$J$13)^($A44/4)*(1+$AT$5)^($A44/4)*((1-'3. Assumptions'!$B$13)/($AT$6)-'2. The tape'!$H$5:$H$13/12-'3. Assumptions'!$B$16)-'2. The tape'!$C$5:$C$13*'2. The tape'!$I$5:$I$13*(1+$AT$5)^($A44/4))&gt;0)*('2. The tape'!$C$5:$C$13*'2. The tape'!$D$5:$D$13*(1-'2. The tape'!$J$5:$J$13)^($A44/4)*(1+$AT$5)^($A44/4)*((1-'3. Assumptions'!$B$13)/($AT$6)-'2. The tape'!$H$5:$H$13/12-'3. Assumptions'!$B$16)-'2. The tape'!$C$5:$C$13*'2. The tape'!$I$5:$I$13*(1+$AT$5)^($A44/4)))</f>
        <v>132446812.727345</v>
      </c>
      <c r="AV44" s="33" t="n">
        <f aca="false">'2. The tape'!$C$17*(1+MIN(MAX($AV$5,'3. Assumptions'!$B$11),'3. Assumptions'!$B$10))^INT(($A44-1)/4)/4*(1-'3. Assumptions'!$B$13)</f>
        <v>3491412.13870147</v>
      </c>
      <c r="AW44" s="33" t="n">
        <f aca="false">(1-'3. Assumptions'!$B$15)*SUMPRODUCT((('2. The tape'!$C$5:$C$13*'2. The tape'!$D$5:$D$13*(1-'2. The tape'!$J$5:$J$13)^($A44/4)*(1+$AV$5)^($A44/4)*((1-'3. Assumptions'!$B$13)/($AV$6)-'2. The tape'!$H$5:$H$13/12-'3. Assumptions'!$B$16)-'2. The tape'!$C$5:$C$13*'2. The tape'!$I$5:$I$13*(1+$AV$5)^($A44/4))&gt;0)*('2. The tape'!$C$5:$C$13*'2. The tape'!$D$5:$D$13*(1-'2. The tape'!$J$5:$J$13)^($A44/4)*(1+$AV$5)^($A44/4)*((1-'3. Assumptions'!$B$13)/($AV$6)-'2. The tape'!$H$5:$H$13/12-'3. Assumptions'!$B$16)-'2. The tape'!$C$5:$C$13*'2. The tape'!$I$5:$I$13*(1+$AV$5)^($A44/4)))</f>
        <v>132446812.726744</v>
      </c>
      <c r="AX44" s="33" t="n">
        <f aca="false">'2. The tape'!$C$17*(1+MIN(MAX($AX$5,'3. Assumptions'!$B$11),'3. Assumptions'!$B$10))^INT(($A44-1)/4)/4*(1-'3. Assumptions'!$B$13)</f>
        <v>3491412.13870147</v>
      </c>
      <c r="AY44" s="33" t="n">
        <f aca="false">(1-'3. Assumptions'!$B$15)*SUMPRODUCT((('2. The tape'!$C$5:$C$13*'2. The tape'!$D$5:$D$13*(1-'2. The tape'!$J$5:$J$13)^($A44/4)*(1+$AX$5)^($A44/4)*((1-'3. Assumptions'!$B$13)/($AX$6)-'2. The tape'!$H$5:$H$13/12-'3. Assumptions'!$B$16)-'2. The tape'!$C$5:$C$13*'2. The tape'!$I$5:$I$13*(1+$AX$5)^($A44/4))&gt;0)*('2. The tape'!$C$5:$C$13*'2. The tape'!$D$5:$D$13*(1-'2. The tape'!$J$5:$J$13)^($A44/4)*(1+$AX$5)^($A44/4)*((1-'3. Assumptions'!$B$13)/($AX$6)-'2. The tape'!$H$5:$H$13/12-'3. Assumptions'!$B$16)-'2. The tape'!$C$5:$C$13*'2. The tape'!$I$5:$I$13*(1+$AX$5)^($A44/4)))</f>
        <v>132446812.726744</v>
      </c>
      <c r="AZ44" s="33" t="n">
        <f aca="false">'2. The tape'!$C$17*(1+MIN(MAX($AZ$5,'3. Assumptions'!$B$11),'3. Assumptions'!$B$10))^INT(($A44-1)/4)/4*(1-'3. Assumptions'!$B$13)</f>
        <v>3491412.13870147</v>
      </c>
      <c r="BA44" s="33" t="n">
        <f aca="false">(1-'3. Assumptions'!$B$15)*SUMPRODUCT((('2. The tape'!$C$5:$C$13*'2. The tape'!$D$5:$D$13*(1-'2. The tape'!$J$5:$J$13)^($A44/4)*(1+$AZ$5)^($A44/4)*((1-'3. Assumptions'!$B$13)/($AZ$6)-'2. The tape'!$H$5:$H$13/12-'3. Assumptions'!$B$16)-'2. The tape'!$C$5:$C$13*'2. The tape'!$I$5:$I$13*(1+$AZ$5)^($A44/4))&gt;0)*('2. The tape'!$C$5:$C$13*'2. The tape'!$D$5:$D$13*(1-'2. The tape'!$J$5:$J$13)^($A44/4)*(1+$AZ$5)^($A44/4)*((1-'3. Assumptions'!$B$13)/($AZ$6)-'2. The tape'!$H$5:$H$13/12-'3. Assumptions'!$B$16)-'2. The tape'!$C$5:$C$13*'2. The tape'!$I$5:$I$13*(1+$AZ$5)^($A44/4)))</f>
        <v>132446812.726744</v>
      </c>
    </row>
    <row r="45" customFormat="false" ht="15" hidden="false" customHeight="false" outlineLevel="0" collapsed="false">
      <c r="A45" s="20" t="n">
        <v>30</v>
      </c>
      <c r="B45" s="33" t="n">
        <f aca="false">'2. The tape'!$C$17*(1+MIN(MAX($B$5,'3. Assumptions'!$B$11),'3. Assumptions'!$B$10))^INT(($A45-1)/4)/4*(1-'3. Assumptions'!$B$13)</f>
        <v>3491412.13870147</v>
      </c>
      <c r="C45" s="33" t="n">
        <f aca="false">(1-'3. Assumptions'!$B$15)*SUMPRODUCT((('2. The tape'!$C$5:$C$13*'2. The tape'!$D$5:$D$13*(1-'2. The tape'!$J$5:$J$13)^($A45/4)*(1+$B$5)^($A45/4)*((1-'3. Assumptions'!$B$13)/($B$6)-'2. The tape'!$H$5:$H$13/12-'3. Assumptions'!$B$16)-'2. The tape'!$C$5:$C$13*'2. The tape'!$I$5:$I$13*(1+$B$5)^($A45/4))&gt;0)*('2. The tape'!$C$5:$C$13*'2. The tape'!$D$5:$D$13*(1-'2. The tape'!$J$5:$J$13)^($A45/4)*(1+$B$5)^($A45/4)*((1-'3. Assumptions'!$B$13)/($B$6)-'2. The tape'!$H$5:$H$13/12-'3. Assumptions'!$B$16)-'2. The tape'!$C$5:$C$13*'2. The tape'!$I$5:$I$13*(1+$B$5)^($A45/4)))</f>
        <v>79130943.0298666</v>
      </c>
      <c r="D45" s="33" t="n">
        <f aca="false">'2. The tape'!$C$17*(1+MIN(MAX($D$5,'3. Assumptions'!$B$11),'3. Assumptions'!$B$10))^INT(($A45-1)/4)/4*(1-'3. Assumptions'!$B$13)</f>
        <v>3687274.07453398</v>
      </c>
      <c r="E45" s="33" t="n">
        <f aca="false">(1-'3. Assumptions'!$B$15)*SUMPRODUCT((('2. The tape'!$C$5:$C$13*'2. The tape'!$D$5:$D$13*(1-'2. The tape'!$J$5:$J$13)^($A45/4)*(1+$D$5)^($A45/4)*((1-'3. Assumptions'!$B$13)/($D$6)-'2. The tape'!$H$5:$H$13/12-'3. Assumptions'!$B$16)-'2. The tape'!$C$5:$C$13*'2. The tape'!$I$5:$I$13*(1+$D$5)^($A45/4))&gt;0)*('2. The tape'!$C$5:$C$13*'2. The tape'!$D$5:$D$13*(1-'2. The tape'!$J$5:$J$13)^($A45/4)*(1+$D$5)^($A45/4)*((1-'3. Assumptions'!$B$13)/($D$6)-'2. The tape'!$H$5:$H$13/12-'3. Assumptions'!$B$16)-'2. The tape'!$C$5:$C$13*'2. The tape'!$I$5:$I$13*(1+$D$5)^($A45/4)))</f>
        <v>86999598.0948615</v>
      </c>
      <c r="F45" s="33" t="n">
        <f aca="false">'2. The tape'!$C$17*(1+MIN(MAX($F$5,'3. Assumptions'!$B$11),'3. Assumptions'!$B$10))^INT(($A45-1)/4)/4*(1-'3. Assumptions'!$B$13)</f>
        <v>3214359.6179677</v>
      </c>
      <c r="G45" s="33" t="n">
        <f aca="false">(1-'3. Assumptions'!$B$15)*SUMPRODUCT((('2. The tape'!$C$5:$C$13*'2. The tape'!$D$5:$D$13*(1-'2. The tape'!$J$5:$J$13)^($A45/4)*(1+$F$5)^($A45/4)*((1-'3. Assumptions'!$B$13)/($F$6)-'2. The tape'!$H$5:$H$13/12-'3. Assumptions'!$B$16)-'2. The tape'!$C$5:$C$13*'2. The tape'!$I$5:$I$13*(1+$F$5)^($A45/4))&gt;0)*('2. The tape'!$C$5:$C$13*'2. The tape'!$D$5:$D$13*(1-'2. The tape'!$J$5:$J$13)^($A45/4)*(1+$F$5)^($A45/4)*((1-'3. Assumptions'!$B$13)/($F$6)-'2. The tape'!$H$5:$H$13/12-'3. Assumptions'!$B$16)-'2. The tape'!$C$5:$C$13*'2. The tape'!$I$5:$I$13*(1+$F$5)^($A45/4)))</f>
        <v>72422735.7697417</v>
      </c>
      <c r="H45" s="33" t="n">
        <f aca="false">'2. The tape'!$C$17*(1+MIN(MAX($H$5,'3. Assumptions'!$B$11),'3. Assumptions'!$B$10))^INT(($A45-1)/4)/4*(1-'3. Assumptions'!$B$13)</f>
        <v>3687274.07453398</v>
      </c>
      <c r="I45" s="33" t="n">
        <f aca="false">(1-'3. Assumptions'!$B$15)*SUMPRODUCT((('2. The tape'!$C$5:$C$13*'2. The tape'!$D$5:$D$13*(1-'2. The tape'!$J$5:$J$13)^($A45/4)*(1+$H$5)^($A45/4)*((1-'3. Assumptions'!$B$13)/($H$6)-'2. The tape'!$H$5:$H$13/12-'3. Assumptions'!$B$16)-'2. The tape'!$C$5:$C$13*'2. The tape'!$I$5:$I$13*(1+$H$5)^($A45/4))&gt;0)*('2. The tape'!$C$5:$C$13*'2. The tape'!$D$5:$D$13*(1-'2. The tape'!$J$5:$J$13)^($A45/4)*(1+$H$5)^($A45/4)*((1-'3. Assumptions'!$B$13)/($H$6)-'2. The tape'!$H$5:$H$13/12-'3. Assumptions'!$B$16)-'2. The tape'!$C$5:$C$13*'2. The tape'!$I$5:$I$13*(1+$H$5)^($A45/4)))</f>
        <v>86999598.0948615</v>
      </c>
      <c r="J45" s="33" t="n">
        <f aca="false">'2. The tape'!$C$17*(1+MIN(MAX($J$5,'3. Assumptions'!$B$11),'3. Assumptions'!$B$10))^INT(($A45-1)/4)/4*(1-'3. Assumptions'!$B$13)</f>
        <v>3491412.13870147</v>
      </c>
      <c r="K45" s="33" t="n">
        <f aca="false">(1-'3. Assumptions'!$B$15)*SUMPRODUCT((('2. The tape'!$C$5:$C$13*'2. The tape'!$D$5:$D$13*(1-'2. The tape'!$J$5:$J$13)^($A45/4)*(1+$J$5)^($A45/4)*((1-'3. Assumptions'!$B$13)/($J$6)-'2. The tape'!$H$5:$H$13/12-'3. Assumptions'!$B$16)-'2. The tape'!$C$5:$C$13*'2. The tape'!$I$5:$I$13*(1+$J$5)^($A45/4))&gt;0)*('2. The tape'!$C$5:$C$13*'2. The tape'!$D$5:$D$13*(1-'2. The tape'!$J$5:$J$13)^($A45/4)*(1+$J$5)^($A45/4)*((1-'3. Assumptions'!$B$13)/($J$6)-'2. The tape'!$H$5:$H$13/12-'3. Assumptions'!$B$16)-'2. The tape'!$C$5:$C$13*'2. The tape'!$I$5:$I$13*(1+$J$5)^($A45/4)))</f>
        <v>65060438.8778205</v>
      </c>
      <c r="L45" s="33" t="n">
        <f aca="false">'2. The tape'!$C$17*(1+MIN(MAX($L$5,'3. Assumptions'!$B$11),'3. Assumptions'!$B$10))^INT(($A45-1)/4)/4*(1-'3. Assumptions'!$B$13)</f>
        <v>3687274.07453398</v>
      </c>
      <c r="M45" s="33" t="n">
        <f aca="false">(1-'3. Assumptions'!$B$15)*SUMPRODUCT((('2. The tape'!$C$5:$C$13*'2. The tape'!$D$5:$D$13*(1-'2. The tape'!$J$5:$J$13)^($A45/4)*(1+$L$5)^($A45/4)*((1-'3. Assumptions'!$B$13)/($L$6)-'2. The tape'!$H$5:$H$13/12-'3. Assumptions'!$B$16)-'2. The tape'!$C$5:$C$13*'2. The tape'!$I$5:$I$13*(1+$L$5)^($A45/4))&gt;0)*('2. The tape'!$C$5:$C$13*'2. The tape'!$D$5:$D$13*(1-'2. The tape'!$J$5:$J$13)^($A45/4)*(1+$L$5)^($A45/4)*((1-'3. Assumptions'!$B$13)/($L$6)-'2. The tape'!$H$5:$H$13/12-'3. Assumptions'!$B$16)-'2. The tape'!$C$5:$C$13*'2. The tape'!$I$5:$I$13*(1+$L$5)^($A45/4)))</f>
        <v>480883377.443642</v>
      </c>
      <c r="N45" s="33" t="n">
        <f aca="false">'2. The tape'!$C$17*(1+MIN(MAX($N$5,'3. Assumptions'!$B$11),'3. Assumptions'!$B$10))^INT(($A45-1)/4)/4*(1-'3. Assumptions'!$B$13)</f>
        <v>2998091.25</v>
      </c>
      <c r="O45" s="33" t="n">
        <f aca="false">(1-'3. Assumptions'!$B$15)*SUMPRODUCT((('2. The tape'!$C$5:$C$13*'2. The tape'!$D$5:$D$13*(1-'2. The tape'!$J$5:$J$13)^($A45/4)*(1+$N$5)^($A45/4)*((1-'3. Assumptions'!$B$13)/($N$6)-'2. The tape'!$H$5:$H$13/12-'3. Assumptions'!$B$16)-'2. The tape'!$C$5:$C$13*'2. The tape'!$I$5:$I$13*(1+$N$5)^($A45/4))&gt;0)*('2. The tape'!$C$5:$C$13*'2. The tape'!$D$5:$D$13*(1-'2. The tape'!$J$5:$J$13)^($A45/4)*(1+$N$5)^($A45/4)*((1-'3. Assumptions'!$B$13)/($N$6)-'2. The tape'!$H$5:$H$13/12-'3. Assumptions'!$B$16)-'2. The tape'!$C$5:$C$13*'2. The tape'!$I$5:$I$13*(1+$N$5)^($A45/4)))</f>
        <v>53487540.6925769</v>
      </c>
      <c r="P45" s="33" t="n">
        <f aca="false">'2. The tape'!$C$17*(1+MIN(MAX($P$5,'3. Assumptions'!$B$11),'3. Assumptions'!$B$10))^INT(($A45-1)/4)/4*(1-'3. Assumptions'!$B$13)</f>
        <v>2998091.25</v>
      </c>
      <c r="Q45" s="33" t="n">
        <f aca="false">(1-'3. Assumptions'!$B$15)*SUMPRODUCT((('2. The tape'!$C$5:$C$13*'2. The tape'!$D$5:$D$13*(1-'2. The tape'!$J$5:$J$13)^($A45/4)*(1+$P$5)^($A45/4)*((1-'3. Assumptions'!$B$13)/($P$6)-'2. The tape'!$H$5:$H$13/12-'3. Assumptions'!$B$16)-'2. The tape'!$C$5:$C$13*'2. The tape'!$I$5:$I$13*(1+$P$5)^($A45/4))&gt;0)*('2. The tape'!$C$5:$C$13*'2. The tape'!$D$5:$D$13*(1-'2. The tape'!$J$5:$J$13)^($A45/4)*(1+$P$5)^($A45/4)*((1-'3. Assumptions'!$B$13)/($P$6)-'2. The tape'!$H$5:$H$13/12-'3. Assumptions'!$B$16)-'2. The tape'!$C$5:$C$13*'2. The tape'!$I$5:$I$13*(1+$P$5)^($A45/4)))</f>
        <v>57764389.8805262</v>
      </c>
      <c r="R45" s="33" t="n">
        <f aca="false">'2. The tape'!$C$17*(1+MIN(MAX($R$5,'3. Assumptions'!$B$11),'3. Assumptions'!$B$10))^INT(($A45-1)/4)/4*(1-'3. Assumptions'!$B$13)</f>
        <v>2998091.25</v>
      </c>
      <c r="S45" s="33" t="n">
        <f aca="false">(1-'3. Assumptions'!$B$15)*SUMPRODUCT((('2. The tape'!$C$5:$C$13*'2. The tape'!$D$5:$D$13*(1-'2. The tape'!$J$5:$J$13)^($A45/4)*(1+$R$5)^($A45/4)*((1-'3. Assumptions'!$B$13)/($R$6)-'2. The tape'!$H$5:$H$13/12-'3. Assumptions'!$B$16)-'2. The tape'!$C$5:$C$13*'2. The tape'!$I$5:$I$13*(1+$R$5)^($A45/4))&gt;0)*('2. The tape'!$C$5:$C$13*'2. The tape'!$D$5:$D$13*(1-'2. The tape'!$J$5:$J$13)^($A45/4)*(1+$R$5)^($A45/4)*((1-'3. Assumptions'!$B$13)/($R$6)-'2. The tape'!$H$5:$H$13/12-'3. Assumptions'!$B$16)-'2. The tape'!$C$5:$C$13*'2. The tape'!$I$5:$I$13*(1+$R$5)^($A45/4)))</f>
        <v>55141409.8375541</v>
      </c>
      <c r="T45" s="33" t="n">
        <f aca="false">'2. The tape'!$C$17*(1+MIN(MAX($T$5,'3. Assumptions'!$B$11),'3. Assumptions'!$B$10))^INT(($A45-1)/4)/4*(1-'3. Assumptions'!$B$13)</f>
        <v>2998091.25</v>
      </c>
      <c r="U45" s="33" t="n">
        <f aca="false">(1-'3. Assumptions'!$B$15)*SUMPRODUCT((('2. The tape'!$C$5:$C$13*'2. The tape'!$D$5:$D$13*(1-'2. The tape'!$J$5:$J$13)^($A45/4)*(1+$T$5)^($A45/4)*((1-'3. Assumptions'!$B$13)/($T$6)-'2. The tape'!$H$5:$H$13/12-'3. Assumptions'!$B$16)-'2. The tape'!$C$5:$C$13*'2. The tape'!$I$5:$I$13*(1+$T$5)^($A45/4))&gt;0)*('2. The tape'!$C$5:$C$13*'2. The tape'!$D$5:$D$13*(1-'2. The tape'!$J$5:$J$13)^($A45/4)*(1+$T$5)^($A45/4)*((1-'3. Assumptions'!$B$13)/($T$6)-'2. The tape'!$H$5:$H$13/12-'3. Assumptions'!$B$16)-'2. The tape'!$C$5:$C$13*'2. The tape'!$I$5:$I$13*(1+$T$5)^($A45/4)))</f>
        <v>55071726.8760715</v>
      </c>
      <c r="V45" s="33" t="n">
        <f aca="false">'2. The tape'!$C$17*(1+MIN(MAX($V$5,'3. Assumptions'!$B$11),'3. Assumptions'!$B$10))^INT(($A45-1)/4)/4*(1-'3. Assumptions'!$B$13)</f>
        <v>2998091.25</v>
      </c>
      <c r="W45" s="33" t="n">
        <f aca="false">(1-'3. Assumptions'!$B$15)*SUMPRODUCT((('2. The tape'!$C$5:$C$13*'2. The tape'!$D$5:$D$13*(1-'2. The tape'!$J$5:$J$13)^($A45/4)*(1+$V$5)^($A45/4)*((1-'3. Assumptions'!$B$13)/($V$6)-'2. The tape'!$H$5:$H$13/12-'3. Assumptions'!$B$16)-'2. The tape'!$C$5:$C$13*'2. The tape'!$I$5:$I$13*(1+$V$5)^($A45/4))&gt;0)*('2. The tape'!$C$5:$C$13*'2. The tape'!$D$5:$D$13*(1-'2. The tape'!$J$5:$J$13)^($A45/4)*(1+$V$5)^($A45/4)*((1-'3. Assumptions'!$B$13)/($V$6)-'2. The tape'!$H$5:$H$13/12-'3. Assumptions'!$B$16)-'2. The tape'!$C$5:$C$13*'2. The tape'!$I$5:$I$13*(1+$V$5)^($A45/4)))</f>
        <v>55074525.1982078</v>
      </c>
      <c r="X45" s="33" t="n">
        <f aca="false">'2. The tape'!$C$17*(1+MIN(MAX($X$5,'3. Assumptions'!$B$11),'3. Assumptions'!$B$10))^INT(($A45-1)/4)/4*(1-'3. Assumptions'!$B$13)</f>
        <v>2998091.25</v>
      </c>
      <c r="Y45" s="33" t="n">
        <f aca="false">(1-'3. Assumptions'!$B$15)*SUMPRODUCT((('2. The tape'!$C$5:$C$13*'2. The tape'!$D$5:$D$13*(1-'2. The tape'!$J$5:$J$13)^($A45/4)*(1+$X$5)^($A45/4)*((1-'3. Assumptions'!$B$13)/($X$6)-'2. The tape'!$H$5:$H$13/12-'3. Assumptions'!$B$16)-'2. The tape'!$C$5:$C$13*'2. The tape'!$I$5:$I$13*(1+$X$5)^($A45/4))&gt;0)*('2. The tape'!$C$5:$C$13*'2. The tape'!$D$5:$D$13*(1-'2. The tape'!$J$5:$J$13)^($A45/4)*(1+$X$5)^($A45/4)*((1-'3. Assumptions'!$B$13)/($X$6)-'2. The tape'!$H$5:$H$13/12-'3. Assumptions'!$B$16)-'2. The tape'!$C$5:$C$13*'2. The tape'!$I$5:$I$13*(1+$X$5)^($A45/4)))</f>
        <v>55074522.2555333</v>
      </c>
      <c r="Z45" s="33" t="n">
        <f aca="false">'2. The tape'!$C$17*(1+MIN(MAX($Z$5,'3. Assumptions'!$B$11),'3. Assumptions'!$B$10))^INT(($A45-1)/4)/4*(1-'3. Assumptions'!$B$13)</f>
        <v>2998091.25</v>
      </c>
      <c r="AA45" s="33" t="n">
        <f aca="false">(1-'3. Assumptions'!$B$15)*SUMPRODUCT((('2. The tape'!$C$5:$C$13*'2. The tape'!$D$5:$D$13*(1-'2. The tape'!$J$5:$J$13)^($A45/4)*(1+$Z$5)^($A45/4)*((1-'3. Assumptions'!$B$13)/($Z$6)-'2. The tape'!$H$5:$H$13/12-'3. Assumptions'!$B$16)-'2. The tape'!$C$5:$C$13*'2. The tape'!$I$5:$I$13*(1+$Z$5)^($A45/4))&gt;0)*('2. The tape'!$C$5:$C$13*'2. The tape'!$D$5:$D$13*(1-'2. The tape'!$J$5:$J$13)^($A45/4)*(1+$Z$5)^($A45/4)*((1-'3. Assumptions'!$B$13)/($Z$6)-'2. The tape'!$H$5:$H$13/12-'3. Assumptions'!$B$16)-'2. The tape'!$C$5:$C$13*'2. The tape'!$I$5:$I$13*(1+$Z$5)^($A45/4)))</f>
        <v>55074522.2554038</v>
      </c>
      <c r="AB45" s="33" t="n">
        <f aca="false">'2. The tape'!$C$17*(1+MIN(MAX($AB$5,'3. Assumptions'!$B$11),'3. Assumptions'!$B$10))^INT(($A45-1)/4)/4*(1-'3. Assumptions'!$B$13)</f>
        <v>2998091.25</v>
      </c>
      <c r="AC45" s="33" t="n">
        <f aca="false">(1-'3. Assumptions'!$B$15)*SUMPRODUCT((('2. The tape'!$C$5:$C$13*'2. The tape'!$D$5:$D$13*(1-'2. The tape'!$J$5:$J$13)^($A45/4)*(1+$AB$5)^($A45/4)*((1-'3. Assumptions'!$B$13)/($AB$6)-'2. The tape'!$H$5:$H$13/12-'3. Assumptions'!$B$16)-'2. The tape'!$C$5:$C$13*'2. The tape'!$I$5:$I$13*(1+$AB$5)^($A45/4))&gt;0)*('2. The tape'!$C$5:$C$13*'2. The tape'!$D$5:$D$13*(1-'2. The tape'!$J$5:$J$13)^($A45/4)*(1+$AB$5)^($A45/4)*((1-'3. Assumptions'!$B$13)/($AB$6)-'2. The tape'!$H$5:$H$13/12-'3. Assumptions'!$B$16)-'2. The tape'!$C$5:$C$13*'2. The tape'!$I$5:$I$13*(1+$AB$5)^($A45/4)))</f>
        <v>55074522.2554038</v>
      </c>
      <c r="AD45" s="33" t="n">
        <f aca="false">'2. The tape'!$C$17*(1+MIN(MAX($AD$5,'3. Assumptions'!$B$11),'3. Assumptions'!$B$10))^INT(($A45-1)/4)/4*(1-'3. Assumptions'!$B$13)</f>
        <v>2998091.25</v>
      </c>
      <c r="AE45" s="33" t="n">
        <f aca="false">(1-'3. Assumptions'!$B$15)*SUMPRODUCT((('2. The tape'!$C$5:$C$13*'2. The tape'!$D$5:$D$13*(1-'2. The tape'!$J$5:$J$13)^($A45/4)*(1+$AD$5)^($A45/4)*((1-'3. Assumptions'!$B$13)/($AD$6)-'2. The tape'!$H$5:$H$13/12-'3. Assumptions'!$B$16)-'2. The tape'!$C$5:$C$13*'2. The tape'!$I$5:$I$13*(1+$AD$5)^($A45/4))&gt;0)*('2. The tape'!$C$5:$C$13*'2. The tape'!$D$5:$D$13*(1-'2. The tape'!$J$5:$J$13)^($A45/4)*(1+$AD$5)^($A45/4)*((1-'3. Assumptions'!$B$13)/($AD$6)-'2. The tape'!$H$5:$H$13/12-'3. Assumptions'!$B$16)-'2. The tape'!$C$5:$C$13*'2. The tape'!$I$5:$I$13*(1+$AD$5)^($A45/4)))</f>
        <v>55074522.2554038</v>
      </c>
      <c r="AF45" s="33" t="n">
        <f aca="false">'2. The tape'!$C$17*(1+MIN(MAX($AF$5,'3. Assumptions'!$B$11),'3. Assumptions'!$B$10))^INT(($A45-1)/4)/4*(1-'3. Assumptions'!$B$13)</f>
        <v>2998091.25</v>
      </c>
      <c r="AG45" s="33" t="n">
        <f aca="false">(1-'3. Assumptions'!$B$15)*SUMPRODUCT((('2. The tape'!$C$5:$C$13*'2. The tape'!$D$5:$D$13*(1-'2. The tape'!$J$5:$J$13)^($A45/4)*(1+$AF$5)^($A45/4)*((1-'3. Assumptions'!$B$13)/($AF$6)-'2. The tape'!$H$5:$H$13/12-'3. Assumptions'!$B$16)-'2. The tape'!$C$5:$C$13*'2. The tape'!$I$5:$I$13*(1+$AF$5)^($A45/4))&gt;0)*('2. The tape'!$C$5:$C$13*'2. The tape'!$D$5:$D$13*(1-'2. The tape'!$J$5:$J$13)^($A45/4)*(1+$AF$5)^($A45/4)*((1-'3. Assumptions'!$B$13)/($AF$6)-'2. The tape'!$H$5:$H$13/12-'3. Assumptions'!$B$16)-'2. The tape'!$C$5:$C$13*'2. The tape'!$I$5:$I$13*(1+$AF$5)^($A45/4)))</f>
        <v>55074522.2554038</v>
      </c>
      <c r="AH45" s="33" t="n">
        <f aca="false">'2. The tape'!$C$17*(1+MIN(MAX($AH$5,'3. Assumptions'!$B$11),'3. Assumptions'!$B$10))^INT(($A45-1)/4)/4*(1-'3. Assumptions'!$B$13)</f>
        <v>3491412.13870147</v>
      </c>
      <c r="AI45" s="33" t="n">
        <f aca="false">(1-'3. Assumptions'!$B$15)*SUMPRODUCT((('2. The tape'!$C$5:$C$13*'2. The tape'!$D$5:$D$13*(1-'2. The tape'!$J$5:$J$13)^($A45/4)*(1+$AH$5)^($A45/4)*((1-'3. Assumptions'!$B$13)/($AH$6)-'2. The tape'!$H$5:$H$13/12-'3. Assumptions'!$B$16)-'2. The tape'!$C$5:$C$13*'2. The tape'!$I$5:$I$13*(1+$AH$5)^($A45/4))&gt;0)*('2. The tape'!$C$5:$C$13*'2. The tape'!$D$5:$D$13*(1-'2. The tape'!$J$5:$J$13)^($A45/4)*(1+$AH$5)^($A45/4)*((1-'3. Assumptions'!$B$13)/($AH$6)-'2. The tape'!$H$5:$H$13/12-'3. Assumptions'!$B$16)-'2. The tape'!$C$5:$C$13*'2. The tape'!$I$5:$I$13*(1+$AH$5)^($A45/4)))</f>
        <v>155955895.700038</v>
      </c>
      <c r="AJ45" s="33" t="n">
        <f aca="false">'2. The tape'!$C$17*(1+MIN(MAX($AJ$5,'3. Assumptions'!$B$11),'3. Assumptions'!$B$10))^INT(($A45-1)/4)/4*(1-'3. Assumptions'!$B$13)</f>
        <v>3491412.13870147</v>
      </c>
      <c r="AK45" s="33" t="n">
        <f aca="false">(1-'3. Assumptions'!$B$15)*SUMPRODUCT((('2. The tape'!$C$5:$C$13*'2. The tape'!$D$5:$D$13*(1-'2. The tape'!$J$5:$J$13)^($A45/4)*(1+$AJ$5)^($A45/4)*((1-'3. Assumptions'!$B$13)/($AJ$6)-'2. The tape'!$H$5:$H$13/12-'3. Assumptions'!$B$16)-'2. The tape'!$C$5:$C$13*'2. The tape'!$I$5:$I$13*(1+$AJ$5)^($A45/4))&gt;0)*('2. The tape'!$C$5:$C$13*'2. The tape'!$D$5:$D$13*(1-'2. The tape'!$J$5:$J$13)^($A45/4)*(1+$AJ$5)^($A45/4)*((1-'3. Assumptions'!$B$13)/($AJ$6)-'2. The tape'!$H$5:$H$13/12-'3. Assumptions'!$B$16)-'2. The tape'!$C$5:$C$13*'2. The tape'!$I$5:$I$13*(1+$AJ$5)^($A45/4)))</f>
        <v>112900152.994777</v>
      </c>
      <c r="AL45" s="33" t="n">
        <f aca="false">'2. The tape'!$C$17*(1+MIN(MAX($AL$5,'3. Assumptions'!$B$11),'3. Assumptions'!$B$10))^INT(($A45-1)/4)/4*(1-'3. Assumptions'!$B$13)</f>
        <v>3491412.13870147</v>
      </c>
      <c r="AM45" s="33" t="n">
        <f aca="false">(1-'3. Assumptions'!$B$15)*SUMPRODUCT((('2. The tape'!$C$5:$C$13*'2. The tape'!$D$5:$D$13*(1-'2. The tape'!$J$5:$J$13)^($A45/4)*(1+$AL$5)^($A45/4)*((1-'3. Assumptions'!$B$13)/($AL$6)-'2. The tape'!$H$5:$H$13/12-'3. Assumptions'!$B$16)-'2. The tape'!$C$5:$C$13*'2. The tape'!$I$5:$I$13*(1+$AL$5)^($A45/4))&gt;0)*('2. The tape'!$C$5:$C$13*'2. The tape'!$D$5:$D$13*(1-'2. The tape'!$J$5:$J$13)^($A45/4)*(1+$AL$5)^($A45/4)*((1-'3. Assumptions'!$B$13)/($AL$6)-'2. The tape'!$H$5:$H$13/12-'3. Assumptions'!$B$16)-'2. The tape'!$C$5:$C$13*'2. The tape'!$I$5:$I$13*(1+$AL$5)^($A45/4)))</f>
        <v>129599040.785778</v>
      </c>
      <c r="AN45" s="33" t="n">
        <f aca="false">'2. The tape'!$C$17*(1+MIN(MAX($AN$5,'3. Assumptions'!$B$11),'3. Assumptions'!$B$10))^INT(($A45-1)/4)/4*(1-'3. Assumptions'!$B$13)</f>
        <v>3491412.13870147</v>
      </c>
      <c r="AO45" s="33" t="n">
        <f aca="false">(1-'3. Assumptions'!$B$15)*SUMPRODUCT((('2. The tape'!$C$5:$C$13*'2. The tape'!$D$5:$D$13*(1-'2. The tape'!$J$5:$J$13)^($A45/4)*(1+$AN$5)^($A45/4)*((1-'3. Assumptions'!$B$13)/($AN$6)-'2. The tape'!$H$5:$H$13/12-'3. Assumptions'!$B$16)-'2. The tape'!$C$5:$C$13*'2. The tape'!$I$5:$I$13*(1+$AN$5)^($A45/4))&gt;0)*('2. The tape'!$C$5:$C$13*'2. The tape'!$D$5:$D$13*(1-'2. The tape'!$J$5:$J$13)^($A45/4)*(1+$AN$5)^($A45/4)*((1-'3. Assumptions'!$B$13)/($AN$6)-'2. The tape'!$H$5:$H$13/12-'3. Assumptions'!$B$16)-'2. The tape'!$C$5:$C$13*'2. The tape'!$I$5:$I$13*(1+$AN$5)^($A45/4)))</f>
        <v>132725585.389059</v>
      </c>
      <c r="AP45" s="33" t="n">
        <f aca="false">'2. The tape'!$C$17*(1+MIN(MAX($AP$5,'3. Assumptions'!$B$11),'3. Assumptions'!$B$10))^INT(($A45-1)/4)/4*(1-'3. Assumptions'!$B$13)</f>
        <v>3491412.13870147</v>
      </c>
      <c r="AQ45" s="33" t="n">
        <f aca="false">(1-'3. Assumptions'!$B$15)*SUMPRODUCT((('2. The tape'!$C$5:$C$13*'2. The tape'!$D$5:$D$13*(1-'2. The tape'!$J$5:$J$13)^($A45/4)*(1+$AP$5)^($A45/4)*((1-'3. Assumptions'!$B$13)/($AP$6)-'2. The tape'!$H$5:$H$13/12-'3. Assumptions'!$B$16)-'2. The tape'!$C$5:$C$13*'2. The tape'!$I$5:$I$13*(1+$AP$5)^($A45/4))&gt;0)*('2. The tape'!$C$5:$C$13*'2. The tape'!$D$5:$D$13*(1-'2. The tape'!$J$5:$J$13)^($A45/4)*(1+$AP$5)^($A45/4)*((1-'3. Assumptions'!$B$13)/($AP$6)-'2. The tape'!$H$5:$H$13/12-'3. Assumptions'!$B$16)-'2. The tape'!$C$5:$C$13*'2. The tape'!$I$5:$I$13*(1+$AP$5)^($A45/4)))</f>
        <v>132339619.873571</v>
      </c>
      <c r="AR45" s="33" t="n">
        <f aca="false">'2. The tape'!$C$17*(1+MIN(MAX($AR$5,'3. Assumptions'!$B$11),'3. Assumptions'!$B$10))^INT(($A45-1)/4)/4*(1-'3. Assumptions'!$B$13)</f>
        <v>3491412.13870147</v>
      </c>
      <c r="AS45" s="33" t="n">
        <f aca="false">(1-'3. Assumptions'!$B$15)*SUMPRODUCT((('2. The tape'!$C$5:$C$13*'2. The tape'!$D$5:$D$13*(1-'2. The tape'!$J$5:$J$13)^($A45/4)*(1+$AR$5)^($A45/4)*((1-'3. Assumptions'!$B$13)/($AR$6)-'2. The tape'!$H$5:$H$13/12-'3. Assumptions'!$B$16)-'2. The tape'!$C$5:$C$13*'2. The tape'!$I$5:$I$13*(1+$AR$5)^($A45/4))&gt;0)*('2. The tape'!$C$5:$C$13*'2. The tape'!$D$5:$D$13*(1-'2. The tape'!$J$5:$J$13)^($A45/4)*(1+$AR$5)^($A45/4)*((1-'3. Assumptions'!$B$13)/($AR$6)-'2. The tape'!$H$5:$H$13/12-'3. Assumptions'!$B$16)-'2. The tape'!$C$5:$C$13*'2. The tape'!$I$5:$I$13*(1+$AR$5)^($A45/4)))</f>
        <v>132346095.822084</v>
      </c>
      <c r="AT45" s="33" t="n">
        <f aca="false">'2. The tape'!$C$17*(1+MIN(MAX($AT$5,'3. Assumptions'!$B$11),'3. Assumptions'!$B$10))^INT(($A45-1)/4)/4*(1-'3. Assumptions'!$B$13)</f>
        <v>3491412.13870147</v>
      </c>
      <c r="AU45" s="33" t="n">
        <f aca="false">(1-'3. Assumptions'!$B$15)*SUMPRODUCT((('2. The tape'!$C$5:$C$13*'2. The tape'!$D$5:$D$13*(1-'2. The tape'!$J$5:$J$13)^($A45/4)*(1+$AT$5)^($A45/4)*((1-'3. Assumptions'!$B$13)/($AT$6)-'2. The tape'!$H$5:$H$13/12-'3. Assumptions'!$B$16)-'2. The tape'!$C$5:$C$13*'2. The tape'!$I$5:$I$13*(1+$AT$5)^($A45/4))&gt;0)*('2. The tape'!$C$5:$C$13*'2. The tape'!$D$5:$D$13*(1-'2. The tape'!$J$5:$J$13)^($A45/4)*(1+$AT$5)^($A45/4)*((1-'3. Assumptions'!$B$13)/($AT$6)-'2. The tape'!$H$5:$H$13/12-'3. Assumptions'!$B$16)-'2. The tape'!$C$5:$C$13*'2. The tape'!$I$5:$I$13*(1+$AT$5)^($A45/4)))</f>
        <v>132346110.902939</v>
      </c>
      <c r="AV45" s="33" t="n">
        <f aca="false">'2. The tape'!$C$17*(1+MIN(MAX($AV$5,'3. Assumptions'!$B$11),'3. Assumptions'!$B$10))^INT(($A45-1)/4)/4*(1-'3. Assumptions'!$B$13)</f>
        <v>3491412.13870147</v>
      </c>
      <c r="AW45" s="33" t="n">
        <f aca="false">(1-'3. Assumptions'!$B$15)*SUMPRODUCT((('2. The tape'!$C$5:$C$13*'2. The tape'!$D$5:$D$13*(1-'2. The tape'!$J$5:$J$13)^($A45/4)*(1+$AV$5)^($A45/4)*((1-'3. Assumptions'!$B$13)/($AV$6)-'2. The tape'!$H$5:$H$13/12-'3. Assumptions'!$B$16)-'2. The tape'!$C$5:$C$13*'2. The tape'!$I$5:$I$13*(1+$AV$5)^($A45/4))&gt;0)*('2. The tape'!$C$5:$C$13*'2. The tape'!$D$5:$D$13*(1-'2. The tape'!$J$5:$J$13)^($A45/4)*(1+$AV$5)^($A45/4)*((1-'3. Assumptions'!$B$13)/($AV$6)-'2. The tape'!$H$5:$H$13/12-'3. Assumptions'!$B$16)-'2. The tape'!$C$5:$C$13*'2. The tape'!$I$5:$I$13*(1+$AV$5)^($A45/4)))</f>
        <v>132346110.902338</v>
      </c>
      <c r="AX45" s="33" t="n">
        <f aca="false">'2. The tape'!$C$17*(1+MIN(MAX($AX$5,'3. Assumptions'!$B$11),'3. Assumptions'!$B$10))^INT(($A45-1)/4)/4*(1-'3. Assumptions'!$B$13)</f>
        <v>3491412.13870147</v>
      </c>
      <c r="AY45" s="33" t="n">
        <f aca="false">(1-'3. Assumptions'!$B$15)*SUMPRODUCT((('2. The tape'!$C$5:$C$13*'2. The tape'!$D$5:$D$13*(1-'2. The tape'!$J$5:$J$13)^($A45/4)*(1+$AX$5)^($A45/4)*((1-'3. Assumptions'!$B$13)/($AX$6)-'2. The tape'!$H$5:$H$13/12-'3. Assumptions'!$B$16)-'2. The tape'!$C$5:$C$13*'2. The tape'!$I$5:$I$13*(1+$AX$5)^($A45/4))&gt;0)*('2. The tape'!$C$5:$C$13*'2. The tape'!$D$5:$D$13*(1-'2. The tape'!$J$5:$J$13)^($A45/4)*(1+$AX$5)^($A45/4)*((1-'3. Assumptions'!$B$13)/($AX$6)-'2. The tape'!$H$5:$H$13/12-'3. Assumptions'!$B$16)-'2. The tape'!$C$5:$C$13*'2. The tape'!$I$5:$I$13*(1+$AX$5)^($A45/4)))</f>
        <v>132346110.902338</v>
      </c>
      <c r="AZ45" s="33" t="n">
        <f aca="false">'2. The tape'!$C$17*(1+MIN(MAX($AZ$5,'3. Assumptions'!$B$11),'3. Assumptions'!$B$10))^INT(($A45-1)/4)/4*(1-'3. Assumptions'!$B$13)</f>
        <v>3491412.13870147</v>
      </c>
      <c r="BA45" s="33" t="n">
        <f aca="false">(1-'3. Assumptions'!$B$15)*SUMPRODUCT((('2. The tape'!$C$5:$C$13*'2. The tape'!$D$5:$D$13*(1-'2. The tape'!$J$5:$J$13)^($A45/4)*(1+$AZ$5)^($A45/4)*((1-'3. Assumptions'!$B$13)/($AZ$6)-'2. The tape'!$H$5:$H$13/12-'3. Assumptions'!$B$16)-'2. The tape'!$C$5:$C$13*'2. The tape'!$I$5:$I$13*(1+$AZ$5)^($A45/4))&gt;0)*('2. The tape'!$C$5:$C$13*'2. The tape'!$D$5:$D$13*(1-'2. The tape'!$J$5:$J$13)^($A45/4)*(1+$AZ$5)^($A45/4)*((1-'3. Assumptions'!$B$13)/($AZ$6)-'2. The tape'!$H$5:$H$13/12-'3. Assumptions'!$B$16)-'2. The tape'!$C$5:$C$13*'2. The tape'!$I$5:$I$13*(1+$AZ$5)^($A45/4)))</f>
        <v>132346110.902338</v>
      </c>
    </row>
    <row r="46" customFormat="false" ht="15" hidden="false" customHeight="false" outlineLevel="0" collapsed="false">
      <c r="A46" s="20" t="n">
        <v>31</v>
      </c>
      <c r="B46" s="33" t="n">
        <f aca="false">'2. The tape'!$C$17*(1+MIN(MAX($B$5,'3. Assumptions'!$B$11),'3. Assumptions'!$B$10))^INT(($A46-1)/4)/4*(1-'3. Assumptions'!$B$13)</f>
        <v>3491412.13870147</v>
      </c>
      <c r="C46" s="33" t="n">
        <f aca="false">(1-'3. Assumptions'!$B$15)*SUMPRODUCT((('2. The tape'!$C$5:$C$13*'2. The tape'!$D$5:$D$13*(1-'2. The tape'!$J$5:$J$13)^($A46/4)*(1+$B$5)^($A46/4)*((1-'3. Assumptions'!$B$13)/($B$6)-'2. The tape'!$H$5:$H$13/12-'3. Assumptions'!$B$16)-'2. The tape'!$C$5:$C$13*'2. The tape'!$I$5:$I$13*(1+$B$5)^($A46/4))&gt;0)*('2. The tape'!$C$5:$C$13*'2. The tape'!$D$5:$D$13*(1-'2. The tape'!$J$5:$J$13)^($A46/4)*(1+$B$5)^($A46/4)*((1-'3. Assumptions'!$B$13)/($B$6)-'2. The tape'!$H$5:$H$13/12-'3. Assumptions'!$B$16)-'2. The tape'!$C$5:$C$13*'2. The tape'!$I$5:$I$13*(1+$B$5)^($A46/4)))</f>
        <v>79035102.5089755</v>
      </c>
      <c r="D46" s="33" t="n">
        <f aca="false">'2. The tape'!$C$17*(1+MIN(MAX($D$5,'3. Assumptions'!$B$11),'3. Assumptions'!$B$10))^INT(($A46-1)/4)/4*(1-'3. Assumptions'!$B$13)</f>
        <v>3687274.07453398</v>
      </c>
      <c r="E46" s="33" t="n">
        <f aca="false">(1-'3. Assumptions'!$B$15)*SUMPRODUCT((('2. The tape'!$C$5:$C$13*'2. The tape'!$D$5:$D$13*(1-'2. The tape'!$J$5:$J$13)^($A46/4)*(1+$D$5)^($A46/4)*((1-'3. Assumptions'!$B$13)/($D$6)-'2. The tape'!$H$5:$H$13/12-'3. Assumptions'!$B$16)-'2. The tape'!$C$5:$C$13*'2. The tape'!$I$5:$I$13*(1+$D$5)^($A46/4))&gt;0)*('2. The tape'!$C$5:$C$13*'2. The tape'!$D$5:$D$13*(1-'2. The tape'!$J$5:$J$13)^($A46/4)*(1+$D$5)^($A46/4)*((1-'3. Assumptions'!$B$13)/($D$6)-'2. The tape'!$H$5:$H$13/12-'3. Assumptions'!$B$16)-'2. The tape'!$C$5:$C$13*'2. The tape'!$I$5:$I$13*(1+$D$5)^($A46/4)))</f>
        <v>87169245.9884254</v>
      </c>
      <c r="F46" s="33" t="n">
        <f aca="false">'2. The tape'!$C$17*(1+MIN(MAX($F$5,'3. Assumptions'!$B$11),'3. Assumptions'!$B$10))^INT(($A46-1)/4)/4*(1-'3. Assumptions'!$B$13)</f>
        <v>3214359.6179677</v>
      </c>
      <c r="G46" s="33" t="n">
        <f aca="false">(1-'3. Assumptions'!$B$15)*SUMPRODUCT((('2. The tape'!$C$5:$C$13*'2. The tape'!$D$5:$D$13*(1-'2. The tape'!$J$5:$J$13)^($A46/4)*(1+$F$5)^($A46/4)*((1-'3. Assumptions'!$B$13)/($F$6)-'2. The tape'!$H$5:$H$13/12-'3. Assumptions'!$B$16)-'2. The tape'!$C$5:$C$13*'2. The tape'!$I$5:$I$13*(1+$F$5)^($A46/4))&gt;0)*('2. The tape'!$C$5:$C$13*'2. The tape'!$D$5:$D$13*(1-'2. The tape'!$J$5:$J$13)^($A46/4)*(1+$F$5)^($A46/4)*((1-'3. Assumptions'!$B$13)/($F$6)-'2. The tape'!$H$5:$H$13/12-'3. Assumptions'!$B$16)-'2. The tape'!$C$5:$C$13*'2. The tape'!$I$5:$I$13*(1+$F$5)^($A46/4)))</f>
        <v>72121744.8784017</v>
      </c>
      <c r="H46" s="33" t="n">
        <f aca="false">'2. The tape'!$C$17*(1+MIN(MAX($H$5,'3. Assumptions'!$B$11),'3. Assumptions'!$B$10))^INT(($A46-1)/4)/4*(1-'3. Assumptions'!$B$13)</f>
        <v>3687274.07453398</v>
      </c>
      <c r="I46" s="33" t="n">
        <f aca="false">(1-'3. Assumptions'!$B$15)*SUMPRODUCT((('2. The tape'!$C$5:$C$13*'2. The tape'!$D$5:$D$13*(1-'2. The tape'!$J$5:$J$13)^($A46/4)*(1+$H$5)^($A46/4)*((1-'3. Assumptions'!$B$13)/($H$6)-'2. The tape'!$H$5:$H$13/12-'3. Assumptions'!$B$16)-'2. The tape'!$C$5:$C$13*'2. The tape'!$I$5:$I$13*(1+$H$5)^($A46/4))&gt;0)*('2. The tape'!$C$5:$C$13*'2. The tape'!$D$5:$D$13*(1-'2. The tape'!$J$5:$J$13)^($A46/4)*(1+$H$5)^($A46/4)*((1-'3. Assumptions'!$B$13)/($H$6)-'2. The tape'!$H$5:$H$13/12-'3. Assumptions'!$B$16)-'2. The tape'!$C$5:$C$13*'2. The tape'!$I$5:$I$13*(1+$H$5)^($A46/4)))</f>
        <v>87169245.9884254</v>
      </c>
      <c r="J46" s="33" t="n">
        <f aca="false">'2. The tape'!$C$17*(1+MIN(MAX($J$5,'3. Assumptions'!$B$11),'3. Assumptions'!$B$10))^INT(($A46-1)/4)/4*(1-'3. Assumptions'!$B$13)</f>
        <v>3491412.13870147</v>
      </c>
      <c r="K46" s="33" t="n">
        <f aca="false">(1-'3. Assumptions'!$B$15)*SUMPRODUCT((('2. The tape'!$C$5:$C$13*'2. The tape'!$D$5:$D$13*(1-'2. The tape'!$J$5:$J$13)^($A46/4)*(1+$J$5)^($A46/4)*((1-'3. Assumptions'!$B$13)/($J$6)-'2. The tape'!$H$5:$H$13/12-'3. Assumptions'!$B$16)-'2. The tape'!$C$5:$C$13*'2. The tape'!$I$5:$I$13*(1+$J$5)^($A46/4))&gt;0)*('2. The tape'!$C$5:$C$13*'2. The tape'!$D$5:$D$13*(1-'2. The tape'!$J$5:$J$13)^($A46/4)*(1+$J$5)^($A46/4)*((1-'3. Assumptions'!$B$13)/($J$6)-'2. The tape'!$H$5:$H$13/12-'3. Assumptions'!$B$16)-'2. The tape'!$C$5:$C$13*'2. The tape'!$I$5:$I$13*(1+$J$5)^($A46/4)))</f>
        <v>64965908.4335288</v>
      </c>
      <c r="L46" s="33" t="n">
        <f aca="false">'2. The tape'!$C$17*(1+MIN(MAX($L$5,'3. Assumptions'!$B$11),'3. Assumptions'!$B$10))^INT(($A46-1)/4)/4*(1-'3. Assumptions'!$B$13)</f>
        <v>3687274.07453398</v>
      </c>
      <c r="M46" s="33" t="n">
        <f aca="false">(1-'3. Assumptions'!$B$15)*SUMPRODUCT((('2. The tape'!$C$5:$C$13*'2. The tape'!$D$5:$D$13*(1-'2. The tape'!$J$5:$J$13)^($A46/4)*(1+$L$5)^($A46/4)*((1-'3. Assumptions'!$B$13)/($L$6)-'2. The tape'!$H$5:$H$13/12-'3. Assumptions'!$B$16)-'2. The tape'!$C$5:$C$13*'2. The tape'!$I$5:$I$13*(1+$L$5)^($A46/4))&gt;0)*('2. The tape'!$C$5:$C$13*'2. The tape'!$D$5:$D$13*(1-'2. The tape'!$J$5:$J$13)^($A46/4)*(1+$L$5)^($A46/4)*((1-'3. Assumptions'!$B$13)/($L$6)-'2. The tape'!$H$5:$H$13/12-'3. Assumptions'!$B$16)-'2. The tape'!$C$5:$C$13*'2. The tape'!$I$5:$I$13*(1+$L$5)^($A46/4)))</f>
        <v>510077960.444301</v>
      </c>
      <c r="N46" s="33" t="n">
        <f aca="false">'2. The tape'!$C$17*(1+MIN(MAX($N$5,'3. Assumptions'!$B$11),'3. Assumptions'!$B$10))^INT(($A46-1)/4)/4*(1-'3. Assumptions'!$B$13)</f>
        <v>2998091.25</v>
      </c>
      <c r="O46" s="33" t="n">
        <f aca="false">(1-'3. Assumptions'!$B$15)*SUMPRODUCT((('2. The tape'!$C$5:$C$13*'2. The tape'!$D$5:$D$13*(1-'2. The tape'!$J$5:$J$13)^($A46/4)*(1+$N$5)^($A46/4)*((1-'3. Assumptions'!$B$13)/($N$6)-'2. The tape'!$H$5:$H$13/12-'3. Assumptions'!$B$16)-'2. The tape'!$C$5:$C$13*'2. The tape'!$I$5:$I$13*(1+$N$5)^($A46/4))&gt;0)*('2. The tape'!$C$5:$C$13*'2. The tape'!$D$5:$D$13*(1-'2. The tape'!$J$5:$J$13)^($A46/4)*(1+$N$5)^($A46/4)*((1-'3. Assumptions'!$B$13)/($N$6)-'2. The tape'!$H$5:$H$13/12-'3. Assumptions'!$B$16)-'2. The tape'!$C$5:$C$13*'2. The tape'!$I$5:$I$13*(1+$N$5)^($A46/4)))</f>
        <v>52729847.9522238</v>
      </c>
      <c r="P46" s="33" t="n">
        <f aca="false">'2. The tape'!$C$17*(1+MIN(MAX($P$5,'3. Assumptions'!$B$11),'3. Assumptions'!$B$10))^INT(($A46-1)/4)/4*(1-'3. Assumptions'!$B$13)</f>
        <v>2998091.25</v>
      </c>
      <c r="Q46" s="33" t="n">
        <f aca="false">(1-'3. Assumptions'!$B$15)*SUMPRODUCT((('2. The tape'!$C$5:$C$13*'2. The tape'!$D$5:$D$13*(1-'2. The tape'!$J$5:$J$13)^($A46/4)*(1+$P$5)^($A46/4)*((1-'3. Assumptions'!$B$13)/($P$6)-'2. The tape'!$H$5:$H$13/12-'3. Assumptions'!$B$16)-'2. The tape'!$C$5:$C$13*'2. The tape'!$I$5:$I$13*(1+$P$5)^($A46/4))&gt;0)*('2. The tape'!$C$5:$C$13*'2. The tape'!$D$5:$D$13*(1-'2. The tape'!$J$5:$J$13)^($A46/4)*(1+$P$5)^($A46/4)*((1-'3. Assumptions'!$B$13)/($P$6)-'2. The tape'!$H$5:$H$13/12-'3. Assumptions'!$B$16)-'2. The tape'!$C$5:$C$13*'2. The tape'!$I$5:$I$13*(1+$P$5)^($A46/4)))</f>
        <v>57092316.5503742</v>
      </c>
      <c r="R46" s="33" t="n">
        <f aca="false">'2. The tape'!$C$17*(1+MIN(MAX($R$5,'3. Assumptions'!$B$11),'3. Assumptions'!$B$10))^INT(($A46-1)/4)/4*(1-'3. Assumptions'!$B$13)</f>
        <v>2998091.25</v>
      </c>
      <c r="S46" s="33" t="n">
        <f aca="false">(1-'3. Assumptions'!$B$15)*SUMPRODUCT((('2. The tape'!$C$5:$C$13*'2. The tape'!$D$5:$D$13*(1-'2. The tape'!$J$5:$J$13)^($A46/4)*(1+$R$5)^($A46/4)*((1-'3. Assumptions'!$B$13)/($R$6)-'2. The tape'!$H$5:$H$13/12-'3. Assumptions'!$B$16)-'2. The tape'!$C$5:$C$13*'2. The tape'!$I$5:$I$13*(1+$R$5)^($A46/4))&gt;0)*('2. The tape'!$C$5:$C$13*'2. The tape'!$D$5:$D$13*(1-'2. The tape'!$J$5:$J$13)^($A46/4)*(1+$R$5)^($A46/4)*((1-'3. Assumptions'!$B$13)/($R$6)-'2. The tape'!$H$5:$H$13/12-'3. Assumptions'!$B$16)-'2. The tape'!$C$5:$C$13*'2. The tape'!$I$5:$I$13*(1+$R$5)^($A46/4)))</f>
        <v>54415496.501596</v>
      </c>
      <c r="T46" s="33" t="n">
        <f aca="false">'2. The tape'!$C$17*(1+MIN(MAX($T$5,'3. Assumptions'!$B$11),'3. Assumptions'!$B$10))^INT(($A46-1)/4)/4*(1-'3. Assumptions'!$B$13)</f>
        <v>2998091.25</v>
      </c>
      <c r="U46" s="33" t="n">
        <f aca="false">(1-'3. Assumptions'!$B$15)*SUMPRODUCT((('2. The tape'!$C$5:$C$13*'2. The tape'!$D$5:$D$13*(1-'2. The tape'!$J$5:$J$13)^($A46/4)*(1+$T$5)^($A46/4)*((1-'3. Assumptions'!$B$13)/($T$6)-'2. The tape'!$H$5:$H$13/12-'3. Assumptions'!$B$16)-'2. The tape'!$C$5:$C$13*'2. The tape'!$I$5:$I$13*(1+$T$5)^($A46/4))&gt;0)*('2. The tape'!$C$5:$C$13*'2. The tape'!$D$5:$D$13*(1-'2. The tape'!$J$5:$J$13)^($A46/4)*(1+$T$5)^($A46/4)*((1-'3. Assumptions'!$B$13)/($T$6)-'2. The tape'!$H$5:$H$13/12-'3. Assumptions'!$B$16)-'2. The tape'!$C$5:$C$13*'2. The tape'!$I$5:$I$13*(1+$T$5)^($A46/4)))</f>
        <v>54344440.1968887</v>
      </c>
      <c r="V46" s="33" t="n">
        <f aca="false">'2. The tape'!$C$17*(1+MIN(MAX($V$5,'3. Assumptions'!$B$11),'3. Assumptions'!$B$10))^INT(($A46-1)/4)/4*(1-'3. Assumptions'!$B$13)</f>
        <v>2998091.25</v>
      </c>
      <c r="W46" s="33" t="n">
        <f aca="false">(1-'3. Assumptions'!$B$15)*SUMPRODUCT((('2. The tape'!$C$5:$C$13*'2. The tape'!$D$5:$D$13*(1-'2. The tape'!$J$5:$J$13)^($A46/4)*(1+$V$5)^($A46/4)*((1-'3. Assumptions'!$B$13)/($V$6)-'2. The tape'!$H$5:$H$13/12-'3. Assumptions'!$B$16)-'2. The tape'!$C$5:$C$13*'2. The tape'!$I$5:$I$13*(1+$V$5)^($A46/4))&gt;0)*('2. The tape'!$C$5:$C$13*'2. The tape'!$D$5:$D$13*(1-'2. The tape'!$J$5:$J$13)^($A46/4)*(1+$V$5)^($A46/4)*((1-'3. Assumptions'!$B$13)/($V$6)-'2. The tape'!$H$5:$H$13/12-'3. Assumptions'!$B$16)-'2. The tape'!$C$5:$C$13*'2. The tape'!$I$5:$I$13*(1+$V$5)^($A46/4)))</f>
        <v>54347293.611886</v>
      </c>
      <c r="X46" s="33" t="n">
        <f aca="false">'2. The tape'!$C$17*(1+MIN(MAX($X$5,'3. Assumptions'!$B$11),'3. Assumptions'!$B$10))^INT(($A46-1)/4)/4*(1-'3. Assumptions'!$B$13)</f>
        <v>2998091.25</v>
      </c>
      <c r="Y46" s="33" t="n">
        <f aca="false">(1-'3. Assumptions'!$B$15)*SUMPRODUCT((('2. The tape'!$C$5:$C$13*'2. The tape'!$D$5:$D$13*(1-'2. The tape'!$J$5:$J$13)^($A46/4)*(1+$X$5)^($A46/4)*((1-'3. Assumptions'!$B$13)/($X$6)-'2. The tape'!$H$5:$H$13/12-'3. Assumptions'!$B$16)-'2. The tape'!$C$5:$C$13*'2. The tape'!$I$5:$I$13*(1+$X$5)^($A46/4))&gt;0)*('2. The tape'!$C$5:$C$13*'2. The tape'!$D$5:$D$13*(1-'2. The tape'!$J$5:$J$13)^($A46/4)*(1+$X$5)^($A46/4)*((1-'3. Assumptions'!$B$13)/($X$6)-'2. The tape'!$H$5:$H$13/12-'3. Assumptions'!$B$16)-'2. The tape'!$C$5:$C$13*'2. The tape'!$I$5:$I$13*(1+$X$5)^($A46/4)))</f>
        <v>54347290.6112741</v>
      </c>
      <c r="Z46" s="33" t="n">
        <f aca="false">'2. The tape'!$C$17*(1+MIN(MAX($Z$5,'3. Assumptions'!$B$11),'3. Assumptions'!$B$10))^INT(($A46-1)/4)/4*(1-'3. Assumptions'!$B$13)</f>
        <v>2998091.25</v>
      </c>
      <c r="AA46" s="33" t="n">
        <f aca="false">(1-'3. Assumptions'!$B$15)*SUMPRODUCT((('2. The tape'!$C$5:$C$13*'2. The tape'!$D$5:$D$13*(1-'2. The tape'!$J$5:$J$13)^($A46/4)*(1+$Z$5)^($A46/4)*((1-'3. Assumptions'!$B$13)/($Z$6)-'2. The tape'!$H$5:$H$13/12-'3. Assumptions'!$B$16)-'2. The tape'!$C$5:$C$13*'2. The tape'!$I$5:$I$13*(1+$Z$5)^($A46/4))&gt;0)*('2. The tape'!$C$5:$C$13*'2. The tape'!$D$5:$D$13*(1-'2. The tape'!$J$5:$J$13)^($A46/4)*(1+$Z$5)^($A46/4)*((1-'3. Assumptions'!$B$13)/($Z$6)-'2. The tape'!$H$5:$H$13/12-'3. Assumptions'!$B$16)-'2. The tape'!$C$5:$C$13*'2. The tape'!$I$5:$I$13*(1+$Z$5)^($A46/4)))</f>
        <v>54347290.611142</v>
      </c>
      <c r="AB46" s="33" t="n">
        <f aca="false">'2. The tape'!$C$17*(1+MIN(MAX($AB$5,'3. Assumptions'!$B$11),'3. Assumptions'!$B$10))^INT(($A46-1)/4)/4*(1-'3. Assumptions'!$B$13)</f>
        <v>2998091.25</v>
      </c>
      <c r="AC46" s="33" t="n">
        <f aca="false">(1-'3. Assumptions'!$B$15)*SUMPRODUCT((('2. The tape'!$C$5:$C$13*'2. The tape'!$D$5:$D$13*(1-'2. The tape'!$J$5:$J$13)^($A46/4)*(1+$AB$5)^($A46/4)*((1-'3. Assumptions'!$B$13)/($AB$6)-'2. The tape'!$H$5:$H$13/12-'3. Assumptions'!$B$16)-'2. The tape'!$C$5:$C$13*'2. The tape'!$I$5:$I$13*(1+$AB$5)^($A46/4))&gt;0)*('2. The tape'!$C$5:$C$13*'2. The tape'!$D$5:$D$13*(1-'2. The tape'!$J$5:$J$13)^($A46/4)*(1+$AB$5)^($A46/4)*((1-'3. Assumptions'!$B$13)/($AB$6)-'2. The tape'!$H$5:$H$13/12-'3. Assumptions'!$B$16)-'2. The tape'!$C$5:$C$13*'2. The tape'!$I$5:$I$13*(1+$AB$5)^($A46/4)))</f>
        <v>54347290.611142</v>
      </c>
      <c r="AD46" s="33" t="n">
        <f aca="false">'2. The tape'!$C$17*(1+MIN(MAX($AD$5,'3. Assumptions'!$B$11),'3. Assumptions'!$B$10))^INT(($A46-1)/4)/4*(1-'3. Assumptions'!$B$13)</f>
        <v>2998091.25</v>
      </c>
      <c r="AE46" s="33" t="n">
        <f aca="false">(1-'3. Assumptions'!$B$15)*SUMPRODUCT((('2. The tape'!$C$5:$C$13*'2. The tape'!$D$5:$D$13*(1-'2. The tape'!$J$5:$J$13)^($A46/4)*(1+$AD$5)^($A46/4)*((1-'3. Assumptions'!$B$13)/($AD$6)-'2. The tape'!$H$5:$H$13/12-'3. Assumptions'!$B$16)-'2. The tape'!$C$5:$C$13*'2. The tape'!$I$5:$I$13*(1+$AD$5)^($A46/4))&gt;0)*('2. The tape'!$C$5:$C$13*'2. The tape'!$D$5:$D$13*(1-'2. The tape'!$J$5:$J$13)^($A46/4)*(1+$AD$5)^($A46/4)*((1-'3. Assumptions'!$B$13)/($AD$6)-'2. The tape'!$H$5:$H$13/12-'3. Assumptions'!$B$16)-'2. The tape'!$C$5:$C$13*'2. The tape'!$I$5:$I$13*(1+$AD$5)^($A46/4)))</f>
        <v>54347290.611142</v>
      </c>
      <c r="AF46" s="33" t="n">
        <f aca="false">'2. The tape'!$C$17*(1+MIN(MAX($AF$5,'3. Assumptions'!$B$11),'3. Assumptions'!$B$10))^INT(($A46-1)/4)/4*(1-'3. Assumptions'!$B$13)</f>
        <v>2998091.25</v>
      </c>
      <c r="AG46" s="33" t="n">
        <f aca="false">(1-'3. Assumptions'!$B$15)*SUMPRODUCT((('2. The tape'!$C$5:$C$13*'2. The tape'!$D$5:$D$13*(1-'2. The tape'!$J$5:$J$13)^($A46/4)*(1+$AF$5)^($A46/4)*((1-'3. Assumptions'!$B$13)/($AF$6)-'2. The tape'!$H$5:$H$13/12-'3. Assumptions'!$B$16)-'2. The tape'!$C$5:$C$13*'2. The tape'!$I$5:$I$13*(1+$AF$5)^($A46/4))&gt;0)*('2. The tape'!$C$5:$C$13*'2. The tape'!$D$5:$D$13*(1-'2. The tape'!$J$5:$J$13)^($A46/4)*(1+$AF$5)^($A46/4)*((1-'3. Assumptions'!$B$13)/($AF$6)-'2. The tape'!$H$5:$H$13/12-'3. Assumptions'!$B$16)-'2. The tape'!$C$5:$C$13*'2. The tape'!$I$5:$I$13*(1+$AF$5)^($A46/4)))</f>
        <v>54347290.611142</v>
      </c>
      <c r="AH46" s="33" t="n">
        <f aca="false">'2. The tape'!$C$17*(1+MIN(MAX($AH$5,'3. Assumptions'!$B$11),'3. Assumptions'!$B$10))^INT(($A46-1)/4)/4*(1-'3. Assumptions'!$B$13)</f>
        <v>3491412.13870147</v>
      </c>
      <c r="AI46" s="33" t="n">
        <f aca="false">(1-'3. Assumptions'!$B$15)*SUMPRODUCT((('2. The tape'!$C$5:$C$13*'2. The tape'!$D$5:$D$13*(1-'2. The tape'!$J$5:$J$13)^($A46/4)*(1+$AH$5)^($A46/4)*((1-'3. Assumptions'!$B$13)/($AH$6)-'2. The tape'!$H$5:$H$13/12-'3. Assumptions'!$B$16)-'2. The tape'!$C$5:$C$13*'2. The tape'!$I$5:$I$13*(1+$AH$5)^($A46/4))&gt;0)*('2. The tape'!$C$5:$C$13*'2. The tape'!$D$5:$D$13*(1-'2. The tape'!$J$5:$J$13)^($A46/4)*(1+$AH$5)^($A46/4)*((1-'3. Assumptions'!$B$13)/($AH$6)-'2. The tape'!$H$5:$H$13/12-'3. Assumptions'!$B$16)-'2. The tape'!$C$5:$C$13*'2. The tape'!$I$5:$I$13*(1+$AH$5)^($A46/4)))</f>
        <v>155852902.160915</v>
      </c>
      <c r="AJ46" s="33" t="n">
        <f aca="false">'2. The tape'!$C$17*(1+MIN(MAX($AJ$5,'3. Assumptions'!$B$11),'3. Assumptions'!$B$10))^INT(($A46-1)/4)/4*(1-'3. Assumptions'!$B$13)</f>
        <v>3491412.13870147</v>
      </c>
      <c r="AK46" s="33" t="n">
        <f aca="false">(1-'3. Assumptions'!$B$15)*SUMPRODUCT((('2. The tape'!$C$5:$C$13*'2. The tape'!$D$5:$D$13*(1-'2. The tape'!$J$5:$J$13)^($A46/4)*(1+$AJ$5)^($A46/4)*((1-'3. Assumptions'!$B$13)/($AJ$6)-'2. The tape'!$H$5:$H$13/12-'3. Assumptions'!$B$16)-'2. The tape'!$C$5:$C$13*'2. The tape'!$I$5:$I$13*(1+$AJ$5)^($A46/4))&gt;0)*('2. The tape'!$C$5:$C$13*'2. The tape'!$D$5:$D$13*(1-'2. The tape'!$J$5:$J$13)^($A46/4)*(1+$AJ$5)^($A46/4)*((1-'3. Assumptions'!$B$13)/($AJ$6)-'2. The tape'!$H$5:$H$13/12-'3. Assumptions'!$B$16)-'2. The tape'!$C$5:$C$13*'2. The tape'!$I$5:$I$13*(1+$AJ$5)^($A46/4)))</f>
        <v>112801168.290048</v>
      </c>
      <c r="AL46" s="33" t="n">
        <f aca="false">'2. The tape'!$C$17*(1+MIN(MAX($AL$5,'3. Assumptions'!$B$11),'3. Assumptions'!$B$10))^INT(($A46-1)/4)/4*(1-'3. Assumptions'!$B$13)</f>
        <v>3491412.13870147</v>
      </c>
      <c r="AM46" s="33" t="n">
        <f aca="false">(1-'3. Assumptions'!$B$15)*SUMPRODUCT((('2. The tape'!$C$5:$C$13*'2. The tape'!$D$5:$D$13*(1-'2. The tape'!$J$5:$J$13)^($A46/4)*(1+$AL$5)^($A46/4)*((1-'3. Assumptions'!$B$13)/($AL$6)-'2. The tape'!$H$5:$H$13/12-'3. Assumptions'!$B$16)-'2. The tape'!$C$5:$C$13*'2. The tape'!$I$5:$I$13*(1+$AL$5)^($A46/4))&gt;0)*('2. The tape'!$C$5:$C$13*'2. The tape'!$D$5:$D$13*(1-'2. The tape'!$J$5:$J$13)^($A46/4)*(1+$AL$5)^($A46/4)*((1-'3. Assumptions'!$B$13)/($AL$6)-'2. The tape'!$H$5:$H$13/12-'3. Assumptions'!$B$16)-'2. The tape'!$C$5:$C$13*'2. The tape'!$I$5:$I$13*(1+$AL$5)^($A46/4)))</f>
        <v>129498501.280887</v>
      </c>
      <c r="AN46" s="33" t="n">
        <f aca="false">'2. The tape'!$C$17*(1+MIN(MAX($AN$5,'3. Assumptions'!$B$11),'3. Assumptions'!$B$10))^INT(($A46-1)/4)/4*(1-'3. Assumptions'!$B$13)</f>
        <v>3491412.13870147</v>
      </c>
      <c r="AO46" s="33" t="n">
        <f aca="false">(1-'3. Assumptions'!$B$15)*SUMPRODUCT((('2. The tape'!$C$5:$C$13*'2. The tape'!$D$5:$D$13*(1-'2. The tape'!$J$5:$J$13)^($A46/4)*(1+$AN$5)^($A46/4)*((1-'3. Assumptions'!$B$13)/($AN$6)-'2. The tape'!$H$5:$H$13/12-'3. Assumptions'!$B$16)-'2. The tape'!$C$5:$C$13*'2. The tape'!$I$5:$I$13*(1+$AN$5)^($A46/4))&gt;0)*('2. The tape'!$C$5:$C$13*'2. The tape'!$D$5:$D$13*(1-'2. The tape'!$J$5:$J$13)^($A46/4)*(1+$AN$5)^($A46/4)*((1-'3. Assumptions'!$B$13)/($AN$6)-'2. The tape'!$H$5:$H$13/12-'3. Assumptions'!$B$16)-'2. The tape'!$C$5:$C$13*'2. The tape'!$I$5:$I$13*(1+$AN$5)^($A46/4)))</f>
        <v>132624754.777831</v>
      </c>
      <c r="AP46" s="33" t="n">
        <f aca="false">'2. The tape'!$C$17*(1+MIN(MAX($AP$5,'3. Assumptions'!$B$11),'3. Assumptions'!$B$10))^INT(($A46-1)/4)/4*(1-'3. Assumptions'!$B$13)</f>
        <v>3491412.13870147</v>
      </c>
      <c r="AQ46" s="33" t="n">
        <f aca="false">(1-'3. Assumptions'!$B$15)*SUMPRODUCT((('2. The tape'!$C$5:$C$13*'2. The tape'!$D$5:$D$13*(1-'2. The tape'!$J$5:$J$13)^($A46/4)*(1+$AP$5)^($A46/4)*((1-'3. Assumptions'!$B$13)/($AP$6)-'2. The tape'!$H$5:$H$13/12-'3. Assumptions'!$B$16)-'2. The tape'!$C$5:$C$13*'2. The tape'!$I$5:$I$13*(1+$AP$5)^($A46/4))&gt;0)*('2. The tape'!$C$5:$C$13*'2. The tape'!$D$5:$D$13*(1-'2. The tape'!$J$5:$J$13)^($A46/4)*(1+$AP$5)^($A46/4)*((1-'3. Assumptions'!$B$13)/($AP$6)-'2. The tape'!$H$5:$H$13/12-'3. Assumptions'!$B$16)-'2. The tape'!$C$5:$C$13*'2. The tape'!$I$5:$I$13*(1+$AP$5)^($A46/4)))</f>
        <v>132238825.198823</v>
      </c>
      <c r="AR46" s="33" t="n">
        <f aca="false">'2. The tape'!$C$17*(1+MIN(MAX($AR$5,'3. Assumptions'!$B$11),'3. Assumptions'!$B$10))^INT(($A46-1)/4)/4*(1-'3. Assumptions'!$B$13)</f>
        <v>3491412.13870147</v>
      </c>
      <c r="AS46" s="33" t="n">
        <f aca="false">(1-'3. Assumptions'!$B$15)*SUMPRODUCT((('2. The tape'!$C$5:$C$13*'2. The tape'!$D$5:$D$13*(1-'2. The tape'!$J$5:$J$13)^($A46/4)*(1+$AR$5)^($A46/4)*((1-'3. Assumptions'!$B$13)/($AR$6)-'2. The tape'!$H$5:$H$13/12-'3. Assumptions'!$B$16)-'2. The tape'!$C$5:$C$13*'2. The tape'!$I$5:$I$13*(1+$AR$5)^($A46/4))&gt;0)*('2. The tape'!$C$5:$C$13*'2. The tape'!$D$5:$D$13*(1-'2. The tape'!$J$5:$J$13)^($A46/4)*(1+$AR$5)^($A46/4)*((1-'3. Assumptions'!$B$13)/($AR$6)-'2. The tape'!$H$5:$H$13/12-'3. Assumptions'!$B$16)-'2. The tape'!$C$5:$C$13*'2. The tape'!$I$5:$I$13*(1+$AR$5)^($A46/4)))</f>
        <v>132245300.544373</v>
      </c>
      <c r="AT46" s="33" t="n">
        <f aca="false">'2. The tape'!$C$17*(1+MIN(MAX($AT$5,'3. Assumptions'!$B$11),'3. Assumptions'!$B$10))^INT(($A46-1)/4)/4*(1-'3. Assumptions'!$B$13)</f>
        <v>3491412.13870147</v>
      </c>
      <c r="AU46" s="33" t="n">
        <f aca="false">(1-'3. Assumptions'!$B$15)*SUMPRODUCT((('2. The tape'!$C$5:$C$13*'2. The tape'!$D$5:$D$13*(1-'2. The tape'!$J$5:$J$13)^($A46/4)*(1+$AT$5)^($A46/4)*((1-'3. Assumptions'!$B$13)/($AT$6)-'2. The tape'!$H$5:$H$13/12-'3. Assumptions'!$B$16)-'2. The tape'!$C$5:$C$13*'2. The tape'!$I$5:$I$13*(1+$AT$5)^($A46/4))&gt;0)*('2. The tape'!$C$5:$C$13*'2. The tape'!$D$5:$D$13*(1-'2. The tape'!$J$5:$J$13)^($A46/4)*(1+$AT$5)^($A46/4)*((1-'3. Assumptions'!$B$13)/($AT$6)-'2. The tape'!$H$5:$H$13/12-'3. Assumptions'!$B$16)-'2. The tape'!$C$5:$C$13*'2. The tape'!$I$5:$I$13*(1+$AT$5)^($A46/4)))</f>
        <v>132245315.623824</v>
      </c>
      <c r="AV46" s="33" t="n">
        <f aca="false">'2. The tape'!$C$17*(1+MIN(MAX($AV$5,'3. Assumptions'!$B$11),'3. Assumptions'!$B$10))^INT(($A46-1)/4)/4*(1-'3. Assumptions'!$B$13)</f>
        <v>3491412.13870147</v>
      </c>
      <c r="AW46" s="33" t="n">
        <f aca="false">(1-'3. Assumptions'!$B$15)*SUMPRODUCT((('2. The tape'!$C$5:$C$13*'2. The tape'!$D$5:$D$13*(1-'2. The tape'!$J$5:$J$13)^($A46/4)*(1+$AV$5)^($A46/4)*((1-'3. Assumptions'!$B$13)/($AV$6)-'2. The tape'!$H$5:$H$13/12-'3. Assumptions'!$B$16)-'2. The tape'!$C$5:$C$13*'2. The tape'!$I$5:$I$13*(1+$AV$5)^($A46/4))&gt;0)*('2. The tape'!$C$5:$C$13*'2. The tape'!$D$5:$D$13*(1-'2. The tape'!$J$5:$J$13)^($A46/4)*(1+$AV$5)^($A46/4)*((1-'3. Assumptions'!$B$13)/($AV$6)-'2. The tape'!$H$5:$H$13/12-'3. Assumptions'!$B$16)-'2. The tape'!$C$5:$C$13*'2. The tape'!$I$5:$I$13*(1+$AV$5)^($A46/4)))</f>
        <v>132245315.623223</v>
      </c>
      <c r="AX46" s="33" t="n">
        <f aca="false">'2. The tape'!$C$17*(1+MIN(MAX($AX$5,'3. Assumptions'!$B$11),'3. Assumptions'!$B$10))^INT(($A46-1)/4)/4*(1-'3. Assumptions'!$B$13)</f>
        <v>3491412.13870147</v>
      </c>
      <c r="AY46" s="33" t="n">
        <f aca="false">(1-'3. Assumptions'!$B$15)*SUMPRODUCT((('2. The tape'!$C$5:$C$13*'2. The tape'!$D$5:$D$13*(1-'2. The tape'!$J$5:$J$13)^($A46/4)*(1+$AX$5)^($A46/4)*((1-'3. Assumptions'!$B$13)/($AX$6)-'2. The tape'!$H$5:$H$13/12-'3. Assumptions'!$B$16)-'2. The tape'!$C$5:$C$13*'2. The tape'!$I$5:$I$13*(1+$AX$5)^($A46/4))&gt;0)*('2. The tape'!$C$5:$C$13*'2. The tape'!$D$5:$D$13*(1-'2. The tape'!$J$5:$J$13)^($A46/4)*(1+$AX$5)^($A46/4)*((1-'3. Assumptions'!$B$13)/($AX$6)-'2. The tape'!$H$5:$H$13/12-'3. Assumptions'!$B$16)-'2. The tape'!$C$5:$C$13*'2. The tape'!$I$5:$I$13*(1+$AX$5)^($A46/4)))</f>
        <v>132245315.623223</v>
      </c>
      <c r="AZ46" s="33" t="n">
        <f aca="false">'2. The tape'!$C$17*(1+MIN(MAX($AZ$5,'3. Assumptions'!$B$11),'3. Assumptions'!$B$10))^INT(($A46-1)/4)/4*(1-'3. Assumptions'!$B$13)</f>
        <v>3491412.13870147</v>
      </c>
      <c r="BA46" s="33" t="n">
        <f aca="false">(1-'3. Assumptions'!$B$15)*SUMPRODUCT((('2. The tape'!$C$5:$C$13*'2. The tape'!$D$5:$D$13*(1-'2. The tape'!$J$5:$J$13)^($A46/4)*(1+$AZ$5)^($A46/4)*((1-'3. Assumptions'!$B$13)/($AZ$6)-'2. The tape'!$H$5:$H$13/12-'3. Assumptions'!$B$16)-'2. The tape'!$C$5:$C$13*'2. The tape'!$I$5:$I$13*(1+$AZ$5)^($A46/4))&gt;0)*('2. The tape'!$C$5:$C$13*'2. The tape'!$D$5:$D$13*(1-'2. The tape'!$J$5:$J$13)^($A46/4)*(1+$AZ$5)^($A46/4)*((1-'3. Assumptions'!$B$13)/($AZ$6)-'2. The tape'!$H$5:$H$13/12-'3. Assumptions'!$B$16)-'2. The tape'!$C$5:$C$13*'2. The tape'!$I$5:$I$13*(1+$AZ$5)^($A46/4)))</f>
        <v>132245315.623223</v>
      </c>
    </row>
    <row r="47" customFormat="false" ht="15" hidden="false" customHeight="false" outlineLevel="0" collapsed="false">
      <c r="A47" s="20" t="n">
        <v>32</v>
      </c>
      <c r="B47" s="33" t="n">
        <f aca="false">'2. The tape'!$C$17*(1+MIN(MAX($B$5,'3. Assumptions'!$B$11),'3. Assumptions'!$B$10))^INT(($A47-1)/4)/4*(1-'3. Assumptions'!$B$13)</f>
        <v>3491412.13870147</v>
      </c>
      <c r="C47" s="33" t="n">
        <f aca="false">(1-'3. Assumptions'!$B$15)*SUMPRODUCT((('2. The tape'!$C$5:$C$13*'2. The tape'!$D$5:$D$13*(1-'2. The tape'!$J$5:$J$13)^($A47/4)*(1+$B$5)^($A47/4)*((1-'3. Assumptions'!$B$13)/($B$6)-'2. The tape'!$H$5:$H$13/12-'3. Assumptions'!$B$16)-'2. The tape'!$C$5:$C$13*'2. The tape'!$I$5:$I$13*(1+$B$5)^($A47/4))&gt;0)*('2. The tape'!$C$5:$C$13*'2. The tape'!$D$5:$D$13*(1-'2. The tape'!$J$5:$J$13)^($A47/4)*(1+$B$5)^($A47/4)*((1-'3. Assumptions'!$B$13)/($B$6)-'2. The tape'!$H$5:$H$13/12-'3. Assumptions'!$B$16)-'2. The tape'!$C$5:$C$13*'2. The tape'!$I$5:$I$13*(1+$B$5)^($A47/4)))</f>
        <v>78939013.1975014</v>
      </c>
      <c r="D47" s="33" t="n">
        <f aca="false">'2. The tape'!$C$17*(1+MIN(MAX($D$5,'3. Assumptions'!$B$11),'3. Assumptions'!$B$10))^INT(($A47-1)/4)/4*(1-'3. Assumptions'!$B$13)</f>
        <v>3687274.07453398</v>
      </c>
      <c r="E47" s="33" t="n">
        <f aca="false">(1-'3. Assumptions'!$B$15)*SUMPRODUCT((('2. The tape'!$C$5:$C$13*'2. The tape'!$D$5:$D$13*(1-'2. The tape'!$J$5:$J$13)^($A47/4)*(1+$D$5)^($A47/4)*((1-'3. Assumptions'!$B$13)/($D$6)-'2. The tape'!$H$5:$H$13/12-'3. Assumptions'!$B$16)-'2. The tape'!$C$5:$C$13*'2. The tape'!$I$5:$I$13*(1+$D$5)^($A47/4))&gt;0)*('2. The tape'!$C$5:$C$13*'2. The tape'!$D$5:$D$13*(1-'2. The tape'!$J$5:$J$13)^($A47/4)*(1+$D$5)^($A47/4)*((1-'3. Assumptions'!$B$13)/($D$6)-'2. The tape'!$H$5:$H$13/12-'3. Assumptions'!$B$16)-'2. The tape'!$C$5:$C$13*'2. The tape'!$I$5:$I$13*(1+$D$5)^($A47/4)))</f>
        <v>87338820.9983686</v>
      </c>
      <c r="F47" s="33" t="n">
        <f aca="false">'2. The tape'!$C$17*(1+MIN(MAX($F$5,'3. Assumptions'!$B$11),'3. Assumptions'!$B$10))^INT(($A47-1)/4)/4*(1-'3. Assumptions'!$B$13)</f>
        <v>3214359.6179677</v>
      </c>
      <c r="G47" s="33" t="n">
        <f aca="false">(1-'3. Assumptions'!$B$15)*SUMPRODUCT((('2. The tape'!$C$5:$C$13*'2. The tape'!$D$5:$D$13*(1-'2. The tape'!$J$5:$J$13)^($A47/4)*(1+$F$5)^($A47/4)*((1-'3. Assumptions'!$B$13)/($F$6)-'2. The tape'!$H$5:$H$13/12-'3. Assumptions'!$B$16)-'2. The tape'!$C$5:$C$13*'2. The tape'!$I$5:$I$13*(1+$F$5)^($A47/4))&gt;0)*('2. The tape'!$C$5:$C$13*'2. The tape'!$D$5:$D$13*(1-'2. The tape'!$J$5:$J$13)^($A47/4)*(1+$F$5)^($A47/4)*((1-'3. Assumptions'!$B$13)/($F$6)-'2. The tape'!$H$5:$H$13/12-'3. Assumptions'!$B$16)-'2. The tape'!$C$5:$C$13*'2. The tape'!$I$5:$I$13*(1+$F$5)^($A47/4)))</f>
        <v>71821672.9419077</v>
      </c>
      <c r="H47" s="33" t="n">
        <f aca="false">'2. The tape'!$C$17*(1+MIN(MAX($H$5,'3. Assumptions'!$B$11),'3. Assumptions'!$B$10))^INT(($A47-1)/4)/4*(1-'3. Assumptions'!$B$13)</f>
        <v>3687274.07453398</v>
      </c>
      <c r="I47" s="33" t="n">
        <f aca="false">(1-'3. Assumptions'!$B$15)*SUMPRODUCT((('2. The tape'!$C$5:$C$13*'2. The tape'!$D$5:$D$13*(1-'2. The tape'!$J$5:$J$13)^($A47/4)*(1+$H$5)^($A47/4)*((1-'3. Assumptions'!$B$13)/($H$6)-'2. The tape'!$H$5:$H$13/12-'3. Assumptions'!$B$16)-'2. The tape'!$C$5:$C$13*'2. The tape'!$I$5:$I$13*(1+$H$5)^($A47/4))&gt;0)*('2. The tape'!$C$5:$C$13*'2. The tape'!$D$5:$D$13*(1-'2. The tape'!$J$5:$J$13)^($A47/4)*(1+$H$5)^($A47/4)*((1-'3. Assumptions'!$B$13)/($H$6)-'2. The tape'!$H$5:$H$13/12-'3. Assumptions'!$B$16)-'2. The tape'!$C$5:$C$13*'2. The tape'!$I$5:$I$13*(1+$H$5)^($A47/4)))</f>
        <v>87338820.9983686</v>
      </c>
      <c r="J47" s="33" t="n">
        <f aca="false">'2. The tape'!$C$17*(1+MIN(MAX($J$5,'3. Assumptions'!$B$11),'3. Assumptions'!$B$10))^INT(($A47-1)/4)/4*(1-'3. Assumptions'!$B$13)</f>
        <v>3491412.13870147</v>
      </c>
      <c r="K47" s="33" t="n">
        <f aca="false">(1-'3. Assumptions'!$B$15)*SUMPRODUCT((('2. The tape'!$C$5:$C$13*'2. The tape'!$D$5:$D$13*(1-'2. The tape'!$J$5:$J$13)^($A47/4)*(1+$J$5)^($A47/4)*((1-'3. Assumptions'!$B$13)/($J$6)-'2. The tape'!$H$5:$H$13/12-'3. Assumptions'!$B$16)-'2. The tape'!$C$5:$C$13*'2. The tape'!$I$5:$I$13*(1+$J$5)^($A47/4))&gt;0)*('2. The tape'!$C$5:$C$13*'2. The tape'!$D$5:$D$13*(1-'2. The tape'!$J$5:$J$13)^($A47/4)*(1+$J$5)^($A47/4)*((1-'3. Assumptions'!$B$13)/($J$6)-'2. The tape'!$H$5:$H$13/12-'3. Assumptions'!$B$16)-'2. The tape'!$C$5:$C$13*'2. The tape'!$I$5:$I$13*(1+$J$5)^($A47/4)))</f>
        <v>64871088.9250873</v>
      </c>
      <c r="L47" s="33" t="n">
        <f aca="false">'2. The tape'!$C$17*(1+MIN(MAX($L$5,'3. Assumptions'!$B$11),'3. Assumptions'!$B$10))^INT(($A47-1)/4)/4*(1-'3. Assumptions'!$B$13)</f>
        <v>3687274.07453398</v>
      </c>
      <c r="M47" s="33" t="n">
        <f aca="false">(1-'3. Assumptions'!$B$15)*SUMPRODUCT((('2. The tape'!$C$5:$C$13*'2. The tape'!$D$5:$D$13*(1-'2. The tape'!$J$5:$J$13)^($A47/4)*(1+$L$5)^($A47/4)*((1-'3. Assumptions'!$B$13)/($L$6)-'2. The tape'!$H$5:$H$13/12-'3. Assumptions'!$B$16)-'2. The tape'!$C$5:$C$13*'2. The tape'!$I$5:$I$13*(1+$L$5)^($A47/4))&gt;0)*('2. The tape'!$C$5:$C$13*'2. The tape'!$D$5:$D$13*(1-'2. The tape'!$J$5:$J$13)^($A47/4)*(1+$L$5)^($A47/4)*((1-'3. Assumptions'!$B$13)/($L$6)-'2. The tape'!$H$5:$H$13/12-'3. Assumptions'!$B$16)-'2. The tape'!$C$5:$C$13*'2. The tape'!$I$5:$I$13*(1+$L$5)^($A47/4)))</f>
        <v>541042455.089631</v>
      </c>
      <c r="N47" s="33" t="n">
        <f aca="false">'2. The tape'!$C$17*(1+MIN(MAX($N$5,'3. Assumptions'!$B$11),'3. Assumptions'!$B$10))^INT(($A47-1)/4)/4*(1-'3. Assumptions'!$B$13)</f>
        <v>2998091.25</v>
      </c>
      <c r="O47" s="33" t="n">
        <f aca="false">(1-'3. Assumptions'!$B$15)*SUMPRODUCT((('2. The tape'!$C$5:$C$13*'2. The tape'!$D$5:$D$13*(1-'2. The tape'!$J$5:$J$13)^($A47/4)*(1+$N$5)^($A47/4)*((1-'3. Assumptions'!$B$13)/($N$6)-'2. The tape'!$H$5:$H$13/12-'3. Assumptions'!$B$16)-'2. The tape'!$C$5:$C$13*'2. The tape'!$I$5:$I$13*(1+$N$5)^($A47/4))&gt;0)*('2. The tape'!$C$5:$C$13*'2. The tape'!$D$5:$D$13*(1-'2. The tape'!$J$5:$J$13)^($A47/4)*(1+$N$5)^($A47/4)*((1-'3. Assumptions'!$B$13)/($N$6)-'2. The tape'!$H$5:$H$13/12-'3. Assumptions'!$B$16)-'2. The tape'!$C$5:$C$13*'2. The tape'!$I$5:$I$13*(1+$N$5)^($A47/4)))</f>
        <v>51982648.2482527</v>
      </c>
      <c r="P47" s="33" t="n">
        <f aca="false">'2. The tape'!$C$17*(1+MIN(MAX($P$5,'3. Assumptions'!$B$11),'3. Assumptions'!$B$10))^INT(($A47-1)/4)/4*(1-'3. Assumptions'!$B$13)</f>
        <v>2998091.25</v>
      </c>
      <c r="Q47" s="33" t="n">
        <f aca="false">(1-'3. Assumptions'!$B$15)*SUMPRODUCT((('2. The tape'!$C$5:$C$13*'2. The tape'!$D$5:$D$13*(1-'2. The tape'!$J$5:$J$13)^($A47/4)*(1+$P$5)^($A47/4)*((1-'3. Assumptions'!$B$13)/($P$6)-'2. The tape'!$H$5:$H$13/12-'3. Assumptions'!$B$16)-'2. The tape'!$C$5:$C$13*'2. The tape'!$I$5:$I$13*(1+$P$5)^($A47/4))&gt;0)*('2. The tape'!$C$5:$C$13*'2. The tape'!$D$5:$D$13*(1-'2. The tape'!$J$5:$J$13)^($A47/4)*(1+$P$5)^($A47/4)*((1-'3. Assumptions'!$B$13)/($P$6)-'2. The tape'!$H$5:$H$13/12-'3. Assumptions'!$B$16)-'2. The tape'!$C$5:$C$13*'2. The tape'!$I$5:$I$13*(1+$P$5)^($A47/4)))</f>
        <v>56427801.7962651</v>
      </c>
      <c r="R47" s="33" t="n">
        <f aca="false">'2. The tape'!$C$17*(1+MIN(MAX($R$5,'3. Assumptions'!$B$11),'3. Assumptions'!$B$10))^INT(($A47-1)/4)/4*(1-'3. Assumptions'!$B$13)</f>
        <v>2998091.25</v>
      </c>
      <c r="S47" s="33" t="n">
        <f aca="false">(1-'3. Assumptions'!$B$15)*SUMPRODUCT((('2. The tape'!$C$5:$C$13*'2. The tape'!$D$5:$D$13*(1-'2. The tape'!$J$5:$J$13)^($A47/4)*(1+$R$5)^($A47/4)*((1-'3. Assumptions'!$B$13)/($R$6)-'2. The tape'!$H$5:$H$13/12-'3. Assumptions'!$B$16)-'2. The tape'!$C$5:$C$13*'2. The tape'!$I$5:$I$13*(1+$R$5)^($A47/4))&gt;0)*('2. The tape'!$C$5:$C$13*'2. The tape'!$D$5:$D$13*(1-'2. The tape'!$J$5:$J$13)^($A47/4)*(1+$R$5)^($A47/4)*((1-'3. Assumptions'!$B$13)/($R$6)-'2. The tape'!$H$5:$H$13/12-'3. Assumptions'!$B$16)-'2. The tape'!$C$5:$C$13*'2. The tape'!$I$5:$I$13*(1+$R$5)^($A47/4)))</f>
        <v>53698891.3025167</v>
      </c>
      <c r="T47" s="33" t="n">
        <f aca="false">'2. The tape'!$C$17*(1+MIN(MAX($T$5,'3. Assumptions'!$B$11),'3. Assumptions'!$B$10))^INT(($A47-1)/4)/4*(1-'3. Assumptions'!$B$13)</f>
        <v>2998091.25</v>
      </c>
      <c r="U47" s="33" t="n">
        <f aca="false">(1-'3. Assumptions'!$B$15)*SUMPRODUCT((('2. The tape'!$C$5:$C$13*'2. The tape'!$D$5:$D$13*(1-'2. The tape'!$J$5:$J$13)^($A47/4)*(1+$T$5)^($A47/4)*((1-'3. Assumptions'!$B$13)/($T$6)-'2. The tape'!$H$5:$H$13/12-'3. Assumptions'!$B$16)-'2. The tape'!$C$5:$C$13*'2. The tape'!$I$5:$I$13*(1+$T$5)^($A47/4))&gt;0)*('2. The tape'!$C$5:$C$13*'2. The tape'!$D$5:$D$13*(1-'2. The tape'!$J$5:$J$13)^($A47/4)*(1+$T$5)^($A47/4)*((1-'3. Assumptions'!$B$13)/($T$6)-'2. The tape'!$H$5:$H$13/12-'3. Assumptions'!$B$16)-'2. The tape'!$C$5:$C$13*'2. The tape'!$I$5:$I$13*(1+$T$5)^($A47/4)))</f>
        <v>53626510.3198687</v>
      </c>
      <c r="V47" s="33" t="n">
        <f aca="false">'2. The tape'!$C$17*(1+MIN(MAX($V$5,'3. Assumptions'!$B$11),'3. Assumptions'!$B$10))^INT(($A47-1)/4)/4*(1-'3. Assumptions'!$B$13)</f>
        <v>2998091.25</v>
      </c>
      <c r="W47" s="33" t="n">
        <f aca="false">(1-'3. Assumptions'!$B$15)*SUMPRODUCT((('2. The tape'!$C$5:$C$13*'2. The tape'!$D$5:$D$13*(1-'2. The tape'!$J$5:$J$13)^($A47/4)*(1+$V$5)^($A47/4)*((1-'3. Assumptions'!$B$13)/($V$6)-'2. The tape'!$H$5:$H$13/12-'3. Assumptions'!$B$16)-'2. The tape'!$C$5:$C$13*'2. The tape'!$I$5:$I$13*(1+$V$5)^($A47/4))&gt;0)*('2. The tape'!$C$5:$C$13*'2. The tape'!$D$5:$D$13*(1-'2. The tape'!$J$5:$J$13)^($A47/4)*(1+$V$5)^($A47/4)*((1-'3. Assumptions'!$B$13)/($V$6)-'2. The tape'!$H$5:$H$13/12-'3. Assumptions'!$B$16)-'2. The tape'!$C$5:$C$13*'2. The tape'!$I$5:$I$13*(1+$V$5)^($A47/4)))</f>
        <v>53629416.871279</v>
      </c>
      <c r="X47" s="33" t="n">
        <f aca="false">'2. The tape'!$C$17*(1+MIN(MAX($X$5,'3. Assumptions'!$B$11),'3. Assumptions'!$B$10))^INT(($A47-1)/4)/4*(1-'3. Assumptions'!$B$13)</f>
        <v>2998091.25</v>
      </c>
      <c r="Y47" s="33" t="n">
        <f aca="false">(1-'3. Assumptions'!$B$15)*SUMPRODUCT((('2. The tape'!$C$5:$C$13*'2. The tape'!$D$5:$D$13*(1-'2. The tape'!$J$5:$J$13)^($A47/4)*(1+$X$5)^($A47/4)*((1-'3. Assumptions'!$B$13)/($X$6)-'2. The tape'!$H$5:$H$13/12-'3. Assumptions'!$B$16)-'2. The tape'!$C$5:$C$13*'2. The tape'!$I$5:$I$13*(1+$X$5)^($A47/4))&gt;0)*('2. The tape'!$C$5:$C$13*'2. The tape'!$D$5:$D$13*(1-'2. The tape'!$J$5:$J$13)^($A47/4)*(1+$X$5)^($A47/4)*((1-'3. Assumptions'!$B$13)/($X$6)-'2. The tape'!$H$5:$H$13/12-'3. Assumptions'!$B$16)-'2. The tape'!$C$5:$C$13*'2. The tape'!$I$5:$I$13*(1+$X$5)^($A47/4)))</f>
        <v>53629413.814787</v>
      </c>
      <c r="Z47" s="33" t="n">
        <f aca="false">'2. The tape'!$C$17*(1+MIN(MAX($Z$5,'3. Assumptions'!$B$11),'3. Assumptions'!$B$10))^INT(($A47-1)/4)/4*(1-'3. Assumptions'!$B$13)</f>
        <v>2998091.25</v>
      </c>
      <c r="AA47" s="33" t="n">
        <f aca="false">(1-'3. Assumptions'!$B$15)*SUMPRODUCT((('2. The tape'!$C$5:$C$13*'2. The tape'!$D$5:$D$13*(1-'2. The tape'!$J$5:$J$13)^($A47/4)*(1+$Z$5)^($A47/4)*((1-'3. Assumptions'!$B$13)/($Z$6)-'2. The tape'!$H$5:$H$13/12-'3. Assumptions'!$B$16)-'2. The tape'!$C$5:$C$13*'2. The tape'!$I$5:$I$13*(1+$Z$5)^($A47/4))&gt;0)*('2. The tape'!$C$5:$C$13*'2. The tape'!$D$5:$D$13*(1-'2. The tape'!$J$5:$J$13)^($A47/4)*(1+$Z$5)^($A47/4)*((1-'3. Assumptions'!$B$13)/($Z$6)-'2. The tape'!$H$5:$H$13/12-'3. Assumptions'!$B$16)-'2. The tape'!$C$5:$C$13*'2. The tape'!$I$5:$I$13*(1+$Z$5)^($A47/4)))</f>
        <v>53629413.8146525</v>
      </c>
      <c r="AB47" s="33" t="n">
        <f aca="false">'2. The tape'!$C$17*(1+MIN(MAX($AB$5,'3. Assumptions'!$B$11),'3. Assumptions'!$B$10))^INT(($A47-1)/4)/4*(1-'3. Assumptions'!$B$13)</f>
        <v>2998091.25</v>
      </c>
      <c r="AC47" s="33" t="n">
        <f aca="false">(1-'3. Assumptions'!$B$15)*SUMPRODUCT((('2. The tape'!$C$5:$C$13*'2. The tape'!$D$5:$D$13*(1-'2. The tape'!$J$5:$J$13)^($A47/4)*(1+$AB$5)^($A47/4)*((1-'3. Assumptions'!$B$13)/($AB$6)-'2. The tape'!$H$5:$H$13/12-'3. Assumptions'!$B$16)-'2. The tape'!$C$5:$C$13*'2. The tape'!$I$5:$I$13*(1+$AB$5)^($A47/4))&gt;0)*('2. The tape'!$C$5:$C$13*'2. The tape'!$D$5:$D$13*(1-'2. The tape'!$J$5:$J$13)^($A47/4)*(1+$AB$5)^($A47/4)*((1-'3. Assumptions'!$B$13)/($AB$6)-'2. The tape'!$H$5:$H$13/12-'3. Assumptions'!$B$16)-'2. The tape'!$C$5:$C$13*'2. The tape'!$I$5:$I$13*(1+$AB$5)^($A47/4)))</f>
        <v>53629413.8146525</v>
      </c>
      <c r="AD47" s="33" t="n">
        <f aca="false">'2. The tape'!$C$17*(1+MIN(MAX($AD$5,'3. Assumptions'!$B$11),'3. Assumptions'!$B$10))^INT(($A47-1)/4)/4*(1-'3. Assumptions'!$B$13)</f>
        <v>2998091.25</v>
      </c>
      <c r="AE47" s="33" t="n">
        <f aca="false">(1-'3. Assumptions'!$B$15)*SUMPRODUCT((('2. The tape'!$C$5:$C$13*'2. The tape'!$D$5:$D$13*(1-'2. The tape'!$J$5:$J$13)^($A47/4)*(1+$AD$5)^($A47/4)*((1-'3. Assumptions'!$B$13)/($AD$6)-'2. The tape'!$H$5:$H$13/12-'3. Assumptions'!$B$16)-'2. The tape'!$C$5:$C$13*'2. The tape'!$I$5:$I$13*(1+$AD$5)^($A47/4))&gt;0)*('2. The tape'!$C$5:$C$13*'2. The tape'!$D$5:$D$13*(1-'2. The tape'!$J$5:$J$13)^($A47/4)*(1+$AD$5)^($A47/4)*((1-'3. Assumptions'!$B$13)/($AD$6)-'2. The tape'!$H$5:$H$13/12-'3. Assumptions'!$B$16)-'2. The tape'!$C$5:$C$13*'2. The tape'!$I$5:$I$13*(1+$AD$5)^($A47/4)))</f>
        <v>53629413.8146525</v>
      </c>
      <c r="AF47" s="33" t="n">
        <f aca="false">'2. The tape'!$C$17*(1+MIN(MAX($AF$5,'3. Assumptions'!$B$11),'3. Assumptions'!$B$10))^INT(($A47-1)/4)/4*(1-'3. Assumptions'!$B$13)</f>
        <v>2998091.25</v>
      </c>
      <c r="AG47" s="33" t="n">
        <f aca="false">(1-'3. Assumptions'!$B$15)*SUMPRODUCT((('2. The tape'!$C$5:$C$13*'2. The tape'!$D$5:$D$13*(1-'2. The tape'!$J$5:$J$13)^($A47/4)*(1+$AF$5)^($A47/4)*((1-'3. Assumptions'!$B$13)/($AF$6)-'2. The tape'!$H$5:$H$13/12-'3. Assumptions'!$B$16)-'2. The tape'!$C$5:$C$13*'2. The tape'!$I$5:$I$13*(1+$AF$5)^($A47/4))&gt;0)*('2. The tape'!$C$5:$C$13*'2. The tape'!$D$5:$D$13*(1-'2. The tape'!$J$5:$J$13)^($A47/4)*(1+$AF$5)^($A47/4)*((1-'3. Assumptions'!$B$13)/($AF$6)-'2. The tape'!$H$5:$H$13/12-'3. Assumptions'!$B$16)-'2. The tape'!$C$5:$C$13*'2. The tape'!$I$5:$I$13*(1+$AF$5)^($A47/4)))</f>
        <v>53629413.8146525</v>
      </c>
      <c r="AH47" s="33" t="n">
        <f aca="false">'2. The tape'!$C$17*(1+MIN(MAX($AH$5,'3. Assumptions'!$B$11),'3. Assumptions'!$B$10))^INT(($A47-1)/4)/4*(1-'3. Assumptions'!$B$13)</f>
        <v>3491412.13870147</v>
      </c>
      <c r="AI47" s="33" t="n">
        <f aca="false">(1-'3. Assumptions'!$B$15)*SUMPRODUCT((('2. The tape'!$C$5:$C$13*'2. The tape'!$D$5:$D$13*(1-'2. The tape'!$J$5:$J$13)^($A47/4)*(1+$AH$5)^($A47/4)*((1-'3. Assumptions'!$B$13)/($AH$6)-'2. The tape'!$H$5:$H$13/12-'3. Assumptions'!$B$16)-'2. The tape'!$C$5:$C$13*'2. The tape'!$I$5:$I$13*(1+$AH$5)^($A47/4))&gt;0)*('2. The tape'!$C$5:$C$13*'2. The tape'!$D$5:$D$13*(1-'2. The tape'!$J$5:$J$13)^($A47/4)*(1+$AH$5)^($A47/4)*((1-'3. Assumptions'!$B$13)/($AH$6)-'2. The tape'!$H$5:$H$13/12-'3. Assumptions'!$B$16)-'2. The tape'!$C$5:$C$13*'2. The tape'!$I$5:$I$13*(1+$AH$5)^($A47/4)))</f>
        <v>155749879.724882</v>
      </c>
      <c r="AJ47" s="33" t="n">
        <f aca="false">'2. The tape'!$C$17*(1+MIN(MAX($AJ$5,'3. Assumptions'!$B$11),'3. Assumptions'!$B$10))^INT(($A47-1)/4)/4*(1-'3. Assumptions'!$B$13)</f>
        <v>3491412.13870147</v>
      </c>
      <c r="AK47" s="33" t="n">
        <f aca="false">(1-'3. Assumptions'!$B$15)*SUMPRODUCT((('2. The tape'!$C$5:$C$13*'2. The tape'!$D$5:$D$13*(1-'2. The tape'!$J$5:$J$13)^($A47/4)*(1+$AJ$5)^($A47/4)*((1-'3. Assumptions'!$B$13)/($AJ$6)-'2. The tape'!$H$5:$H$13/12-'3. Assumptions'!$B$16)-'2. The tape'!$C$5:$C$13*'2. The tape'!$I$5:$I$13*(1+$AJ$5)^($A47/4))&gt;0)*('2. The tape'!$C$5:$C$13*'2. The tape'!$D$5:$D$13*(1-'2. The tape'!$J$5:$J$13)^($A47/4)*(1+$AJ$5)^($A47/4)*((1-'3. Assumptions'!$B$13)/($AJ$6)-'2. The tape'!$H$5:$H$13/12-'3. Assumptions'!$B$16)-'2. The tape'!$C$5:$C$13*'2. The tape'!$I$5:$I$13*(1+$AJ$5)^($A47/4)))</f>
        <v>112702031.451295</v>
      </c>
      <c r="AL47" s="33" t="n">
        <f aca="false">'2. The tape'!$C$17*(1+MIN(MAX($AL$5,'3. Assumptions'!$B$11),'3. Assumptions'!$B$10))^INT(($A47-1)/4)/4*(1-'3. Assumptions'!$B$13)</f>
        <v>3491412.13870147</v>
      </c>
      <c r="AM47" s="33" t="n">
        <f aca="false">(1-'3. Assumptions'!$B$15)*SUMPRODUCT((('2. The tape'!$C$5:$C$13*'2. The tape'!$D$5:$D$13*(1-'2. The tape'!$J$5:$J$13)^($A47/4)*(1+$AL$5)^($A47/4)*((1-'3. Assumptions'!$B$13)/($AL$6)-'2. The tape'!$H$5:$H$13/12-'3. Assumptions'!$B$16)-'2. The tape'!$C$5:$C$13*'2. The tape'!$I$5:$I$13*(1+$AL$5)^($A47/4))&gt;0)*('2. The tape'!$C$5:$C$13*'2. The tape'!$D$5:$D$13*(1-'2. The tape'!$J$5:$J$13)^($A47/4)*(1+$AL$5)^($A47/4)*((1-'3. Assumptions'!$B$13)/($AL$6)-'2. The tape'!$H$5:$H$13/12-'3. Assumptions'!$B$16)-'2. The tape'!$C$5:$C$13*'2. The tape'!$I$5:$I$13*(1+$AL$5)^($A47/4)))</f>
        <v>129397857.43868</v>
      </c>
      <c r="AN47" s="33" t="n">
        <f aca="false">'2. The tape'!$C$17*(1+MIN(MAX($AN$5,'3. Assumptions'!$B$11),'3. Assumptions'!$B$10))^INT(($A47-1)/4)/4*(1-'3. Assumptions'!$B$13)</f>
        <v>3491412.13870147</v>
      </c>
      <c r="AO47" s="33" t="n">
        <f aca="false">(1-'3. Assumptions'!$B$15)*SUMPRODUCT((('2. The tape'!$C$5:$C$13*'2. The tape'!$D$5:$D$13*(1-'2. The tape'!$J$5:$J$13)^($A47/4)*(1+$AN$5)^($A47/4)*((1-'3. Assumptions'!$B$13)/($AN$6)-'2. The tape'!$H$5:$H$13/12-'3. Assumptions'!$B$16)-'2. The tape'!$C$5:$C$13*'2. The tape'!$I$5:$I$13*(1+$AN$5)^($A47/4))&gt;0)*('2. The tape'!$C$5:$C$13*'2. The tape'!$D$5:$D$13*(1-'2. The tape'!$J$5:$J$13)^($A47/4)*(1+$AN$5)^($A47/4)*((1-'3. Assumptions'!$B$13)/($AN$6)-'2. The tape'!$H$5:$H$13/12-'3. Assumptions'!$B$16)-'2. The tape'!$C$5:$C$13*'2. The tape'!$I$5:$I$13*(1+$AN$5)^($A47/4)))</f>
        <v>132523828.778299</v>
      </c>
      <c r="AP47" s="33" t="n">
        <f aca="false">'2. The tape'!$C$17*(1+MIN(MAX($AP$5,'3. Assumptions'!$B$11),'3. Assumptions'!$B$10))^INT(($A47-1)/4)/4*(1-'3. Assumptions'!$B$13)</f>
        <v>3491412.13870147</v>
      </c>
      <c r="AQ47" s="33" t="n">
        <f aca="false">(1-'3. Assumptions'!$B$15)*SUMPRODUCT((('2. The tape'!$C$5:$C$13*'2. The tape'!$D$5:$D$13*(1-'2. The tape'!$J$5:$J$13)^($A47/4)*(1+$AP$5)^($A47/4)*((1-'3. Assumptions'!$B$13)/($AP$6)-'2. The tape'!$H$5:$H$13/12-'3. Assumptions'!$B$16)-'2. The tape'!$C$5:$C$13*'2. The tape'!$I$5:$I$13*(1+$AP$5)^($A47/4))&gt;0)*('2. The tape'!$C$5:$C$13*'2. The tape'!$D$5:$D$13*(1-'2. The tape'!$J$5:$J$13)^($A47/4)*(1+$AP$5)^($A47/4)*((1-'3. Assumptions'!$B$13)/($AP$6)-'2. The tape'!$H$5:$H$13/12-'3. Assumptions'!$B$16)-'2. The tape'!$C$5:$C$13*'2. The tape'!$I$5:$I$13*(1+$AP$5)^($A47/4)))</f>
        <v>132137934.031034</v>
      </c>
      <c r="AR47" s="33" t="n">
        <f aca="false">'2. The tape'!$C$17*(1+MIN(MAX($AR$5,'3. Assumptions'!$B$11),'3. Assumptions'!$B$10))^INT(($A47-1)/4)/4*(1-'3. Assumptions'!$B$13)</f>
        <v>3491412.13870147</v>
      </c>
      <c r="AS47" s="33" t="n">
        <f aca="false">(1-'3. Assumptions'!$B$15)*SUMPRODUCT((('2. The tape'!$C$5:$C$13*'2. The tape'!$D$5:$D$13*(1-'2. The tape'!$J$5:$J$13)^($A47/4)*(1+$AR$5)^($A47/4)*((1-'3. Assumptions'!$B$13)/($AR$6)-'2. The tape'!$H$5:$H$13/12-'3. Assumptions'!$B$16)-'2. The tape'!$C$5:$C$13*'2. The tape'!$I$5:$I$13*(1+$AR$5)^($A47/4))&gt;0)*('2. The tape'!$C$5:$C$13*'2. The tape'!$D$5:$D$13*(1-'2. The tape'!$J$5:$J$13)^($A47/4)*(1+$AR$5)^($A47/4)*((1-'3. Assumptions'!$B$13)/($AR$6)-'2. The tape'!$H$5:$H$13/12-'3. Assumptions'!$B$16)-'2. The tape'!$C$5:$C$13*'2. The tape'!$I$5:$I$13*(1+$AR$5)^($A47/4)))</f>
        <v>132144408.792157</v>
      </c>
      <c r="AT47" s="33" t="n">
        <f aca="false">'2. The tape'!$C$17*(1+MIN(MAX($AT$5,'3. Assumptions'!$B$11),'3. Assumptions'!$B$10))^INT(($A47-1)/4)/4*(1-'3. Assumptions'!$B$13)</f>
        <v>3491412.13870147</v>
      </c>
      <c r="AU47" s="33" t="n">
        <f aca="false">(1-'3. Assumptions'!$B$15)*SUMPRODUCT((('2. The tape'!$C$5:$C$13*'2. The tape'!$D$5:$D$13*(1-'2. The tape'!$J$5:$J$13)^($A47/4)*(1+$AT$5)^($A47/4)*((1-'3. Assumptions'!$B$13)/($AT$6)-'2. The tape'!$H$5:$H$13/12-'3. Assumptions'!$B$16)-'2. The tape'!$C$5:$C$13*'2. The tape'!$I$5:$I$13*(1+$AT$5)^($A47/4))&gt;0)*('2. The tape'!$C$5:$C$13*'2. The tape'!$D$5:$D$13*(1-'2. The tape'!$J$5:$J$13)^($A47/4)*(1+$AT$5)^($A47/4)*((1-'3. Assumptions'!$B$13)/($AT$6)-'2. The tape'!$H$5:$H$13/12-'3. Assumptions'!$B$16)-'2. The tape'!$C$5:$C$13*'2. The tape'!$I$5:$I$13*(1+$AT$5)^($A47/4)))</f>
        <v>132144423.870247</v>
      </c>
      <c r="AV47" s="33" t="n">
        <f aca="false">'2. The tape'!$C$17*(1+MIN(MAX($AV$5,'3. Assumptions'!$B$11),'3. Assumptions'!$B$10))^INT(($A47-1)/4)/4*(1-'3. Assumptions'!$B$13)</f>
        <v>3491412.13870147</v>
      </c>
      <c r="AW47" s="33" t="n">
        <f aca="false">(1-'3. Assumptions'!$B$15)*SUMPRODUCT((('2. The tape'!$C$5:$C$13*'2. The tape'!$D$5:$D$13*(1-'2. The tape'!$J$5:$J$13)^($A47/4)*(1+$AV$5)^($A47/4)*((1-'3. Assumptions'!$B$13)/($AV$6)-'2. The tape'!$H$5:$H$13/12-'3. Assumptions'!$B$16)-'2. The tape'!$C$5:$C$13*'2. The tape'!$I$5:$I$13*(1+$AV$5)^($A47/4))&gt;0)*('2. The tape'!$C$5:$C$13*'2. The tape'!$D$5:$D$13*(1-'2. The tape'!$J$5:$J$13)^($A47/4)*(1+$AV$5)^($A47/4)*((1-'3. Assumptions'!$B$13)/($AV$6)-'2. The tape'!$H$5:$H$13/12-'3. Assumptions'!$B$16)-'2. The tape'!$C$5:$C$13*'2. The tape'!$I$5:$I$13*(1+$AV$5)^($A47/4)))</f>
        <v>132144423.869646</v>
      </c>
      <c r="AX47" s="33" t="n">
        <f aca="false">'2. The tape'!$C$17*(1+MIN(MAX($AX$5,'3. Assumptions'!$B$11),'3. Assumptions'!$B$10))^INT(($A47-1)/4)/4*(1-'3. Assumptions'!$B$13)</f>
        <v>3491412.13870147</v>
      </c>
      <c r="AY47" s="33" t="n">
        <f aca="false">(1-'3. Assumptions'!$B$15)*SUMPRODUCT((('2. The tape'!$C$5:$C$13*'2. The tape'!$D$5:$D$13*(1-'2. The tape'!$J$5:$J$13)^($A47/4)*(1+$AX$5)^($A47/4)*((1-'3. Assumptions'!$B$13)/($AX$6)-'2. The tape'!$H$5:$H$13/12-'3. Assumptions'!$B$16)-'2. The tape'!$C$5:$C$13*'2. The tape'!$I$5:$I$13*(1+$AX$5)^($A47/4))&gt;0)*('2. The tape'!$C$5:$C$13*'2. The tape'!$D$5:$D$13*(1-'2. The tape'!$J$5:$J$13)^($A47/4)*(1+$AX$5)^($A47/4)*((1-'3. Assumptions'!$B$13)/($AX$6)-'2. The tape'!$H$5:$H$13/12-'3. Assumptions'!$B$16)-'2. The tape'!$C$5:$C$13*'2. The tape'!$I$5:$I$13*(1+$AX$5)^($A47/4)))</f>
        <v>132144423.869646</v>
      </c>
      <c r="AZ47" s="33" t="n">
        <f aca="false">'2. The tape'!$C$17*(1+MIN(MAX($AZ$5,'3. Assumptions'!$B$11),'3. Assumptions'!$B$10))^INT(($A47-1)/4)/4*(1-'3. Assumptions'!$B$13)</f>
        <v>3491412.13870147</v>
      </c>
      <c r="BA47" s="33" t="n">
        <f aca="false">(1-'3. Assumptions'!$B$15)*SUMPRODUCT((('2. The tape'!$C$5:$C$13*'2. The tape'!$D$5:$D$13*(1-'2. The tape'!$J$5:$J$13)^($A47/4)*(1+$AZ$5)^($A47/4)*((1-'3. Assumptions'!$B$13)/($AZ$6)-'2. The tape'!$H$5:$H$13/12-'3. Assumptions'!$B$16)-'2. The tape'!$C$5:$C$13*'2. The tape'!$I$5:$I$13*(1+$AZ$5)^($A47/4))&gt;0)*('2. The tape'!$C$5:$C$13*'2. The tape'!$D$5:$D$13*(1-'2. The tape'!$J$5:$J$13)^($A47/4)*(1+$AZ$5)^($A47/4)*((1-'3. Assumptions'!$B$13)/($AZ$6)-'2. The tape'!$H$5:$H$13/12-'3. Assumptions'!$B$16)-'2. The tape'!$C$5:$C$13*'2. The tape'!$I$5:$I$13*(1+$AZ$5)^($A47/4)))</f>
        <v>132144423.869646</v>
      </c>
    </row>
    <row r="48" customFormat="false" ht="15" hidden="false" customHeight="false" outlineLevel="0" collapsed="false">
      <c r="A48" s="20" t="n">
        <v>33</v>
      </c>
      <c r="B48" s="33" t="n">
        <f aca="false">'2. The tape'!$C$17*(1+MIN(MAX($B$5,'3. Assumptions'!$B$11),'3. Assumptions'!$B$10))^INT(($A48-1)/4)/4*(1-'3. Assumptions'!$B$13)</f>
        <v>3568223.2057529</v>
      </c>
      <c r="C48" s="33" t="n">
        <f aca="false">(1-'3. Assumptions'!$B$15)*SUMPRODUCT((('2. The tape'!$C$5:$C$13*'2. The tape'!$D$5:$D$13*(1-'2. The tape'!$J$5:$J$13)^($A48/4)*(1+$B$5)^($A48/4)*((1-'3. Assumptions'!$B$13)/($B$6)-'2. The tape'!$H$5:$H$13/12-'3. Assumptions'!$B$16)-'2. The tape'!$C$5:$C$13*'2. The tape'!$I$5:$I$13*(1+$B$5)^($A48/4))&gt;0)*('2. The tape'!$C$5:$C$13*'2. The tape'!$D$5:$D$13*(1-'2. The tape'!$J$5:$J$13)^($A48/4)*(1+$B$5)^($A48/4)*((1-'3. Assumptions'!$B$13)/($B$6)-'2. The tape'!$H$5:$H$13/12-'3. Assumptions'!$B$16)-'2. The tape'!$C$5:$C$13*'2. The tape'!$I$5:$I$13*(1+$B$5)^($A48/4)))</f>
        <v>78842672.1412133</v>
      </c>
      <c r="D48" s="33" t="n">
        <f aca="false">'2. The tape'!$C$17*(1+MIN(MAX($D$5,'3. Assumptions'!$B$11),'3. Assumptions'!$B$10))^INT(($A48-1)/4)/4*(1-'3. Assumptions'!$B$13)</f>
        <v>3797892.29677</v>
      </c>
      <c r="E48" s="33" t="n">
        <f aca="false">(1-'3. Assumptions'!$B$15)*SUMPRODUCT((('2. The tape'!$C$5:$C$13*'2. The tape'!$D$5:$D$13*(1-'2. The tape'!$J$5:$J$13)^($A48/4)*(1+$D$5)^($A48/4)*((1-'3. Assumptions'!$B$13)/($D$6)-'2. The tape'!$H$5:$H$13/12-'3. Assumptions'!$B$16)-'2. The tape'!$C$5:$C$13*'2. The tape'!$I$5:$I$13*(1+$D$5)^($A48/4))&gt;0)*('2. The tape'!$C$5:$C$13*'2. The tape'!$D$5:$D$13*(1-'2. The tape'!$J$5:$J$13)^($A48/4)*(1+$D$5)^($A48/4)*((1-'3. Assumptions'!$B$13)/($D$6)-'2. The tape'!$H$5:$H$13/12-'3. Assumptions'!$B$16)-'2. The tape'!$C$5:$C$13*'2. The tape'!$I$5:$I$13*(1+$D$5)^($A48/4)))</f>
        <v>87508316.8138208</v>
      </c>
      <c r="F48" s="33" t="n">
        <f aca="false">'2. The tape'!$C$17*(1+MIN(MAX($F$5,'3. Assumptions'!$B$11),'3. Assumptions'!$B$10))^INT(($A48-1)/4)/4*(1-'3. Assumptions'!$B$13)</f>
        <v>3246503.21414737</v>
      </c>
      <c r="G48" s="33" t="n">
        <f aca="false">(1-'3. Assumptions'!$B$15)*SUMPRODUCT((('2. The tape'!$C$5:$C$13*'2. The tape'!$D$5:$D$13*(1-'2. The tape'!$J$5:$J$13)^($A48/4)*(1+$F$5)^($A48/4)*((1-'3. Assumptions'!$B$13)/($F$6)-'2. The tape'!$H$5:$H$13/12-'3. Assumptions'!$B$16)-'2. The tape'!$C$5:$C$13*'2. The tape'!$I$5:$I$13*(1+$F$5)^($A48/4))&gt;0)*('2. The tape'!$C$5:$C$13*'2. The tape'!$D$5:$D$13*(1-'2. The tape'!$J$5:$J$13)^($A48/4)*(1+$F$5)^($A48/4)*((1-'3. Assumptions'!$B$13)/($F$6)-'2. The tape'!$H$5:$H$13/12-'3. Assumptions'!$B$16)-'2. The tape'!$C$5:$C$13*'2. The tape'!$I$5:$I$13*(1+$F$5)^($A48/4)))</f>
        <v>71522515.145357</v>
      </c>
      <c r="H48" s="33" t="n">
        <f aca="false">'2. The tape'!$C$17*(1+MIN(MAX($H$5,'3. Assumptions'!$B$11),'3. Assumptions'!$B$10))^INT(($A48-1)/4)/4*(1-'3. Assumptions'!$B$13)</f>
        <v>3797892.29677</v>
      </c>
      <c r="I48" s="33" t="n">
        <f aca="false">(1-'3. Assumptions'!$B$15)*SUMPRODUCT((('2. The tape'!$C$5:$C$13*'2. The tape'!$D$5:$D$13*(1-'2. The tape'!$J$5:$J$13)^($A48/4)*(1+$H$5)^($A48/4)*((1-'3. Assumptions'!$B$13)/($H$6)-'2. The tape'!$H$5:$H$13/12-'3. Assumptions'!$B$16)-'2. The tape'!$C$5:$C$13*'2. The tape'!$I$5:$I$13*(1+$H$5)^($A48/4))&gt;0)*('2. The tape'!$C$5:$C$13*'2. The tape'!$D$5:$D$13*(1-'2. The tape'!$J$5:$J$13)^($A48/4)*(1+$H$5)^($A48/4)*((1-'3. Assumptions'!$B$13)/($H$6)-'2. The tape'!$H$5:$H$13/12-'3. Assumptions'!$B$16)-'2. The tape'!$C$5:$C$13*'2. The tape'!$I$5:$I$13*(1+$H$5)^($A48/4)))</f>
        <v>87508316.8138208</v>
      </c>
      <c r="J48" s="33" t="n">
        <f aca="false">'2. The tape'!$C$17*(1+MIN(MAX($J$5,'3. Assumptions'!$B$11),'3. Assumptions'!$B$10))^INT(($A48-1)/4)/4*(1-'3. Assumptions'!$B$13)</f>
        <v>3568223.2057529</v>
      </c>
      <c r="K48" s="33" t="n">
        <f aca="false">(1-'3. Assumptions'!$B$15)*SUMPRODUCT((('2. The tape'!$C$5:$C$13*'2. The tape'!$D$5:$D$13*(1-'2. The tape'!$J$5:$J$13)^($A48/4)*(1+$J$5)^($A48/4)*((1-'3. Assumptions'!$B$13)/($J$6)-'2. The tape'!$H$5:$H$13/12-'3. Assumptions'!$B$16)-'2. The tape'!$C$5:$C$13*'2. The tape'!$I$5:$I$13*(1+$J$5)^($A48/4))&gt;0)*('2. The tape'!$C$5:$C$13*'2. The tape'!$D$5:$D$13*(1-'2. The tape'!$J$5:$J$13)^($A48/4)*(1+$J$5)^($A48/4)*((1-'3. Assumptions'!$B$13)/($J$6)-'2. The tape'!$H$5:$H$13/12-'3. Assumptions'!$B$16)-'2. The tape'!$C$5:$C$13*'2. The tape'!$I$5:$I$13*(1+$J$5)^($A48/4)))</f>
        <v>64775977.4192575</v>
      </c>
      <c r="L48" s="33" t="n">
        <f aca="false">'2. The tape'!$C$17*(1+MIN(MAX($L$5,'3. Assumptions'!$B$11),'3. Assumptions'!$B$10))^INT(($A48-1)/4)/4*(1-'3. Assumptions'!$B$13)</f>
        <v>3797892.29677</v>
      </c>
      <c r="M48" s="33" t="n">
        <f aca="false">(1-'3. Assumptions'!$B$15)*SUMPRODUCT((('2. The tape'!$C$5:$C$13*'2. The tape'!$D$5:$D$13*(1-'2. The tape'!$J$5:$J$13)^($A48/4)*(1+$L$5)^($A48/4)*((1-'3. Assumptions'!$B$13)/($L$6)-'2. The tape'!$H$5:$H$13/12-'3. Assumptions'!$B$16)-'2. The tape'!$C$5:$C$13*'2. The tape'!$I$5:$I$13*(1+$L$5)^($A48/4))&gt;0)*('2. The tape'!$C$5:$C$13*'2. The tape'!$D$5:$D$13*(1-'2. The tape'!$J$5:$J$13)^($A48/4)*(1+$L$5)^($A48/4)*((1-'3. Assumptions'!$B$13)/($L$6)-'2. The tape'!$H$5:$H$13/12-'3. Assumptions'!$B$16)-'2. The tape'!$C$5:$C$13*'2. The tape'!$I$5:$I$13*(1+$L$5)^($A48/4)))</f>
        <v>573883979.502076</v>
      </c>
      <c r="N48" s="33" t="n">
        <f aca="false">'2. The tape'!$C$17*(1+MIN(MAX($N$5,'3. Assumptions'!$B$11),'3. Assumptions'!$B$10))^INT(($A48-1)/4)/4*(1-'3. Assumptions'!$B$13)</f>
        <v>2998091.25</v>
      </c>
      <c r="O48" s="33" t="n">
        <f aca="false">(1-'3. Assumptions'!$B$15)*SUMPRODUCT((('2. The tape'!$C$5:$C$13*'2. The tape'!$D$5:$D$13*(1-'2. The tape'!$J$5:$J$13)^($A48/4)*(1+$N$5)^($A48/4)*((1-'3. Assumptions'!$B$13)/($N$6)-'2. The tape'!$H$5:$H$13/12-'3. Assumptions'!$B$16)-'2. The tape'!$C$5:$C$13*'2. The tape'!$I$5:$I$13*(1+$N$5)^($A48/4))&gt;0)*('2. The tape'!$C$5:$C$13*'2. The tape'!$D$5:$D$13*(1-'2. The tape'!$J$5:$J$13)^($A48/4)*(1+$N$5)^($A48/4)*((1-'3. Assumptions'!$B$13)/($N$6)-'2. The tape'!$H$5:$H$13/12-'3. Assumptions'!$B$16)-'2. The tape'!$C$5:$C$13*'2. The tape'!$I$5:$I$13*(1+$N$5)^($A48/4)))</f>
        <v>51245797.0554072</v>
      </c>
      <c r="P48" s="33" t="n">
        <f aca="false">'2. The tape'!$C$17*(1+MIN(MAX($P$5,'3. Assumptions'!$B$11),'3. Assumptions'!$B$10))^INT(($A48-1)/4)/4*(1-'3. Assumptions'!$B$13)</f>
        <v>2998091.25</v>
      </c>
      <c r="Q48" s="33" t="n">
        <f aca="false">(1-'3. Assumptions'!$B$15)*SUMPRODUCT((('2. The tape'!$C$5:$C$13*'2. The tape'!$D$5:$D$13*(1-'2. The tape'!$J$5:$J$13)^($A48/4)*(1+$P$5)^($A48/4)*((1-'3. Assumptions'!$B$13)/($P$6)-'2. The tape'!$H$5:$H$13/12-'3. Assumptions'!$B$16)-'2. The tape'!$C$5:$C$13*'2. The tape'!$I$5:$I$13*(1+$P$5)^($A48/4))&gt;0)*('2. The tape'!$C$5:$C$13*'2. The tape'!$D$5:$D$13*(1-'2. The tape'!$J$5:$J$13)^($A48/4)*(1+$P$5)^($A48/4)*((1-'3. Assumptions'!$B$13)/($P$6)-'2. The tape'!$H$5:$H$13/12-'3. Assumptions'!$B$16)-'2. The tape'!$C$5:$C$13*'2. The tape'!$I$5:$I$13*(1+$P$5)^($A48/4)))</f>
        <v>55770760.8172145</v>
      </c>
      <c r="R48" s="33" t="n">
        <f aca="false">'2. The tape'!$C$17*(1+MIN(MAX($R$5,'3. Assumptions'!$B$11),'3. Assumptions'!$B$10))^INT(($A48-1)/4)/4*(1-'3. Assumptions'!$B$13)</f>
        <v>2998091.25</v>
      </c>
      <c r="S48" s="33" t="n">
        <f aca="false">(1-'3. Assumptions'!$B$15)*SUMPRODUCT((('2. The tape'!$C$5:$C$13*'2. The tape'!$D$5:$D$13*(1-'2. The tape'!$J$5:$J$13)^($A48/4)*(1+$R$5)^($A48/4)*((1-'3. Assumptions'!$B$13)/($R$6)-'2. The tape'!$H$5:$H$13/12-'3. Assumptions'!$B$16)-'2. The tape'!$C$5:$C$13*'2. The tape'!$I$5:$I$13*(1+$R$5)^($A48/4))&gt;0)*('2. The tape'!$C$5:$C$13*'2. The tape'!$D$5:$D$13*(1-'2. The tape'!$J$5:$J$13)^($A48/4)*(1+$R$5)^($A48/4)*((1-'3. Assumptions'!$B$13)/($R$6)-'2. The tape'!$H$5:$H$13/12-'3. Assumptions'!$B$16)-'2. The tape'!$C$5:$C$13*'2. The tape'!$I$5:$I$13*(1+$R$5)^($A48/4)))</f>
        <v>52991475.4555098</v>
      </c>
      <c r="T48" s="33" t="n">
        <f aca="false">'2. The tape'!$C$17*(1+MIN(MAX($T$5,'3. Assumptions'!$B$11),'3. Assumptions'!$B$10))^INT(($A48-1)/4)/4*(1-'3. Assumptions'!$B$13)</f>
        <v>2998091.25</v>
      </c>
      <c r="U48" s="33" t="n">
        <f aca="false">(1-'3. Assumptions'!$B$15)*SUMPRODUCT((('2. The tape'!$C$5:$C$13*'2. The tape'!$D$5:$D$13*(1-'2. The tape'!$J$5:$J$13)^($A48/4)*(1+$T$5)^($A48/4)*((1-'3. Assumptions'!$B$13)/($T$6)-'2. The tape'!$H$5:$H$13/12-'3. Assumptions'!$B$16)-'2. The tape'!$C$5:$C$13*'2. The tape'!$I$5:$I$13*(1+$T$5)^($A48/4))&gt;0)*('2. The tape'!$C$5:$C$13*'2. The tape'!$D$5:$D$13*(1-'2. The tape'!$J$5:$J$13)^($A48/4)*(1+$T$5)^($A48/4)*((1-'3. Assumptions'!$B$13)/($T$6)-'2. The tape'!$H$5:$H$13/12-'3. Assumptions'!$B$16)-'2. The tape'!$C$5:$C$13*'2. The tape'!$I$5:$I$13*(1+$T$5)^($A48/4)))</f>
        <v>52917817.4460329</v>
      </c>
      <c r="V48" s="33" t="n">
        <f aca="false">'2. The tape'!$C$17*(1+MIN(MAX($V$5,'3. Assumptions'!$B$11),'3. Assumptions'!$B$10))^INT(($A48-1)/4)/4*(1-'3. Assumptions'!$B$13)</f>
        <v>2998091.25</v>
      </c>
      <c r="W48" s="33" t="n">
        <f aca="false">(1-'3. Assumptions'!$B$15)*SUMPRODUCT((('2. The tape'!$C$5:$C$13*'2. The tape'!$D$5:$D$13*(1-'2. The tape'!$J$5:$J$13)^($A48/4)*(1+$V$5)^($A48/4)*((1-'3. Assumptions'!$B$13)/($V$6)-'2. The tape'!$H$5:$H$13/12-'3. Assumptions'!$B$16)-'2. The tape'!$C$5:$C$13*'2. The tape'!$I$5:$I$13*(1+$V$5)^($A48/4))&gt;0)*('2. The tape'!$C$5:$C$13*'2. The tape'!$D$5:$D$13*(1-'2. The tape'!$J$5:$J$13)^($A48/4)*(1+$V$5)^($A48/4)*((1-'3. Assumptions'!$B$13)/($V$6)-'2. The tape'!$H$5:$H$13/12-'3. Assumptions'!$B$16)-'2. The tape'!$C$5:$C$13*'2. The tape'!$I$5:$I$13*(1+$V$5)^($A48/4)))</f>
        <v>52920775.2182516</v>
      </c>
      <c r="X48" s="33" t="n">
        <f aca="false">'2. The tape'!$C$17*(1+MIN(MAX($X$5,'3. Assumptions'!$B$11),'3. Assumptions'!$B$10))^INT(($A48-1)/4)/4*(1-'3. Assumptions'!$B$13)</f>
        <v>2998091.25</v>
      </c>
      <c r="Y48" s="33" t="n">
        <f aca="false">(1-'3. Assumptions'!$B$15)*SUMPRODUCT((('2. The tape'!$C$5:$C$13*'2. The tape'!$D$5:$D$13*(1-'2. The tape'!$J$5:$J$13)^($A48/4)*(1+$X$5)^($A48/4)*((1-'3. Assumptions'!$B$13)/($X$6)-'2. The tape'!$H$5:$H$13/12-'3. Assumptions'!$B$16)-'2. The tape'!$C$5:$C$13*'2. The tape'!$I$5:$I$13*(1+$X$5)^($A48/4))&gt;0)*('2. The tape'!$C$5:$C$13*'2. The tape'!$D$5:$D$13*(1-'2. The tape'!$J$5:$J$13)^($A48/4)*(1+$X$5)^($A48/4)*((1-'3. Assumptions'!$B$13)/($X$6)-'2. The tape'!$H$5:$H$13/12-'3. Assumptions'!$B$16)-'2. The tape'!$C$5:$C$13*'2. The tape'!$I$5:$I$13*(1+$X$5)^($A48/4)))</f>
        <v>52920772.1078939</v>
      </c>
      <c r="Z48" s="33" t="n">
        <f aca="false">'2. The tape'!$C$17*(1+MIN(MAX($Z$5,'3. Assumptions'!$B$11),'3. Assumptions'!$B$10))^INT(($A48-1)/4)/4*(1-'3. Assumptions'!$B$13)</f>
        <v>2998091.25</v>
      </c>
      <c r="AA48" s="33" t="n">
        <f aca="false">(1-'3. Assumptions'!$B$15)*SUMPRODUCT((('2. The tape'!$C$5:$C$13*'2. The tape'!$D$5:$D$13*(1-'2. The tape'!$J$5:$J$13)^($A48/4)*(1+$Z$5)^($A48/4)*((1-'3. Assumptions'!$B$13)/($Z$6)-'2. The tape'!$H$5:$H$13/12-'3. Assumptions'!$B$16)-'2. The tape'!$C$5:$C$13*'2. The tape'!$I$5:$I$13*(1+$Z$5)^($A48/4))&gt;0)*('2. The tape'!$C$5:$C$13*'2. The tape'!$D$5:$D$13*(1-'2. The tape'!$J$5:$J$13)^($A48/4)*(1+$Z$5)^($A48/4)*((1-'3. Assumptions'!$B$13)/($Z$6)-'2. The tape'!$H$5:$H$13/12-'3. Assumptions'!$B$16)-'2. The tape'!$C$5:$C$13*'2. The tape'!$I$5:$I$13*(1+$Z$5)^($A48/4)))</f>
        <v>52920772.107757</v>
      </c>
      <c r="AB48" s="33" t="n">
        <f aca="false">'2. The tape'!$C$17*(1+MIN(MAX($AB$5,'3. Assumptions'!$B$11),'3. Assumptions'!$B$10))^INT(($A48-1)/4)/4*(1-'3. Assumptions'!$B$13)</f>
        <v>2998091.25</v>
      </c>
      <c r="AC48" s="33" t="n">
        <f aca="false">(1-'3. Assumptions'!$B$15)*SUMPRODUCT((('2. The tape'!$C$5:$C$13*'2. The tape'!$D$5:$D$13*(1-'2. The tape'!$J$5:$J$13)^($A48/4)*(1+$AB$5)^($A48/4)*((1-'3. Assumptions'!$B$13)/($AB$6)-'2. The tape'!$H$5:$H$13/12-'3. Assumptions'!$B$16)-'2. The tape'!$C$5:$C$13*'2. The tape'!$I$5:$I$13*(1+$AB$5)^($A48/4))&gt;0)*('2. The tape'!$C$5:$C$13*'2. The tape'!$D$5:$D$13*(1-'2. The tape'!$J$5:$J$13)^($A48/4)*(1+$AB$5)^($A48/4)*((1-'3. Assumptions'!$B$13)/($AB$6)-'2. The tape'!$H$5:$H$13/12-'3. Assumptions'!$B$16)-'2. The tape'!$C$5:$C$13*'2. The tape'!$I$5:$I$13*(1+$AB$5)^($A48/4)))</f>
        <v>52920772.107757</v>
      </c>
      <c r="AD48" s="33" t="n">
        <f aca="false">'2. The tape'!$C$17*(1+MIN(MAX($AD$5,'3. Assumptions'!$B$11),'3. Assumptions'!$B$10))^INT(($A48-1)/4)/4*(1-'3. Assumptions'!$B$13)</f>
        <v>2998091.25</v>
      </c>
      <c r="AE48" s="33" t="n">
        <f aca="false">(1-'3. Assumptions'!$B$15)*SUMPRODUCT((('2. The tape'!$C$5:$C$13*'2. The tape'!$D$5:$D$13*(1-'2. The tape'!$J$5:$J$13)^($A48/4)*(1+$AD$5)^($A48/4)*((1-'3. Assumptions'!$B$13)/($AD$6)-'2. The tape'!$H$5:$H$13/12-'3. Assumptions'!$B$16)-'2. The tape'!$C$5:$C$13*'2. The tape'!$I$5:$I$13*(1+$AD$5)^($A48/4))&gt;0)*('2. The tape'!$C$5:$C$13*'2. The tape'!$D$5:$D$13*(1-'2. The tape'!$J$5:$J$13)^($A48/4)*(1+$AD$5)^($A48/4)*((1-'3. Assumptions'!$B$13)/($AD$6)-'2. The tape'!$H$5:$H$13/12-'3. Assumptions'!$B$16)-'2. The tape'!$C$5:$C$13*'2. The tape'!$I$5:$I$13*(1+$AD$5)^($A48/4)))</f>
        <v>52920772.107757</v>
      </c>
      <c r="AF48" s="33" t="n">
        <f aca="false">'2. The tape'!$C$17*(1+MIN(MAX($AF$5,'3. Assumptions'!$B$11),'3. Assumptions'!$B$10))^INT(($A48-1)/4)/4*(1-'3. Assumptions'!$B$13)</f>
        <v>2998091.25</v>
      </c>
      <c r="AG48" s="33" t="n">
        <f aca="false">(1-'3. Assumptions'!$B$15)*SUMPRODUCT((('2. The tape'!$C$5:$C$13*'2. The tape'!$D$5:$D$13*(1-'2. The tape'!$J$5:$J$13)^($A48/4)*(1+$AF$5)^($A48/4)*((1-'3. Assumptions'!$B$13)/($AF$6)-'2. The tape'!$H$5:$H$13/12-'3. Assumptions'!$B$16)-'2. The tape'!$C$5:$C$13*'2. The tape'!$I$5:$I$13*(1+$AF$5)^($A48/4))&gt;0)*('2. The tape'!$C$5:$C$13*'2. The tape'!$D$5:$D$13*(1-'2. The tape'!$J$5:$J$13)^($A48/4)*(1+$AF$5)^($A48/4)*((1-'3. Assumptions'!$B$13)/($AF$6)-'2. The tape'!$H$5:$H$13/12-'3. Assumptions'!$B$16)-'2. The tape'!$C$5:$C$13*'2. The tape'!$I$5:$I$13*(1+$AF$5)^($A48/4)))</f>
        <v>52920772.107757</v>
      </c>
      <c r="AH48" s="33" t="n">
        <f aca="false">'2. The tape'!$C$17*(1+MIN(MAX($AH$5,'3. Assumptions'!$B$11),'3. Assumptions'!$B$10))^INT(($A48-1)/4)/4*(1-'3. Assumptions'!$B$13)</f>
        <v>3568223.2057529</v>
      </c>
      <c r="AI48" s="33" t="n">
        <f aca="false">(1-'3. Assumptions'!$B$15)*SUMPRODUCT((('2. The tape'!$C$5:$C$13*'2. The tape'!$D$5:$D$13*(1-'2. The tape'!$J$5:$J$13)^($A48/4)*(1+$AH$5)^($A48/4)*((1-'3. Assumptions'!$B$13)/($AH$6)-'2. The tape'!$H$5:$H$13/12-'3. Assumptions'!$B$16)-'2. The tape'!$C$5:$C$13*'2. The tape'!$I$5:$I$13*(1+$AH$5)^($A48/4))&gt;0)*('2. The tape'!$C$5:$C$13*'2. The tape'!$D$5:$D$13*(1-'2. The tape'!$J$5:$J$13)^($A48/4)*(1+$AH$5)^($A48/4)*((1-'3. Assumptions'!$B$13)/($AH$6)-'2. The tape'!$H$5:$H$13/12-'3. Assumptions'!$B$16)-'2. The tape'!$C$5:$C$13*'2. The tape'!$I$5:$I$13*(1+$AH$5)^($A48/4)))</f>
        <v>155646825.323092</v>
      </c>
      <c r="AJ48" s="33" t="n">
        <f aca="false">'2. The tape'!$C$17*(1+MIN(MAX($AJ$5,'3. Assumptions'!$B$11),'3. Assumptions'!$B$10))^INT(($A48-1)/4)/4*(1-'3. Assumptions'!$B$13)</f>
        <v>3568223.2057529</v>
      </c>
      <c r="AK48" s="33" t="n">
        <f aca="false">(1-'3. Assumptions'!$B$15)*SUMPRODUCT((('2. The tape'!$C$5:$C$13*'2. The tape'!$D$5:$D$13*(1-'2. The tape'!$J$5:$J$13)^($A48/4)*(1+$AJ$5)^($A48/4)*((1-'3. Assumptions'!$B$13)/($AJ$6)-'2. The tape'!$H$5:$H$13/12-'3. Assumptions'!$B$16)-'2. The tape'!$C$5:$C$13*'2. The tape'!$I$5:$I$13*(1+$AJ$5)^($A48/4))&gt;0)*('2. The tape'!$C$5:$C$13*'2. The tape'!$D$5:$D$13*(1-'2. The tape'!$J$5:$J$13)^($A48/4)*(1+$AJ$5)^($A48/4)*((1-'3. Assumptions'!$B$13)/($AJ$6)-'2. The tape'!$H$5:$H$13/12-'3. Assumptions'!$B$16)-'2. The tape'!$C$5:$C$13*'2. The tape'!$I$5:$I$13*(1+$AJ$5)^($A48/4)))</f>
        <v>112602739.473907</v>
      </c>
      <c r="AL48" s="33" t="n">
        <f aca="false">'2. The tape'!$C$17*(1+MIN(MAX($AL$5,'3. Assumptions'!$B$11),'3. Assumptions'!$B$10))^INT(($A48-1)/4)/4*(1-'3. Assumptions'!$B$13)</f>
        <v>3568223.2057529</v>
      </c>
      <c r="AM48" s="33" t="n">
        <f aca="false">(1-'3. Assumptions'!$B$15)*SUMPRODUCT((('2. The tape'!$C$5:$C$13*'2. The tape'!$D$5:$D$13*(1-'2. The tape'!$J$5:$J$13)^($A48/4)*(1+$AL$5)^($A48/4)*((1-'3. Assumptions'!$B$13)/($AL$6)-'2. The tape'!$H$5:$H$13/12-'3. Assumptions'!$B$16)-'2. The tape'!$C$5:$C$13*'2. The tape'!$I$5:$I$13*(1+$AL$5)^($A48/4))&gt;0)*('2. The tape'!$C$5:$C$13*'2. The tape'!$D$5:$D$13*(1-'2. The tape'!$J$5:$J$13)^($A48/4)*(1+$AL$5)^($A48/4)*((1-'3. Assumptions'!$B$13)/($AL$6)-'2. The tape'!$H$5:$H$13/12-'3. Assumptions'!$B$16)-'2. The tape'!$C$5:$C$13*'2. The tape'!$I$5:$I$13*(1+$AL$5)^($A48/4)))</f>
        <v>129297106.229631</v>
      </c>
      <c r="AN48" s="33" t="n">
        <f aca="false">'2. The tape'!$C$17*(1+MIN(MAX($AN$5,'3. Assumptions'!$B$11),'3. Assumptions'!$B$10))^INT(($A48-1)/4)/4*(1-'3. Assumptions'!$B$13)</f>
        <v>3568223.2057529</v>
      </c>
      <c r="AO48" s="33" t="n">
        <f aca="false">(1-'3. Assumptions'!$B$15)*SUMPRODUCT((('2. The tape'!$C$5:$C$13*'2. The tape'!$D$5:$D$13*(1-'2. The tape'!$J$5:$J$13)^($A48/4)*(1+$AN$5)^($A48/4)*((1-'3. Assumptions'!$B$13)/($AN$6)-'2. The tape'!$H$5:$H$13/12-'3. Assumptions'!$B$16)-'2. The tape'!$C$5:$C$13*'2. The tape'!$I$5:$I$13*(1+$AN$5)^($A48/4))&gt;0)*('2. The tape'!$C$5:$C$13*'2. The tape'!$D$5:$D$13*(1-'2. The tape'!$J$5:$J$13)^($A48/4)*(1+$AN$5)^($A48/4)*((1-'3. Assumptions'!$B$13)/($AN$6)-'2. The tape'!$H$5:$H$13/12-'3. Assumptions'!$B$16)-'2. The tape'!$C$5:$C$13*'2. The tape'!$I$5:$I$13*(1+$AN$5)^($A48/4)))</f>
        <v>132422804.356272</v>
      </c>
      <c r="AP48" s="33" t="n">
        <f aca="false">'2. The tape'!$C$17*(1+MIN(MAX($AP$5,'3. Assumptions'!$B$11),'3. Assumptions'!$B$10))^INT(($A48-1)/4)/4*(1-'3. Assumptions'!$B$13)</f>
        <v>3568223.2057529</v>
      </c>
      <c r="AQ48" s="33" t="n">
        <f aca="false">(1-'3. Assumptions'!$B$15)*SUMPRODUCT((('2. The tape'!$C$5:$C$13*'2. The tape'!$D$5:$D$13*(1-'2. The tape'!$J$5:$J$13)^($A48/4)*(1+$AP$5)^($A48/4)*((1-'3. Assumptions'!$B$13)/($AP$6)-'2. The tape'!$H$5:$H$13/12-'3. Assumptions'!$B$16)-'2. The tape'!$C$5:$C$13*'2. The tape'!$I$5:$I$13*(1+$AP$5)^($A48/4))&gt;0)*('2. The tape'!$C$5:$C$13*'2. The tape'!$D$5:$D$13*(1-'2. The tape'!$J$5:$J$13)^($A48/4)*(1+$AP$5)^($A48/4)*((1-'3. Assumptions'!$B$13)/($AP$6)-'2. The tape'!$H$5:$H$13/12-'3. Assumptions'!$B$16)-'2. The tape'!$C$5:$C$13*'2. The tape'!$I$5:$I$13*(1+$AP$5)^($A48/4)))</f>
        <v>132036943.336588</v>
      </c>
      <c r="AR48" s="33" t="n">
        <f aca="false">'2. The tape'!$C$17*(1+MIN(MAX($AR$5,'3. Assumptions'!$B$11),'3. Assumptions'!$B$10))^INT(($A48-1)/4)/4*(1-'3. Assumptions'!$B$13)</f>
        <v>3568223.2057529</v>
      </c>
      <c r="AS48" s="33" t="n">
        <f aca="false">(1-'3. Assumptions'!$B$15)*SUMPRODUCT((('2. The tape'!$C$5:$C$13*'2. The tape'!$D$5:$D$13*(1-'2. The tape'!$J$5:$J$13)^($A48/4)*(1+$AR$5)^($A48/4)*((1-'3. Assumptions'!$B$13)/($AR$6)-'2. The tape'!$H$5:$H$13/12-'3. Assumptions'!$B$16)-'2. The tape'!$C$5:$C$13*'2. The tape'!$I$5:$I$13*(1+$AR$5)^($A48/4))&gt;0)*('2. The tape'!$C$5:$C$13*'2. The tape'!$D$5:$D$13*(1-'2. The tape'!$J$5:$J$13)^($A48/4)*(1+$AR$5)^($A48/4)*((1-'3. Assumptions'!$B$13)/($AR$6)-'2. The tape'!$H$5:$H$13/12-'3. Assumptions'!$B$16)-'2. The tape'!$C$5:$C$13*'2. The tape'!$I$5:$I$13*(1+$AR$5)^($A48/4)))</f>
        <v>132043417.531811</v>
      </c>
      <c r="AT48" s="33" t="n">
        <f aca="false">'2. The tape'!$C$17*(1+MIN(MAX($AT$5,'3. Assumptions'!$B$11),'3. Assumptions'!$B$10))^INT(($A48-1)/4)/4*(1-'3. Assumptions'!$B$13)</f>
        <v>3568223.2057529</v>
      </c>
      <c r="AU48" s="33" t="n">
        <f aca="false">(1-'3. Assumptions'!$B$15)*SUMPRODUCT((('2. The tape'!$C$5:$C$13*'2. The tape'!$D$5:$D$13*(1-'2. The tape'!$J$5:$J$13)^($A48/4)*(1+$AT$5)^($A48/4)*((1-'3. Assumptions'!$B$13)/($AT$6)-'2. The tape'!$H$5:$H$13/12-'3. Assumptions'!$B$16)-'2. The tape'!$C$5:$C$13*'2. The tape'!$I$5:$I$13*(1+$AT$5)^($A48/4))&gt;0)*('2. The tape'!$C$5:$C$13*'2. The tape'!$D$5:$D$13*(1-'2. The tape'!$J$5:$J$13)^($A48/4)*(1+$AT$5)^($A48/4)*((1-'3. Assumptions'!$B$13)/($AT$6)-'2. The tape'!$H$5:$H$13/12-'3. Assumptions'!$B$16)-'2. The tape'!$C$5:$C$13*'2. The tape'!$I$5:$I$13*(1+$AT$5)^($A48/4)))</f>
        <v>132043432.608583</v>
      </c>
      <c r="AV48" s="33" t="n">
        <f aca="false">'2. The tape'!$C$17*(1+MIN(MAX($AV$5,'3. Assumptions'!$B$11),'3. Assumptions'!$B$10))^INT(($A48-1)/4)/4*(1-'3. Assumptions'!$B$13)</f>
        <v>3568223.2057529</v>
      </c>
      <c r="AW48" s="33" t="n">
        <f aca="false">(1-'3. Assumptions'!$B$15)*SUMPRODUCT((('2. The tape'!$C$5:$C$13*'2. The tape'!$D$5:$D$13*(1-'2. The tape'!$J$5:$J$13)^($A48/4)*(1+$AV$5)^($A48/4)*((1-'3. Assumptions'!$B$13)/($AV$6)-'2. The tape'!$H$5:$H$13/12-'3. Assumptions'!$B$16)-'2. The tape'!$C$5:$C$13*'2. The tape'!$I$5:$I$13*(1+$AV$5)^($A48/4))&gt;0)*('2. The tape'!$C$5:$C$13*'2. The tape'!$D$5:$D$13*(1-'2. The tape'!$J$5:$J$13)^($A48/4)*(1+$AV$5)^($A48/4)*((1-'3. Assumptions'!$B$13)/($AV$6)-'2. The tape'!$H$5:$H$13/12-'3. Assumptions'!$B$16)-'2. The tape'!$C$5:$C$13*'2. The tape'!$I$5:$I$13*(1+$AV$5)^($A48/4)))</f>
        <v>132043432.607983</v>
      </c>
      <c r="AX48" s="33" t="n">
        <f aca="false">'2. The tape'!$C$17*(1+MIN(MAX($AX$5,'3. Assumptions'!$B$11),'3. Assumptions'!$B$10))^INT(($A48-1)/4)/4*(1-'3. Assumptions'!$B$13)</f>
        <v>3568223.2057529</v>
      </c>
      <c r="AY48" s="33" t="n">
        <f aca="false">(1-'3. Assumptions'!$B$15)*SUMPRODUCT((('2. The tape'!$C$5:$C$13*'2. The tape'!$D$5:$D$13*(1-'2. The tape'!$J$5:$J$13)^($A48/4)*(1+$AX$5)^($A48/4)*((1-'3. Assumptions'!$B$13)/($AX$6)-'2. The tape'!$H$5:$H$13/12-'3. Assumptions'!$B$16)-'2. The tape'!$C$5:$C$13*'2. The tape'!$I$5:$I$13*(1+$AX$5)^($A48/4))&gt;0)*('2. The tape'!$C$5:$C$13*'2. The tape'!$D$5:$D$13*(1-'2. The tape'!$J$5:$J$13)^($A48/4)*(1+$AX$5)^($A48/4)*((1-'3. Assumptions'!$B$13)/($AX$6)-'2. The tape'!$H$5:$H$13/12-'3. Assumptions'!$B$16)-'2. The tape'!$C$5:$C$13*'2. The tape'!$I$5:$I$13*(1+$AX$5)^($A48/4)))</f>
        <v>132043432.607983</v>
      </c>
      <c r="AZ48" s="33" t="n">
        <f aca="false">'2. The tape'!$C$17*(1+MIN(MAX($AZ$5,'3. Assumptions'!$B$11),'3. Assumptions'!$B$10))^INT(($A48-1)/4)/4*(1-'3. Assumptions'!$B$13)</f>
        <v>3568223.2057529</v>
      </c>
      <c r="BA48" s="33" t="n">
        <f aca="false">(1-'3. Assumptions'!$B$15)*SUMPRODUCT((('2. The tape'!$C$5:$C$13*'2. The tape'!$D$5:$D$13*(1-'2. The tape'!$J$5:$J$13)^($A48/4)*(1+$AZ$5)^($A48/4)*((1-'3. Assumptions'!$B$13)/($AZ$6)-'2. The tape'!$H$5:$H$13/12-'3. Assumptions'!$B$16)-'2. The tape'!$C$5:$C$13*'2. The tape'!$I$5:$I$13*(1+$AZ$5)^($A48/4))&gt;0)*('2. The tape'!$C$5:$C$13*'2. The tape'!$D$5:$D$13*(1-'2. The tape'!$J$5:$J$13)^($A48/4)*(1+$AZ$5)^($A48/4)*((1-'3. Assumptions'!$B$13)/($AZ$6)-'2. The tape'!$H$5:$H$13/12-'3. Assumptions'!$B$16)-'2. The tape'!$C$5:$C$13*'2. The tape'!$I$5:$I$13*(1+$AZ$5)^($A48/4)))</f>
        <v>132043432.607983</v>
      </c>
    </row>
    <row r="49" customFormat="false" ht="15" hidden="false" customHeight="false" outlineLevel="0" collapsed="false">
      <c r="A49" s="20" t="n">
        <v>34</v>
      </c>
      <c r="B49" s="33" t="n">
        <f aca="false">'2. The tape'!$C$17*(1+MIN(MAX($B$5,'3. Assumptions'!$B$11),'3. Assumptions'!$B$10))^INT(($A49-1)/4)/4*(1-'3. Assumptions'!$B$13)</f>
        <v>3568223.2057529</v>
      </c>
      <c r="C49" s="33" t="n">
        <f aca="false">(1-'3. Assumptions'!$B$15)*SUMPRODUCT((('2. The tape'!$C$5:$C$13*'2. The tape'!$D$5:$D$13*(1-'2. The tape'!$J$5:$J$13)^($A49/4)*(1+$B$5)^($A49/4)*((1-'3. Assumptions'!$B$13)/($B$6)-'2. The tape'!$H$5:$H$13/12-'3. Assumptions'!$B$16)-'2. The tape'!$C$5:$C$13*'2. The tape'!$I$5:$I$13*(1+$B$5)^($A49/4))&gt;0)*('2. The tape'!$C$5:$C$13*'2. The tape'!$D$5:$D$13*(1-'2. The tape'!$J$5:$J$13)^($A49/4)*(1+$B$5)^($A49/4)*((1-'3. Assumptions'!$B$13)/($B$6)-'2. The tape'!$H$5:$H$13/12-'3. Assumptions'!$B$16)-'2. The tape'!$C$5:$C$13*'2. The tape'!$I$5:$I$13*(1+$B$5)^($A49/4)))</f>
        <v>78746076.3713608</v>
      </c>
      <c r="D49" s="33" t="n">
        <f aca="false">'2. The tape'!$C$17*(1+MIN(MAX($D$5,'3. Assumptions'!$B$11),'3. Assumptions'!$B$10))^INT(($A49-1)/4)/4*(1-'3. Assumptions'!$B$13)</f>
        <v>3797892.29677</v>
      </c>
      <c r="E49" s="33" t="n">
        <f aca="false">(1-'3. Assumptions'!$B$15)*SUMPRODUCT((('2. The tape'!$C$5:$C$13*'2. The tape'!$D$5:$D$13*(1-'2. The tape'!$J$5:$J$13)^($A49/4)*(1+$D$5)^($A49/4)*((1-'3. Assumptions'!$B$13)/($D$6)-'2. The tape'!$H$5:$H$13/12-'3. Assumptions'!$B$16)-'2. The tape'!$C$5:$C$13*'2. The tape'!$I$5:$I$13*(1+$D$5)^($A49/4))&gt;0)*('2. The tape'!$C$5:$C$13*'2. The tape'!$D$5:$D$13*(1-'2. The tape'!$J$5:$J$13)^($A49/4)*(1+$D$5)^($A49/4)*((1-'3. Assumptions'!$B$13)/($D$6)-'2. The tape'!$H$5:$H$13/12-'3. Assumptions'!$B$16)-'2. The tape'!$C$5:$C$13*'2. The tape'!$I$5:$I$13*(1+$D$5)^($A49/4)))</f>
        <v>87677727.0450151</v>
      </c>
      <c r="F49" s="33" t="n">
        <f aca="false">'2. The tape'!$C$17*(1+MIN(MAX($F$5,'3. Assumptions'!$B$11),'3. Assumptions'!$B$10))^INT(($A49-1)/4)/4*(1-'3. Assumptions'!$B$13)</f>
        <v>3246503.21414737</v>
      </c>
      <c r="G49" s="33" t="n">
        <f aca="false">(1-'3. Assumptions'!$B$15)*SUMPRODUCT((('2. The tape'!$C$5:$C$13*'2. The tape'!$D$5:$D$13*(1-'2. The tape'!$J$5:$J$13)^($A49/4)*(1+$F$5)^($A49/4)*((1-'3. Assumptions'!$B$13)/($F$6)-'2. The tape'!$H$5:$H$13/12-'3. Assumptions'!$B$16)-'2. The tape'!$C$5:$C$13*'2. The tape'!$I$5:$I$13*(1+$F$5)^($A49/4))&gt;0)*('2. The tape'!$C$5:$C$13*'2. The tape'!$D$5:$D$13*(1-'2. The tape'!$J$5:$J$13)^($A49/4)*(1+$F$5)^($A49/4)*((1-'3. Assumptions'!$B$13)/($F$6)-'2. The tape'!$H$5:$H$13/12-'3. Assumptions'!$B$16)-'2. The tape'!$C$5:$C$13*'2. The tape'!$I$5:$I$13*(1+$F$5)^($A49/4)))</f>
        <v>71224266.6949539</v>
      </c>
      <c r="H49" s="33" t="n">
        <f aca="false">'2. The tape'!$C$17*(1+MIN(MAX($H$5,'3. Assumptions'!$B$11),'3. Assumptions'!$B$10))^INT(($A49-1)/4)/4*(1-'3. Assumptions'!$B$13)</f>
        <v>3797892.29677</v>
      </c>
      <c r="I49" s="33" t="n">
        <f aca="false">(1-'3. Assumptions'!$B$15)*SUMPRODUCT((('2. The tape'!$C$5:$C$13*'2. The tape'!$D$5:$D$13*(1-'2. The tape'!$J$5:$J$13)^($A49/4)*(1+$H$5)^($A49/4)*((1-'3. Assumptions'!$B$13)/($H$6)-'2. The tape'!$H$5:$H$13/12-'3. Assumptions'!$B$16)-'2. The tape'!$C$5:$C$13*'2. The tape'!$I$5:$I$13*(1+$H$5)^($A49/4))&gt;0)*('2. The tape'!$C$5:$C$13*'2. The tape'!$D$5:$D$13*(1-'2. The tape'!$J$5:$J$13)^($A49/4)*(1+$H$5)^($A49/4)*((1-'3. Assumptions'!$B$13)/($H$6)-'2. The tape'!$H$5:$H$13/12-'3. Assumptions'!$B$16)-'2. The tape'!$C$5:$C$13*'2. The tape'!$I$5:$I$13*(1+$H$5)^($A49/4)))</f>
        <v>87677727.0450151</v>
      </c>
      <c r="J49" s="33" t="n">
        <f aca="false">'2. The tape'!$C$17*(1+MIN(MAX($J$5,'3. Assumptions'!$B$11),'3. Assumptions'!$B$10))^INT(($A49-1)/4)/4*(1-'3. Assumptions'!$B$13)</f>
        <v>3568223.2057529</v>
      </c>
      <c r="K49" s="33" t="n">
        <f aca="false">(1-'3. Assumptions'!$B$15)*SUMPRODUCT((('2. The tape'!$C$5:$C$13*'2. The tape'!$D$5:$D$13*(1-'2. The tape'!$J$5:$J$13)^($A49/4)*(1+$J$5)^($A49/4)*((1-'3. Assumptions'!$B$13)/($J$6)-'2. The tape'!$H$5:$H$13/12-'3. Assumptions'!$B$16)-'2. The tape'!$C$5:$C$13*'2. The tape'!$I$5:$I$13*(1+$J$5)^($A49/4))&gt;0)*('2. The tape'!$C$5:$C$13*'2. The tape'!$D$5:$D$13*(1-'2. The tape'!$J$5:$J$13)^($A49/4)*(1+$J$5)^($A49/4)*((1-'3. Assumptions'!$B$13)/($J$6)-'2. The tape'!$H$5:$H$13/12-'3. Assumptions'!$B$16)-'2. The tape'!$C$5:$C$13*'2. The tape'!$I$5:$I$13*(1+$J$5)^($A49/4)))</f>
        <v>64680570.9681332</v>
      </c>
      <c r="L49" s="33" t="n">
        <f aca="false">'2. The tape'!$C$17*(1+MIN(MAX($L$5,'3. Assumptions'!$B$11),'3. Assumptions'!$B$10))^INT(($A49-1)/4)/4*(1-'3. Assumptions'!$B$13)</f>
        <v>3797892.29677</v>
      </c>
      <c r="M49" s="33" t="n">
        <f aca="false">(1-'3. Assumptions'!$B$15)*SUMPRODUCT((('2. The tape'!$C$5:$C$13*'2. The tape'!$D$5:$D$13*(1-'2. The tape'!$J$5:$J$13)^($A49/4)*(1+$L$5)^($A49/4)*((1-'3. Assumptions'!$B$13)/($L$6)-'2. The tape'!$H$5:$H$13/12-'3. Assumptions'!$B$16)-'2. The tape'!$C$5:$C$13*'2. The tape'!$I$5:$I$13*(1+$L$5)^($A49/4))&gt;0)*('2. The tape'!$C$5:$C$13*'2. The tape'!$D$5:$D$13*(1-'2. The tape'!$J$5:$J$13)^($A49/4)*(1+$L$5)^($A49/4)*((1-'3. Assumptions'!$B$13)/($L$6)-'2. The tape'!$H$5:$H$13/12-'3. Assumptions'!$B$16)-'2. The tape'!$C$5:$C$13*'2. The tape'!$I$5:$I$13*(1+$L$5)^($A49/4)))</f>
        <v>608716121.596281</v>
      </c>
      <c r="N49" s="33" t="n">
        <f aca="false">'2. The tape'!$C$17*(1+MIN(MAX($N$5,'3. Assumptions'!$B$11),'3. Assumptions'!$B$10))^INT(($A49-1)/4)/4*(1-'3. Assumptions'!$B$13)</f>
        <v>2998091.25</v>
      </c>
      <c r="O49" s="33" t="n">
        <f aca="false">(1-'3. Assumptions'!$B$15)*SUMPRODUCT((('2. The tape'!$C$5:$C$13*'2. The tape'!$D$5:$D$13*(1-'2. The tape'!$J$5:$J$13)^($A49/4)*(1+$N$5)^($A49/4)*((1-'3. Assumptions'!$B$13)/($N$6)-'2. The tape'!$H$5:$H$13/12-'3. Assumptions'!$B$16)-'2. The tape'!$C$5:$C$13*'2. The tape'!$I$5:$I$13*(1+$N$5)^($A49/4))&gt;0)*('2. The tape'!$C$5:$C$13*'2. The tape'!$D$5:$D$13*(1-'2. The tape'!$J$5:$J$13)^($A49/4)*(1+$N$5)^($A49/4)*((1-'3. Assumptions'!$B$13)/($N$6)-'2. The tape'!$H$5:$H$13/12-'3. Assumptions'!$B$16)-'2. The tape'!$C$5:$C$13*'2. The tape'!$I$5:$I$13*(1+$N$5)^($A49/4)))</f>
        <v>50519151.8452081</v>
      </c>
      <c r="P49" s="33" t="n">
        <f aca="false">'2. The tape'!$C$17*(1+MIN(MAX($P$5,'3. Assumptions'!$B$11),'3. Assumptions'!$B$10))^INT(($A49-1)/4)/4*(1-'3. Assumptions'!$B$13)</f>
        <v>2998091.25</v>
      </c>
      <c r="Q49" s="33" t="n">
        <f aca="false">(1-'3. Assumptions'!$B$15)*SUMPRODUCT((('2. The tape'!$C$5:$C$13*'2. The tape'!$D$5:$D$13*(1-'2. The tape'!$J$5:$J$13)^($A49/4)*(1+$P$5)^($A49/4)*((1-'3. Assumptions'!$B$13)/($P$6)-'2. The tape'!$H$5:$H$13/12-'3. Assumptions'!$B$16)-'2. The tape'!$C$5:$C$13*'2. The tape'!$I$5:$I$13*(1+$P$5)^($A49/4))&gt;0)*('2. The tape'!$C$5:$C$13*'2. The tape'!$D$5:$D$13*(1-'2. The tape'!$J$5:$J$13)^($A49/4)*(1+$P$5)^($A49/4)*((1-'3. Assumptions'!$B$13)/($P$6)-'2. The tape'!$H$5:$H$13/12-'3. Assumptions'!$B$16)-'2. The tape'!$C$5:$C$13*'2. The tape'!$I$5:$I$13*(1+$P$5)^($A49/4)))</f>
        <v>55121109.7730861</v>
      </c>
      <c r="R49" s="33" t="n">
        <f aca="false">'2. The tape'!$C$17*(1+MIN(MAX($R$5,'3. Assumptions'!$B$11),'3. Assumptions'!$B$10))^INT(($A49-1)/4)/4*(1-'3. Assumptions'!$B$13)</f>
        <v>2998091.25</v>
      </c>
      <c r="S49" s="33" t="n">
        <f aca="false">(1-'3. Assumptions'!$B$15)*SUMPRODUCT((('2. The tape'!$C$5:$C$13*'2. The tape'!$D$5:$D$13*(1-'2. The tape'!$J$5:$J$13)^($A49/4)*(1+$R$5)^($A49/4)*((1-'3. Assumptions'!$B$13)/($R$6)-'2. The tape'!$H$5:$H$13/12-'3. Assumptions'!$B$16)-'2. The tape'!$C$5:$C$13*'2. The tape'!$I$5:$I$13*(1+$R$5)^($A49/4))&gt;0)*('2. The tape'!$C$5:$C$13*'2. The tape'!$D$5:$D$13*(1-'2. The tape'!$J$5:$J$13)^($A49/4)*(1+$R$5)^($A49/4)*((1-'3. Assumptions'!$B$13)/($R$6)-'2. The tape'!$H$5:$H$13/12-'3. Assumptions'!$B$16)-'2. The tape'!$C$5:$C$13*'2. The tape'!$I$5:$I$13*(1+$R$5)^($A49/4)))</f>
        <v>52293131.6994123</v>
      </c>
      <c r="T49" s="33" t="n">
        <f aca="false">'2. The tape'!$C$17*(1+MIN(MAX($T$5,'3. Assumptions'!$B$11),'3. Assumptions'!$B$10))^INT(($A49-1)/4)/4*(1-'3. Assumptions'!$B$13)</f>
        <v>2998091.25</v>
      </c>
      <c r="U49" s="33" t="n">
        <f aca="false">(1-'3. Assumptions'!$B$15)*SUMPRODUCT((('2. The tape'!$C$5:$C$13*'2. The tape'!$D$5:$D$13*(1-'2. The tape'!$J$5:$J$13)^($A49/4)*(1+$T$5)^($A49/4)*((1-'3. Assumptions'!$B$13)/($T$6)-'2. The tape'!$H$5:$H$13/12-'3. Assumptions'!$B$16)-'2. The tape'!$C$5:$C$13*'2. The tape'!$I$5:$I$13*(1+$T$5)^($A49/4))&gt;0)*('2. The tape'!$C$5:$C$13*'2. The tape'!$D$5:$D$13*(1-'2. The tape'!$J$5:$J$13)^($A49/4)*(1+$T$5)^($A49/4)*((1-'3. Assumptions'!$B$13)/($T$6)-'2. The tape'!$H$5:$H$13/12-'3. Assumptions'!$B$16)-'2. The tape'!$C$5:$C$13*'2. The tape'!$I$5:$I$13*(1+$T$5)^($A49/4)))</f>
        <v>52218243.3179627</v>
      </c>
      <c r="V49" s="33" t="n">
        <f aca="false">'2. The tape'!$C$17*(1+MIN(MAX($V$5,'3. Assumptions'!$B$11),'3. Assumptions'!$B$10))^INT(($A49-1)/4)/4*(1-'3. Assumptions'!$B$13)</f>
        <v>2998091.25</v>
      </c>
      <c r="W49" s="33" t="n">
        <f aca="false">(1-'3. Assumptions'!$B$15)*SUMPRODUCT((('2. The tape'!$C$5:$C$13*'2. The tape'!$D$5:$D$13*(1-'2. The tape'!$J$5:$J$13)^($A49/4)*(1+$V$5)^($A49/4)*((1-'3. Assumptions'!$B$13)/($V$6)-'2. The tape'!$H$5:$H$13/12-'3. Assumptions'!$B$16)-'2. The tape'!$C$5:$C$13*'2. The tape'!$I$5:$I$13*(1+$V$5)^($A49/4))&gt;0)*('2. The tape'!$C$5:$C$13*'2. The tape'!$D$5:$D$13*(1-'2. The tape'!$J$5:$J$13)^($A49/4)*(1+$V$5)^($A49/4)*((1-'3. Assumptions'!$B$13)/($V$6)-'2. The tape'!$H$5:$H$13/12-'3. Assumptions'!$B$16)-'2. The tape'!$C$5:$C$13*'2. The tape'!$I$5:$I$13*(1+$V$5)^($A49/4)))</f>
        <v>52221250.4355055</v>
      </c>
      <c r="X49" s="33" t="n">
        <f aca="false">'2. The tape'!$C$17*(1+MIN(MAX($X$5,'3. Assumptions'!$B$11),'3. Assumptions'!$B$10))^INT(($A49-1)/4)/4*(1-'3. Assumptions'!$B$13)</f>
        <v>2998091.25</v>
      </c>
      <c r="Y49" s="33" t="n">
        <f aca="false">(1-'3. Assumptions'!$B$15)*SUMPRODUCT((('2. The tape'!$C$5:$C$13*'2. The tape'!$D$5:$D$13*(1-'2. The tape'!$J$5:$J$13)^($A49/4)*(1+$X$5)^($A49/4)*((1-'3. Assumptions'!$B$13)/($X$6)-'2. The tape'!$H$5:$H$13/12-'3. Assumptions'!$B$16)-'2. The tape'!$C$5:$C$13*'2. The tape'!$I$5:$I$13*(1+$X$5)^($A49/4))&gt;0)*('2. The tape'!$C$5:$C$13*'2. The tape'!$D$5:$D$13*(1-'2. The tape'!$J$5:$J$13)^($A49/4)*(1+$X$5)^($A49/4)*((1-'3. Assumptions'!$B$13)/($X$6)-'2. The tape'!$H$5:$H$13/12-'3. Assumptions'!$B$16)-'2. The tape'!$C$5:$C$13*'2. The tape'!$I$5:$I$13*(1+$X$5)^($A49/4)))</f>
        <v>52221247.2732541</v>
      </c>
      <c r="Z49" s="33" t="n">
        <f aca="false">'2. The tape'!$C$17*(1+MIN(MAX($Z$5,'3. Assumptions'!$B$11),'3. Assumptions'!$B$10))^INT(($A49-1)/4)/4*(1-'3. Assumptions'!$B$13)</f>
        <v>2998091.25</v>
      </c>
      <c r="AA49" s="33" t="n">
        <f aca="false">(1-'3. Assumptions'!$B$15)*SUMPRODUCT((('2. The tape'!$C$5:$C$13*'2. The tape'!$D$5:$D$13*(1-'2. The tape'!$J$5:$J$13)^($A49/4)*(1+$Z$5)^($A49/4)*((1-'3. Assumptions'!$B$13)/($Z$6)-'2. The tape'!$H$5:$H$13/12-'3. Assumptions'!$B$16)-'2. The tape'!$C$5:$C$13*'2. The tape'!$I$5:$I$13*(1+$Z$5)^($A49/4))&gt;0)*('2. The tape'!$C$5:$C$13*'2. The tape'!$D$5:$D$13*(1-'2. The tape'!$J$5:$J$13)^($A49/4)*(1+$Z$5)^($A49/4)*((1-'3. Assumptions'!$B$13)/($Z$6)-'2. The tape'!$H$5:$H$13/12-'3. Assumptions'!$B$16)-'2. The tape'!$C$5:$C$13*'2. The tape'!$I$5:$I$13*(1+$Z$5)^($A49/4)))</f>
        <v>52221247.2731149</v>
      </c>
      <c r="AB49" s="33" t="n">
        <f aca="false">'2. The tape'!$C$17*(1+MIN(MAX($AB$5,'3. Assumptions'!$B$11),'3. Assumptions'!$B$10))^INT(($A49-1)/4)/4*(1-'3. Assumptions'!$B$13)</f>
        <v>2998091.25</v>
      </c>
      <c r="AC49" s="33" t="n">
        <f aca="false">(1-'3. Assumptions'!$B$15)*SUMPRODUCT((('2. The tape'!$C$5:$C$13*'2. The tape'!$D$5:$D$13*(1-'2. The tape'!$J$5:$J$13)^($A49/4)*(1+$AB$5)^($A49/4)*((1-'3. Assumptions'!$B$13)/($AB$6)-'2. The tape'!$H$5:$H$13/12-'3. Assumptions'!$B$16)-'2. The tape'!$C$5:$C$13*'2. The tape'!$I$5:$I$13*(1+$AB$5)^($A49/4))&gt;0)*('2. The tape'!$C$5:$C$13*'2. The tape'!$D$5:$D$13*(1-'2. The tape'!$J$5:$J$13)^($A49/4)*(1+$AB$5)^($A49/4)*((1-'3. Assumptions'!$B$13)/($AB$6)-'2. The tape'!$H$5:$H$13/12-'3. Assumptions'!$B$16)-'2. The tape'!$C$5:$C$13*'2. The tape'!$I$5:$I$13*(1+$AB$5)^($A49/4)))</f>
        <v>52221247.2731149</v>
      </c>
      <c r="AD49" s="33" t="n">
        <f aca="false">'2. The tape'!$C$17*(1+MIN(MAX($AD$5,'3. Assumptions'!$B$11),'3. Assumptions'!$B$10))^INT(($A49-1)/4)/4*(1-'3. Assumptions'!$B$13)</f>
        <v>2998091.25</v>
      </c>
      <c r="AE49" s="33" t="n">
        <f aca="false">(1-'3. Assumptions'!$B$15)*SUMPRODUCT((('2. The tape'!$C$5:$C$13*'2. The tape'!$D$5:$D$13*(1-'2. The tape'!$J$5:$J$13)^($A49/4)*(1+$AD$5)^($A49/4)*((1-'3. Assumptions'!$B$13)/($AD$6)-'2. The tape'!$H$5:$H$13/12-'3. Assumptions'!$B$16)-'2. The tape'!$C$5:$C$13*'2. The tape'!$I$5:$I$13*(1+$AD$5)^($A49/4))&gt;0)*('2. The tape'!$C$5:$C$13*'2. The tape'!$D$5:$D$13*(1-'2. The tape'!$J$5:$J$13)^($A49/4)*(1+$AD$5)^($A49/4)*((1-'3. Assumptions'!$B$13)/($AD$6)-'2. The tape'!$H$5:$H$13/12-'3. Assumptions'!$B$16)-'2. The tape'!$C$5:$C$13*'2. The tape'!$I$5:$I$13*(1+$AD$5)^($A49/4)))</f>
        <v>52221247.2731149</v>
      </c>
      <c r="AF49" s="33" t="n">
        <f aca="false">'2. The tape'!$C$17*(1+MIN(MAX($AF$5,'3. Assumptions'!$B$11),'3. Assumptions'!$B$10))^INT(($A49-1)/4)/4*(1-'3. Assumptions'!$B$13)</f>
        <v>2998091.25</v>
      </c>
      <c r="AG49" s="33" t="n">
        <f aca="false">(1-'3. Assumptions'!$B$15)*SUMPRODUCT((('2. The tape'!$C$5:$C$13*'2. The tape'!$D$5:$D$13*(1-'2. The tape'!$J$5:$J$13)^($A49/4)*(1+$AF$5)^($A49/4)*((1-'3. Assumptions'!$B$13)/($AF$6)-'2. The tape'!$H$5:$H$13/12-'3. Assumptions'!$B$16)-'2. The tape'!$C$5:$C$13*'2. The tape'!$I$5:$I$13*(1+$AF$5)^($A49/4))&gt;0)*('2. The tape'!$C$5:$C$13*'2. The tape'!$D$5:$D$13*(1-'2. The tape'!$J$5:$J$13)^($A49/4)*(1+$AF$5)^($A49/4)*((1-'3. Assumptions'!$B$13)/($AF$6)-'2. The tape'!$H$5:$H$13/12-'3. Assumptions'!$B$16)-'2. The tape'!$C$5:$C$13*'2. The tape'!$I$5:$I$13*(1+$AF$5)^($A49/4)))</f>
        <v>52221247.2731149</v>
      </c>
      <c r="AH49" s="33" t="n">
        <f aca="false">'2. The tape'!$C$17*(1+MIN(MAX($AH$5,'3. Assumptions'!$B$11),'3. Assumptions'!$B$10))^INT(($A49-1)/4)/4*(1-'3. Assumptions'!$B$13)</f>
        <v>3568223.2057529</v>
      </c>
      <c r="AI49" s="33" t="n">
        <f aca="false">(1-'3. Assumptions'!$B$15)*SUMPRODUCT((('2. The tape'!$C$5:$C$13*'2. The tape'!$D$5:$D$13*(1-'2. The tape'!$J$5:$J$13)^($A49/4)*(1+$AH$5)^($A49/4)*((1-'3. Assumptions'!$B$13)/($AH$6)-'2. The tape'!$H$5:$H$13/12-'3. Assumptions'!$B$16)-'2. The tape'!$C$5:$C$13*'2. The tape'!$I$5:$I$13*(1+$AH$5)^($A49/4))&gt;0)*('2. The tape'!$C$5:$C$13*'2. The tape'!$D$5:$D$13*(1-'2. The tape'!$J$5:$J$13)^($A49/4)*(1+$AH$5)^($A49/4)*((1-'3. Assumptions'!$B$13)/($AH$6)-'2. The tape'!$H$5:$H$13/12-'3. Assumptions'!$B$16)-'2. The tape'!$C$5:$C$13*'2. The tape'!$I$5:$I$13*(1+$AH$5)^($A49/4)))</f>
        <v>155543735.872984</v>
      </c>
      <c r="AJ49" s="33" t="n">
        <f aca="false">'2. The tape'!$C$17*(1+MIN(MAX($AJ$5,'3. Assumptions'!$B$11),'3. Assumptions'!$B$10))^INT(($A49-1)/4)/4*(1-'3. Assumptions'!$B$13)</f>
        <v>3568223.2057529</v>
      </c>
      <c r="AK49" s="33" t="n">
        <f aca="false">(1-'3. Assumptions'!$B$15)*SUMPRODUCT((('2. The tape'!$C$5:$C$13*'2. The tape'!$D$5:$D$13*(1-'2. The tape'!$J$5:$J$13)^($A49/4)*(1+$AJ$5)^($A49/4)*((1-'3. Assumptions'!$B$13)/($AJ$6)-'2. The tape'!$H$5:$H$13/12-'3. Assumptions'!$B$16)-'2. The tape'!$C$5:$C$13*'2. The tape'!$I$5:$I$13*(1+$AJ$5)^($A49/4))&gt;0)*('2. The tape'!$C$5:$C$13*'2. The tape'!$D$5:$D$13*(1-'2. The tape'!$J$5:$J$13)^($A49/4)*(1+$AJ$5)^($A49/4)*((1-'3. Assumptions'!$B$13)/($AJ$6)-'2. The tape'!$H$5:$H$13/12-'3. Assumptions'!$B$16)-'2. The tape'!$C$5:$C$13*'2. The tape'!$I$5:$I$13*(1+$AJ$5)^($A49/4)))</f>
        <v>112503289.339107</v>
      </c>
      <c r="AL49" s="33" t="n">
        <f aca="false">'2. The tape'!$C$17*(1+MIN(MAX($AL$5,'3. Assumptions'!$B$11),'3. Assumptions'!$B$10))^INT(($A49-1)/4)/4*(1-'3. Assumptions'!$B$13)</f>
        <v>3568223.2057529</v>
      </c>
      <c r="AM49" s="33" t="n">
        <f aca="false">(1-'3. Assumptions'!$B$15)*SUMPRODUCT((('2. The tape'!$C$5:$C$13*'2. The tape'!$D$5:$D$13*(1-'2. The tape'!$J$5:$J$13)^($A49/4)*(1+$AL$5)^($A49/4)*((1-'3. Assumptions'!$B$13)/($AL$6)-'2. The tape'!$H$5:$H$13/12-'3. Assumptions'!$B$16)-'2. The tape'!$C$5:$C$13*'2. The tape'!$I$5:$I$13*(1+$AL$5)^($A49/4))&gt;0)*('2. The tape'!$C$5:$C$13*'2. The tape'!$D$5:$D$13*(1-'2. The tape'!$J$5:$J$13)^($A49/4)*(1+$AL$5)^($A49/4)*((1-'3. Assumptions'!$B$13)/($AL$6)-'2. The tape'!$H$5:$H$13/12-'3. Assumptions'!$B$16)-'2. The tape'!$C$5:$C$13*'2. The tape'!$I$5:$I$13*(1+$AL$5)^($A49/4)))</f>
        <v>129196244.610227</v>
      </c>
      <c r="AN49" s="33" t="n">
        <f aca="false">'2. The tape'!$C$17*(1+MIN(MAX($AN$5,'3. Assumptions'!$B$11),'3. Assumptions'!$B$10))^INT(($A49-1)/4)/4*(1-'3. Assumptions'!$B$13)</f>
        <v>3568223.2057529</v>
      </c>
      <c r="AO49" s="33" t="n">
        <f aca="false">(1-'3. Assumptions'!$B$15)*SUMPRODUCT((('2. The tape'!$C$5:$C$13*'2. The tape'!$D$5:$D$13*(1-'2. The tape'!$J$5:$J$13)^($A49/4)*(1+$AN$5)^($A49/4)*((1-'3. Assumptions'!$B$13)/($AN$6)-'2. The tape'!$H$5:$H$13/12-'3. Assumptions'!$B$16)-'2. The tape'!$C$5:$C$13*'2. The tape'!$I$5:$I$13*(1+$AN$5)^($A49/4))&gt;0)*('2. The tape'!$C$5:$C$13*'2. The tape'!$D$5:$D$13*(1-'2. The tape'!$J$5:$J$13)^($A49/4)*(1+$AN$5)^($A49/4)*((1-'3. Assumptions'!$B$13)/($AN$6)-'2. The tape'!$H$5:$H$13/12-'3. Assumptions'!$B$16)-'2. The tape'!$C$5:$C$13*'2. The tape'!$I$5:$I$13*(1+$AN$5)^($A49/4)))</f>
        <v>132321678.463604</v>
      </c>
      <c r="AP49" s="33" t="n">
        <f aca="false">'2. The tape'!$C$17*(1+MIN(MAX($AP$5,'3. Assumptions'!$B$11),'3. Assumptions'!$B$10))^INT(($A49-1)/4)/4*(1-'3. Assumptions'!$B$13)</f>
        <v>3568223.2057529</v>
      </c>
      <c r="AQ49" s="33" t="n">
        <f aca="false">(1-'3. Assumptions'!$B$15)*SUMPRODUCT((('2. The tape'!$C$5:$C$13*'2. The tape'!$D$5:$D$13*(1-'2. The tape'!$J$5:$J$13)^($A49/4)*(1+$AP$5)^($A49/4)*((1-'3. Assumptions'!$B$13)/($AP$6)-'2. The tape'!$H$5:$H$13/12-'3. Assumptions'!$B$16)-'2. The tape'!$C$5:$C$13*'2. The tape'!$I$5:$I$13*(1+$AP$5)^($A49/4))&gt;0)*('2. The tape'!$C$5:$C$13*'2. The tape'!$D$5:$D$13*(1-'2. The tape'!$J$5:$J$13)^($A49/4)*(1+$AP$5)^($A49/4)*((1-'3. Assumptions'!$B$13)/($AP$6)-'2. The tape'!$H$5:$H$13/12-'3. Assumptions'!$B$16)-'2. The tape'!$C$5:$C$13*'2. The tape'!$I$5:$I$13*(1+$AP$5)^($A49/4)))</f>
        <v>131935850.067912</v>
      </c>
      <c r="AR49" s="33" t="n">
        <f aca="false">'2. The tape'!$C$17*(1+MIN(MAX($AR$5,'3. Assumptions'!$B$11),'3. Assumptions'!$B$10))^INT(($A49-1)/4)/4*(1-'3. Assumptions'!$B$13)</f>
        <v>3568223.2057529</v>
      </c>
      <c r="AS49" s="33" t="n">
        <f aca="false">(1-'3. Assumptions'!$B$15)*SUMPRODUCT((('2. The tape'!$C$5:$C$13*'2. The tape'!$D$5:$D$13*(1-'2. The tape'!$J$5:$J$13)^($A49/4)*(1+$AR$5)^($A49/4)*((1-'3. Assumptions'!$B$13)/($AR$6)-'2. The tape'!$H$5:$H$13/12-'3. Assumptions'!$B$16)-'2. The tape'!$C$5:$C$13*'2. The tape'!$I$5:$I$13*(1+$AR$5)^($A49/4))&gt;0)*('2. The tape'!$C$5:$C$13*'2. The tape'!$D$5:$D$13*(1-'2. The tape'!$J$5:$J$13)^($A49/4)*(1+$AR$5)^($A49/4)*((1-'3. Assumptions'!$B$13)/($AR$6)-'2. The tape'!$H$5:$H$13/12-'3. Assumptions'!$B$16)-'2. The tape'!$C$5:$C$13*'2. The tape'!$I$5:$I$13*(1+$AR$5)^($A49/4)))</f>
        <v>131942323.715752</v>
      </c>
      <c r="AT49" s="33" t="n">
        <f aca="false">'2. The tape'!$C$17*(1+MIN(MAX($AT$5,'3. Assumptions'!$B$11),'3. Assumptions'!$B$10))^INT(($A49-1)/4)/4*(1-'3. Assumptions'!$B$13)</f>
        <v>3568223.2057529</v>
      </c>
      <c r="AU49" s="33" t="n">
        <f aca="false">(1-'3. Assumptions'!$B$15)*SUMPRODUCT((('2. The tape'!$C$5:$C$13*'2. The tape'!$D$5:$D$13*(1-'2. The tape'!$J$5:$J$13)^($A49/4)*(1+$AT$5)^($A49/4)*((1-'3. Assumptions'!$B$13)/($AT$6)-'2. The tape'!$H$5:$H$13/12-'3. Assumptions'!$B$16)-'2. The tape'!$C$5:$C$13*'2. The tape'!$I$5:$I$13*(1+$AT$5)^($A49/4))&gt;0)*('2. The tape'!$C$5:$C$13*'2. The tape'!$D$5:$D$13*(1-'2. The tape'!$J$5:$J$13)^($A49/4)*(1+$AT$5)^($A49/4)*((1-'3. Assumptions'!$B$13)/($AT$6)-'2. The tape'!$H$5:$H$13/12-'3. Assumptions'!$B$16)-'2. The tape'!$C$5:$C$13*'2. The tape'!$I$5:$I$13*(1+$AT$5)^($A49/4)))</f>
        <v>131942338.791249</v>
      </c>
      <c r="AV49" s="33" t="n">
        <f aca="false">'2. The tape'!$C$17*(1+MIN(MAX($AV$5,'3. Assumptions'!$B$11),'3. Assumptions'!$B$10))^INT(($A49-1)/4)/4*(1-'3. Assumptions'!$B$13)</f>
        <v>3568223.2057529</v>
      </c>
      <c r="AW49" s="33" t="n">
        <f aca="false">(1-'3. Assumptions'!$B$15)*SUMPRODUCT((('2. The tape'!$C$5:$C$13*'2. The tape'!$D$5:$D$13*(1-'2. The tape'!$J$5:$J$13)^($A49/4)*(1+$AV$5)^($A49/4)*((1-'3. Assumptions'!$B$13)/($AV$6)-'2. The tape'!$H$5:$H$13/12-'3. Assumptions'!$B$16)-'2. The tape'!$C$5:$C$13*'2. The tape'!$I$5:$I$13*(1+$AV$5)^($A49/4))&gt;0)*('2. The tape'!$C$5:$C$13*'2. The tape'!$D$5:$D$13*(1-'2. The tape'!$J$5:$J$13)^($A49/4)*(1+$AV$5)^($A49/4)*((1-'3. Assumptions'!$B$13)/($AV$6)-'2. The tape'!$H$5:$H$13/12-'3. Assumptions'!$B$16)-'2. The tape'!$C$5:$C$13*'2. The tape'!$I$5:$I$13*(1+$AV$5)^($A49/4)))</f>
        <v>131942338.790648</v>
      </c>
      <c r="AX49" s="33" t="n">
        <f aca="false">'2. The tape'!$C$17*(1+MIN(MAX($AX$5,'3. Assumptions'!$B$11),'3. Assumptions'!$B$10))^INT(($A49-1)/4)/4*(1-'3. Assumptions'!$B$13)</f>
        <v>3568223.2057529</v>
      </c>
      <c r="AY49" s="33" t="n">
        <f aca="false">(1-'3. Assumptions'!$B$15)*SUMPRODUCT((('2. The tape'!$C$5:$C$13*'2. The tape'!$D$5:$D$13*(1-'2. The tape'!$J$5:$J$13)^($A49/4)*(1+$AX$5)^($A49/4)*((1-'3. Assumptions'!$B$13)/($AX$6)-'2. The tape'!$H$5:$H$13/12-'3. Assumptions'!$B$16)-'2. The tape'!$C$5:$C$13*'2. The tape'!$I$5:$I$13*(1+$AX$5)^($A49/4))&gt;0)*('2. The tape'!$C$5:$C$13*'2. The tape'!$D$5:$D$13*(1-'2. The tape'!$J$5:$J$13)^($A49/4)*(1+$AX$5)^($A49/4)*((1-'3. Assumptions'!$B$13)/($AX$6)-'2. The tape'!$H$5:$H$13/12-'3. Assumptions'!$B$16)-'2. The tape'!$C$5:$C$13*'2. The tape'!$I$5:$I$13*(1+$AX$5)^($A49/4)))</f>
        <v>131942338.790648</v>
      </c>
      <c r="AZ49" s="33" t="n">
        <f aca="false">'2. The tape'!$C$17*(1+MIN(MAX($AZ$5,'3. Assumptions'!$B$11),'3. Assumptions'!$B$10))^INT(($A49-1)/4)/4*(1-'3. Assumptions'!$B$13)</f>
        <v>3568223.2057529</v>
      </c>
      <c r="BA49" s="33" t="n">
        <f aca="false">(1-'3. Assumptions'!$B$15)*SUMPRODUCT((('2. The tape'!$C$5:$C$13*'2. The tape'!$D$5:$D$13*(1-'2. The tape'!$J$5:$J$13)^($A49/4)*(1+$AZ$5)^($A49/4)*((1-'3. Assumptions'!$B$13)/($AZ$6)-'2. The tape'!$H$5:$H$13/12-'3. Assumptions'!$B$16)-'2. The tape'!$C$5:$C$13*'2. The tape'!$I$5:$I$13*(1+$AZ$5)^($A49/4))&gt;0)*('2. The tape'!$C$5:$C$13*'2. The tape'!$D$5:$D$13*(1-'2. The tape'!$J$5:$J$13)^($A49/4)*(1+$AZ$5)^($A49/4)*((1-'3. Assumptions'!$B$13)/($AZ$6)-'2. The tape'!$H$5:$H$13/12-'3. Assumptions'!$B$16)-'2. The tape'!$C$5:$C$13*'2. The tape'!$I$5:$I$13*(1+$AZ$5)^($A49/4)))</f>
        <v>131942338.790648</v>
      </c>
    </row>
    <row r="50" customFormat="false" ht="15" hidden="false" customHeight="false" outlineLevel="0" collapsed="false">
      <c r="A50" s="20" t="n">
        <v>35</v>
      </c>
      <c r="B50" s="33" t="n">
        <f aca="false">'2. The tape'!$C$17*(1+MIN(MAX($B$5,'3. Assumptions'!$B$11),'3. Assumptions'!$B$10))^INT(($A50-1)/4)/4*(1-'3. Assumptions'!$B$13)</f>
        <v>3568223.2057529</v>
      </c>
      <c r="C50" s="33" t="n">
        <f aca="false">(1-'3. Assumptions'!$B$15)*SUMPRODUCT((('2. The tape'!$C$5:$C$13*'2. The tape'!$D$5:$D$13*(1-'2. The tape'!$J$5:$J$13)^($A50/4)*(1+$B$5)^($A50/4)*((1-'3. Assumptions'!$B$13)/($B$6)-'2. The tape'!$H$5:$H$13/12-'3. Assumptions'!$B$16)-'2. The tape'!$C$5:$C$13*'2. The tape'!$I$5:$I$13*(1+$B$5)^($A50/4))&gt;0)*('2. The tape'!$C$5:$C$13*'2. The tape'!$D$5:$D$13*(1-'2. The tape'!$J$5:$J$13)^($A50/4)*(1+$B$5)^($A50/4)*((1-'3. Assumptions'!$B$13)/($B$6)-'2. The tape'!$H$5:$H$13/12-'3. Assumptions'!$B$16)-'2. The tape'!$C$5:$C$13*'2. The tape'!$I$5:$I$13*(1+$B$5)^($A50/4)))</f>
        <v>78649222.904589</v>
      </c>
      <c r="D50" s="33" t="n">
        <f aca="false">'2. The tape'!$C$17*(1+MIN(MAX($D$5,'3. Assumptions'!$B$11),'3. Assumptions'!$B$10))^INT(($A50-1)/4)/4*(1-'3. Assumptions'!$B$13)</f>
        <v>3797892.29677</v>
      </c>
      <c r="E50" s="33" t="n">
        <f aca="false">(1-'3. Assumptions'!$B$15)*SUMPRODUCT((('2. The tape'!$C$5:$C$13*'2. The tape'!$D$5:$D$13*(1-'2. The tape'!$J$5:$J$13)^($A50/4)*(1+$D$5)^($A50/4)*((1-'3. Assumptions'!$B$13)/($D$6)-'2. The tape'!$H$5:$H$13/12-'3. Assumptions'!$B$16)-'2. The tape'!$C$5:$C$13*'2. The tape'!$I$5:$I$13*(1+$D$5)^($A50/4))&gt;0)*('2. The tape'!$C$5:$C$13*'2. The tape'!$D$5:$D$13*(1-'2. The tape'!$J$5:$J$13)^($A50/4)*(1+$D$5)^($A50/4)*((1-'3. Assumptions'!$B$13)/($D$6)-'2. The tape'!$H$5:$H$13/12-'3. Assumptions'!$B$16)-'2. The tape'!$C$5:$C$13*'2. The tape'!$I$5:$I$13*(1+$D$5)^($A50/4)))</f>
        <v>87847045.2224958</v>
      </c>
      <c r="F50" s="33" t="n">
        <f aca="false">'2. The tape'!$C$17*(1+MIN(MAX($F$5,'3. Assumptions'!$B$11),'3. Assumptions'!$B$10))^INT(($A50-1)/4)/4*(1-'3. Assumptions'!$B$13)</f>
        <v>3246503.21414737</v>
      </c>
      <c r="G50" s="33" t="n">
        <f aca="false">(1-'3. Assumptions'!$B$15)*SUMPRODUCT((('2. The tape'!$C$5:$C$13*'2. The tape'!$D$5:$D$13*(1-'2. The tape'!$J$5:$J$13)^($A50/4)*(1+$F$5)^($A50/4)*((1-'3. Assumptions'!$B$13)/($F$6)-'2. The tape'!$H$5:$H$13/12-'3. Assumptions'!$B$16)-'2. The tape'!$C$5:$C$13*'2. The tape'!$I$5:$I$13*(1+$F$5)^($A50/4))&gt;0)*('2. The tape'!$C$5:$C$13*'2. The tape'!$D$5:$D$13*(1-'2. The tape'!$J$5:$J$13)^($A50/4)*(1+$F$5)^($A50/4)*((1-'3. Assumptions'!$B$13)/($F$6)-'2. The tape'!$H$5:$H$13/12-'3. Assumptions'!$B$16)-'2. The tape'!$C$5:$C$13*'2. The tape'!$I$5:$I$13*(1+$F$5)^($A50/4)))</f>
        <v>70926922.8179023</v>
      </c>
      <c r="H50" s="33" t="n">
        <f aca="false">'2. The tape'!$C$17*(1+MIN(MAX($H$5,'3. Assumptions'!$B$11),'3. Assumptions'!$B$10))^INT(($A50-1)/4)/4*(1-'3. Assumptions'!$B$13)</f>
        <v>3797892.29677</v>
      </c>
      <c r="I50" s="33" t="n">
        <f aca="false">(1-'3. Assumptions'!$B$15)*SUMPRODUCT((('2. The tape'!$C$5:$C$13*'2. The tape'!$D$5:$D$13*(1-'2. The tape'!$J$5:$J$13)^($A50/4)*(1+$H$5)^($A50/4)*((1-'3. Assumptions'!$B$13)/($H$6)-'2. The tape'!$H$5:$H$13/12-'3. Assumptions'!$B$16)-'2. The tape'!$C$5:$C$13*'2. The tape'!$I$5:$I$13*(1+$H$5)^($A50/4))&gt;0)*('2. The tape'!$C$5:$C$13*'2. The tape'!$D$5:$D$13*(1-'2. The tape'!$J$5:$J$13)^($A50/4)*(1+$H$5)^($A50/4)*((1-'3. Assumptions'!$B$13)/($H$6)-'2. The tape'!$H$5:$H$13/12-'3. Assumptions'!$B$16)-'2. The tape'!$C$5:$C$13*'2. The tape'!$I$5:$I$13*(1+$H$5)^($A50/4)))</f>
        <v>87847045.2224958</v>
      </c>
      <c r="J50" s="33" t="n">
        <f aca="false">'2. The tape'!$C$17*(1+MIN(MAX($J$5,'3. Assumptions'!$B$11),'3. Assumptions'!$B$10))^INT(($A50-1)/4)/4*(1-'3. Assumptions'!$B$13)</f>
        <v>3568223.2057529</v>
      </c>
      <c r="K50" s="33" t="n">
        <f aca="false">(1-'3. Assumptions'!$B$15)*SUMPRODUCT((('2. The tape'!$C$5:$C$13*'2. The tape'!$D$5:$D$13*(1-'2. The tape'!$J$5:$J$13)^($A50/4)*(1+$J$5)^($A50/4)*((1-'3. Assumptions'!$B$13)/($J$6)-'2. The tape'!$H$5:$H$13/12-'3. Assumptions'!$B$16)-'2. The tape'!$C$5:$C$13*'2. The tape'!$I$5:$I$13*(1+$J$5)^($A50/4))&gt;0)*('2. The tape'!$C$5:$C$13*'2. The tape'!$D$5:$D$13*(1-'2. The tape'!$J$5:$J$13)^($A50/4)*(1+$J$5)^($A50/4)*((1-'3. Assumptions'!$B$13)/($J$6)-'2. The tape'!$H$5:$H$13/12-'3. Assumptions'!$B$16)-'2. The tape'!$C$5:$C$13*'2. The tape'!$I$5:$I$13*(1+$J$5)^($A50/4)))</f>
        <v>64584866.6090551</v>
      </c>
      <c r="L50" s="33" t="n">
        <f aca="false">'2. The tape'!$C$17*(1+MIN(MAX($L$5,'3. Assumptions'!$B$11),'3. Assumptions'!$B$10))^INT(($A50-1)/4)/4*(1-'3. Assumptions'!$B$13)</f>
        <v>3797892.29677</v>
      </c>
      <c r="M50" s="33" t="n">
        <f aca="false">(1-'3. Assumptions'!$B$15)*SUMPRODUCT((('2. The tape'!$C$5:$C$13*'2. The tape'!$D$5:$D$13*(1-'2. The tape'!$J$5:$J$13)^($A50/4)*(1+$L$5)^($A50/4)*((1-'3. Assumptions'!$B$13)/($L$6)-'2. The tape'!$H$5:$H$13/12-'3. Assumptions'!$B$16)-'2. The tape'!$C$5:$C$13*'2. The tape'!$I$5:$I$13*(1+$L$5)^($A50/4))&gt;0)*('2. The tape'!$C$5:$C$13*'2. The tape'!$D$5:$D$13*(1-'2. The tape'!$J$5:$J$13)^($A50/4)*(1+$L$5)^($A50/4)*((1-'3. Assumptions'!$B$13)/($L$6)-'2. The tape'!$H$5:$H$13/12-'3. Assumptions'!$B$16)-'2. The tape'!$C$5:$C$13*'2. The tape'!$I$5:$I$13*(1+$L$5)^($A50/4)))</f>
        <v>645659328.896582</v>
      </c>
      <c r="N50" s="33" t="n">
        <f aca="false">'2. The tape'!$C$17*(1+MIN(MAX($N$5,'3. Assumptions'!$B$11),'3. Assumptions'!$B$10))^INT(($A50-1)/4)/4*(1-'3. Assumptions'!$B$13)</f>
        <v>2998091.25</v>
      </c>
      <c r="O50" s="33" t="n">
        <f aca="false">(1-'3. Assumptions'!$B$15)*SUMPRODUCT((('2. The tape'!$C$5:$C$13*'2. The tape'!$D$5:$D$13*(1-'2. The tape'!$J$5:$J$13)^($A50/4)*(1+$N$5)^($A50/4)*((1-'3. Assumptions'!$B$13)/($N$6)-'2. The tape'!$H$5:$H$13/12-'3. Assumptions'!$B$16)-'2. The tape'!$C$5:$C$13*'2. The tape'!$I$5:$I$13*(1+$N$5)^($A50/4))&gt;0)*('2. The tape'!$C$5:$C$13*'2. The tape'!$D$5:$D$13*(1-'2. The tape'!$J$5:$J$13)^($A50/4)*(1+$N$5)^($A50/4)*((1-'3. Assumptions'!$B$13)/($N$6)-'2. The tape'!$H$5:$H$13/12-'3. Assumptions'!$B$16)-'2. The tape'!$C$5:$C$13*'2. The tape'!$I$5:$I$13*(1+$N$5)^($A50/4)))</f>
        <v>49802572.0581654</v>
      </c>
      <c r="P50" s="33" t="n">
        <f aca="false">'2. The tape'!$C$17*(1+MIN(MAX($P$5,'3. Assumptions'!$B$11),'3. Assumptions'!$B$10))^INT(($A50-1)/4)/4*(1-'3. Assumptions'!$B$13)</f>
        <v>2998091.25</v>
      </c>
      <c r="Q50" s="33" t="n">
        <f aca="false">(1-'3. Assumptions'!$B$15)*SUMPRODUCT((('2. The tape'!$C$5:$C$13*'2. The tape'!$D$5:$D$13*(1-'2. The tape'!$J$5:$J$13)^($A50/4)*(1+$P$5)^($A50/4)*((1-'3. Assumptions'!$B$13)/($P$6)-'2. The tape'!$H$5:$H$13/12-'3. Assumptions'!$B$16)-'2. The tape'!$C$5:$C$13*'2. The tape'!$I$5:$I$13*(1+$P$5)^($A50/4))&gt;0)*('2. The tape'!$C$5:$C$13*'2. The tape'!$D$5:$D$13*(1-'2. The tape'!$J$5:$J$13)^($A50/4)*(1+$P$5)^($A50/4)*((1-'3. Assumptions'!$B$13)/($P$6)-'2. The tape'!$H$5:$H$13/12-'3. Assumptions'!$B$16)-'2. The tape'!$C$5:$C$13*'2. The tape'!$I$5:$I$13*(1+$P$5)^($A50/4)))</f>
        <v>54478765.7735512</v>
      </c>
      <c r="R50" s="33" t="n">
        <f aca="false">'2. The tape'!$C$17*(1+MIN(MAX($R$5,'3. Assumptions'!$B$11),'3. Assumptions'!$B$10))^INT(($A50-1)/4)/4*(1-'3. Assumptions'!$B$13)</f>
        <v>2998091.25</v>
      </c>
      <c r="S50" s="33" t="n">
        <f aca="false">(1-'3. Assumptions'!$B$15)*SUMPRODUCT((('2. The tape'!$C$5:$C$13*'2. The tape'!$D$5:$D$13*(1-'2. The tape'!$J$5:$J$13)^($A50/4)*(1+$R$5)^($A50/4)*((1-'3. Assumptions'!$B$13)/($R$6)-'2. The tape'!$H$5:$H$13/12-'3. Assumptions'!$B$16)-'2. The tape'!$C$5:$C$13*'2. The tape'!$I$5:$I$13*(1+$R$5)^($A50/4))&gt;0)*('2. The tape'!$C$5:$C$13*'2. The tape'!$D$5:$D$13*(1-'2. The tape'!$J$5:$J$13)^($A50/4)*(1+$R$5)^($A50/4)*((1-'3. Assumptions'!$B$13)/($R$6)-'2. The tape'!$H$5:$H$13/12-'3. Assumptions'!$B$16)-'2. The tape'!$C$5:$C$13*'2. The tape'!$I$5:$I$13*(1+$R$5)^($A50/4)))</f>
        <v>51603744.2769754</v>
      </c>
      <c r="T50" s="33" t="n">
        <f aca="false">'2. The tape'!$C$17*(1+MIN(MAX($T$5,'3. Assumptions'!$B$11),'3. Assumptions'!$B$10))^INT(($A50-1)/4)/4*(1-'3. Assumptions'!$B$13)</f>
        <v>2998091.25</v>
      </c>
      <c r="U50" s="33" t="n">
        <f aca="false">(1-'3. Assumptions'!$B$15)*SUMPRODUCT((('2. The tape'!$C$5:$C$13*'2. The tape'!$D$5:$D$13*(1-'2. The tape'!$J$5:$J$13)^($A50/4)*(1+$T$5)^($A50/4)*((1-'3. Assumptions'!$B$13)/($T$6)-'2. The tape'!$H$5:$H$13/12-'3. Assumptions'!$B$16)-'2. The tape'!$C$5:$C$13*'2. The tape'!$I$5:$I$13*(1+$T$5)^($A50/4))&gt;0)*('2. The tape'!$C$5:$C$13*'2. The tape'!$D$5:$D$13*(1-'2. The tape'!$J$5:$J$13)^($A50/4)*(1+$T$5)^($A50/4)*((1-'3. Assumptions'!$B$13)/($T$6)-'2. The tape'!$H$5:$H$13/12-'3. Assumptions'!$B$16)-'2. The tape'!$C$5:$C$13*'2. The tape'!$I$5:$I$13*(1+$T$5)^($A50/4)))</f>
        <v>51527671.1997761</v>
      </c>
      <c r="V50" s="33" t="n">
        <f aca="false">'2. The tape'!$C$17*(1+MIN(MAX($V$5,'3. Assumptions'!$B$11),'3. Assumptions'!$B$10))^INT(($A50-1)/4)/4*(1-'3. Assumptions'!$B$13)</f>
        <v>2998091.25</v>
      </c>
      <c r="W50" s="33" t="n">
        <f aca="false">(1-'3. Assumptions'!$B$15)*SUMPRODUCT((('2. The tape'!$C$5:$C$13*'2. The tape'!$D$5:$D$13*(1-'2. The tape'!$J$5:$J$13)^($A50/4)*(1+$V$5)^($A50/4)*((1-'3. Assumptions'!$B$13)/($V$6)-'2. The tape'!$H$5:$H$13/12-'3. Assumptions'!$B$16)-'2. The tape'!$C$5:$C$13*'2. The tape'!$I$5:$I$13*(1+$V$5)^($A50/4))&gt;0)*('2. The tape'!$C$5:$C$13*'2. The tape'!$D$5:$D$13*(1-'2. The tape'!$J$5:$J$13)^($A50/4)*(1+$V$5)^($A50/4)*((1-'3. Assumptions'!$B$13)/($V$6)-'2. The tape'!$H$5:$H$13/12-'3. Assumptions'!$B$16)-'2. The tape'!$C$5:$C$13*'2. The tape'!$I$5:$I$13*(1+$V$5)^($A50/4)))</f>
        <v>51530725.8265684</v>
      </c>
      <c r="X50" s="33" t="n">
        <f aca="false">'2. The tape'!$C$17*(1+MIN(MAX($X$5,'3. Assumptions'!$B$11),'3. Assumptions'!$B$10))^INT(($A50-1)/4)/4*(1-'3. Assumptions'!$B$13)</f>
        <v>2998091.25</v>
      </c>
      <c r="Y50" s="33" t="n">
        <f aca="false">(1-'3. Assumptions'!$B$15)*SUMPRODUCT((('2. The tape'!$C$5:$C$13*'2. The tape'!$D$5:$D$13*(1-'2. The tape'!$J$5:$J$13)^($A50/4)*(1+$X$5)^($A50/4)*((1-'3. Assumptions'!$B$13)/($X$6)-'2. The tape'!$H$5:$H$13/12-'3. Assumptions'!$B$16)-'2. The tape'!$C$5:$C$13*'2. The tape'!$I$5:$I$13*(1+$X$5)^($A50/4))&gt;0)*('2. The tape'!$C$5:$C$13*'2. The tape'!$D$5:$D$13*(1-'2. The tape'!$J$5:$J$13)^($A50/4)*(1+$X$5)^($A50/4)*((1-'3. Assumptions'!$B$13)/($X$6)-'2. The tape'!$H$5:$H$13/12-'3. Assumptions'!$B$16)-'2. The tape'!$C$5:$C$13*'2. The tape'!$I$5:$I$13*(1+$X$5)^($A50/4)))</f>
        <v>51530722.614354</v>
      </c>
      <c r="Z50" s="33" t="n">
        <f aca="false">'2. The tape'!$C$17*(1+MIN(MAX($Z$5,'3. Assumptions'!$B$11),'3. Assumptions'!$B$10))^INT(($A50-1)/4)/4*(1-'3. Assumptions'!$B$13)</f>
        <v>2998091.25</v>
      </c>
      <c r="AA50" s="33" t="n">
        <f aca="false">(1-'3. Assumptions'!$B$15)*SUMPRODUCT((('2. The tape'!$C$5:$C$13*'2. The tape'!$D$5:$D$13*(1-'2. The tape'!$J$5:$J$13)^($A50/4)*(1+$Z$5)^($A50/4)*((1-'3. Assumptions'!$B$13)/($Z$6)-'2. The tape'!$H$5:$H$13/12-'3. Assumptions'!$B$16)-'2. The tape'!$C$5:$C$13*'2. The tape'!$I$5:$I$13*(1+$Z$5)^($A50/4))&gt;0)*('2. The tape'!$C$5:$C$13*'2. The tape'!$D$5:$D$13*(1-'2. The tape'!$J$5:$J$13)^($A50/4)*(1+$Z$5)^($A50/4)*((1-'3. Assumptions'!$B$13)/($Z$6)-'2. The tape'!$H$5:$H$13/12-'3. Assumptions'!$B$16)-'2. The tape'!$C$5:$C$13*'2. The tape'!$I$5:$I$13*(1+$Z$5)^($A50/4)))</f>
        <v>51530722.6142127</v>
      </c>
      <c r="AB50" s="33" t="n">
        <f aca="false">'2. The tape'!$C$17*(1+MIN(MAX($AB$5,'3. Assumptions'!$B$11),'3. Assumptions'!$B$10))^INT(($A50-1)/4)/4*(1-'3. Assumptions'!$B$13)</f>
        <v>2998091.25</v>
      </c>
      <c r="AC50" s="33" t="n">
        <f aca="false">(1-'3. Assumptions'!$B$15)*SUMPRODUCT((('2. The tape'!$C$5:$C$13*'2. The tape'!$D$5:$D$13*(1-'2. The tape'!$J$5:$J$13)^($A50/4)*(1+$AB$5)^($A50/4)*((1-'3. Assumptions'!$B$13)/($AB$6)-'2. The tape'!$H$5:$H$13/12-'3. Assumptions'!$B$16)-'2. The tape'!$C$5:$C$13*'2. The tape'!$I$5:$I$13*(1+$AB$5)^($A50/4))&gt;0)*('2. The tape'!$C$5:$C$13*'2. The tape'!$D$5:$D$13*(1-'2. The tape'!$J$5:$J$13)^($A50/4)*(1+$AB$5)^($A50/4)*((1-'3. Assumptions'!$B$13)/($AB$6)-'2. The tape'!$H$5:$H$13/12-'3. Assumptions'!$B$16)-'2. The tape'!$C$5:$C$13*'2. The tape'!$I$5:$I$13*(1+$AB$5)^($A50/4)))</f>
        <v>51530722.6142127</v>
      </c>
      <c r="AD50" s="33" t="n">
        <f aca="false">'2. The tape'!$C$17*(1+MIN(MAX($AD$5,'3. Assumptions'!$B$11),'3. Assumptions'!$B$10))^INT(($A50-1)/4)/4*(1-'3. Assumptions'!$B$13)</f>
        <v>2998091.25</v>
      </c>
      <c r="AE50" s="33" t="n">
        <f aca="false">(1-'3. Assumptions'!$B$15)*SUMPRODUCT((('2. The tape'!$C$5:$C$13*'2. The tape'!$D$5:$D$13*(1-'2. The tape'!$J$5:$J$13)^($A50/4)*(1+$AD$5)^($A50/4)*((1-'3. Assumptions'!$B$13)/($AD$6)-'2. The tape'!$H$5:$H$13/12-'3. Assumptions'!$B$16)-'2. The tape'!$C$5:$C$13*'2. The tape'!$I$5:$I$13*(1+$AD$5)^($A50/4))&gt;0)*('2. The tape'!$C$5:$C$13*'2. The tape'!$D$5:$D$13*(1-'2. The tape'!$J$5:$J$13)^($A50/4)*(1+$AD$5)^($A50/4)*((1-'3. Assumptions'!$B$13)/($AD$6)-'2. The tape'!$H$5:$H$13/12-'3. Assumptions'!$B$16)-'2. The tape'!$C$5:$C$13*'2. The tape'!$I$5:$I$13*(1+$AD$5)^($A50/4)))</f>
        <v>51530722.6142127</v>
      </c>
      <c r="AF50" s="33" t="n">
        <f aca="false">'2. The tape'!$C$17*(1+MIN(MAX($AF$5,'3. Assumptions'!$B$11),'3. Assumptions'!$B$10))^INT(($A50-1)/4)/4*(1-'3. Assumptions'!$B$13)</f>
        <v>2998091.25</v>
      </c>
      <c r="AG50" s="33" t="n">
        <f aca="false">(1-'3. Assumptions'!$B$15)*SUMPRODUCT((('2. The tape'!$C$5:$C$13*'2. The tape'!$D$5:$D$13*(1-'2. The tape'!$J$5:$J$13)^($A50/4)*(1+$AF$5)^($A50/4)*((1-'3. Assumptions'!$B$13)/($AF$6)-'2. The tape'!$H$5:$H$13/12-'3. Assumptions'!$B$16)-'2. The tape'!$C$5:$C$13*'2. The tape'!$I$5:$I$13*(1+$AF$5)^($A50/4))&gt;0)*('2. The tape'!$C$5:$C$13*'2. The tape'!$D$5:$D$13*(1-'2. The tape'!$J$5:$J$13)^($A50/4)*(1+$AF$5)^($A50/4)*((1-'3. Assumptions'!$B$13)/($AF$6)-'2. The tape'!$H$5:$H$13/12-'3. Assumptions'!$B$16)-'2. The tape'!$C$5:$C$13*'2. The tape'!$I$5:$I$13*(1+$AF$5)^($A50/4)))</f>
        <v>51530722.6142127</v>
      </c>
      <c r="AH50" s="33" t="n">
        <f aca="false">'2. The tape'!$C$17*(1+MIN(MAX($AH$5,'3. Assumptions'!$B$11),'3. Assumptions'!$B$10))^INT(($A50-1)/4)/4*(1-'3. Assumptions'!$B$13)</f>
        <v>3568223.2057529</v>
      </c>
      <c r="AI50" s="33" t="n">
        <f aca="false">(1-'3. Assumptions'!$B$15)*SUMPRODUCT((('2. The tape'!$C$5:$C$13*'2. The tape'!$D$5:$D$13*(1-'2. The tape'!$J$5:$J$13)^($A50/4)*(1+$AH$5)^($A50/4)*((1-'3. Assumptions'!$B$13)/($AH$6)-'2. The tape'!$H$5:$H$13/12-'3. Assumptions'!$B$16)-'2. The tape'!$C$5:$C$13*'2. The tape'!$I$5:$I$13*(1+$AH$5)^($A50/4))&gt;0)*('2. The tape'!$C$5:$C$13*'2. The tape'!$D$5:$D$13*(1-'2. The tape'!$J$5:$J$13)^($A50/4)*(1+$AH$5)^($A50/4)*((1-'3. Assumptions'!$B$13)/($AH$6)-'2. The tape'!$H$5:$H$13/12-'3. Assumptions'!$B$16)-'2. The tape'!$C$5:$C$13*'2. The tape'!$I$5:$I$13*(1+$AH$5)^($A50/4)))</f>
        <v>155440608.278204</v>
      </c>
      <c r="AJ50" s="33" t="n">
        <f aca="false">'2. The tape'!$C$17*(1+MIN(MAX($AJ$5,'3. Assumptions'!$B$11),'3. Assumptions'!$B$10))^INT(($A50-1)/4)/4*(1-'3. Assumptions'!$B$13)</f>
        <v>3568223.2057529</v>
      </c>
      <c r="AK50" s="33" t="n">
        <f aca="false">(1-'3. Assumptions'!$B$15)*SUMPRODUCT((('2. The tape'!$C$5:$C$13*'2. The tape'!$D$5:$D$13*(1-'2. The tape'!$J$5:$J$13)^($A50/4)*(1+$AJ$5)^($A50/4)*((1-'3. Assumptions'!$B$13)/($AJ$6)-'2. The tape'!$H$5:$H$13/12-'3. Assumptions'!$B$16)-'2. The tape'!$C$5:$C$13*'2. The tape'!$I$5:$I$13*(1+$AJ$5)^($A50/4))&gt;0)*('2. The tape'!$C$5:$C$13*'2. The tape'!$D$5:$D$13*(1-'2. The tape'!$J$5:$J$13)^($A50/4)*(1+$AJ$5)^($A50/4)*((1-'3. Assumptions'!$B$13)/($AJ$6)-'2. The tape'!$H$5:$H$13/12-'3. Assumptions'!$B$16)-'2. The tape'!$C$5:$C$13*'2. The tape'!$I$5:$I$13*(1+$AJ$5)^($A50/4)))</f>
        <v>112403678.01387</v>
      </c>
      <c r="AL50" s="33" t="n">
        <f aca="false">'2. The tape'!$C$17*(1+MIN(MAX($AL$5,'3. Assumptions'!$B$11),'3. Assumptions'!$B$10))^INT(($A50-1)/4)/4*(1-'3. Assumptions'!$B$13)</f>
        <v>3568223.2057529</v>
      </c>
      <c r="AM50" s="33" t="n">
        <f aca="false">(1-'3. Assumptions'!$B$15)*SUMPRODUCT((('2. The tape'!$C$5:$C$13*'2. The tape'!$D$5:$D$13*(1-'2. The tape'!$J$5:$J$13)^($A50/4)*(1+$AL$5)^($A50/4)*((1-'3. Assumptions'!$B$13)/($AL$6)-'2. The tape'!$H$5:$H$13/12-'3. Assumptions'!$B$16)-'2. The tape'!$C$5:$C$13*'2. The tape'!$I$5:$I$13*(1+$AL$5)^($A50/4))&gt;0)*('2. The tape'!$C$5:$C$13*'2. The tape'!$D$5:$D$13*(1-'2. The tape'!$J$5:$J$13)^($A50/4)*(1+$AL$5)^($A50/4)*((1-'3. Assumptions'!$B$13)/($AL$6)-'2. The tape'!$H$5:$H$13/12-'3. Assumptions'!$B$16)-'2. The tape'!$C$5:$C$13*'2. The tape'!$I$5:$I$13*(1+$AL$5)^($A50/4)))</f>
        <v>129095269.52288</v>
      </c>
      <c r="AN50" s="33" t="n">
        <f aca="false">'2. The tape'!$C$17*(1+MIN(MAX($AN$5,'3. Assumptions'!$B$11),'3. Assumptions'!$B$10))^INT(($A50-1)/4)/4*(1-'3. Assumptions'!$B$13)</f>
        <v>3568223.2057529</v>
      </c>
      <c r="AO50" s="33" t="n">
        <f aca="false">(1-'3. Assumptions'!$B$15)*SUMPRODUCT((('2. The tape'!$C$5:$C$13*'2. The tape'!$D$5:$D$13*(1-'2. The tape'!$J$5:$J$13)^($A50/4)*(1+$AN$5)^($A50/4)*((1-'3. Assumptions'!$B$13)/($AN$6)-'2. The tape'!$H$5:$H$13/12-'3. Assumptions'!$B$16)-'2. The tape'!$C$5:$C$13*'2. The tape'!$I$5:$I$13*(1+$AN$5)^($A50/4))&gt;0)*('2. The tape'!$C$5:$C$13*'2. The tape'!$D$5:$D$13*(1-'2. The tape'!$J$5:$J$13)^($A50/4)*(1+$AN$5)^($A50/4)*((1-'3. Assumptions'!$B$13)/($AN$6)-'2. The tape'!$H$5:$H$13/12-'3. Assumptions'!$B$16)-'2. The tape'!$C$5:$C$13*'2. The tape'!$I$5:$I$13*(1+$AN$5)^($A50/4)))</f>
        <v>132220448.038109</v>
      </c>
      <c r="AP50" s="33" t="n">
        <f aca="false">'2. The tape'!$C$17*(1+MIN(MAX($AP$5,'3. Assumptions'!$B$11),'3. Assumptions'!$B$10))^INT(($A50-1)/4)/4*(1-'3. Assumptions'!$B$13)</f>
        <v>3568223.2057529</v>
      </c>
      <c r="AQ50" s="33" t="n">
        <f aca="false">(1-'3. Assumptions'!$B$15)*SUMPRODUCT((('2. The tape'!$C$5:$C$13*'2. The tape'!$D$5:$D$13*(1-'2. The tape'!$J$5:$J$13)^($A50/4)*(1+$AP$5)^($A50/4)*((1-'3. Assumptions'!$B$13)/($AP$6)-'2. The tape'!$H$5:$H$13/12-'3. Assumptions'!$B$16)-'2. The tape'!$C$5:$C$13*'2. The tape'!$I$5:$I$13*(1+$AP$5)^($A50/4))&gt;0)*('2. The tape'!$C$5:$C$13*'2. The tape'!$D$5:$D$13*(1-'2. The tape'!$J$5:$J$13)^($A50/4)*(1+$AP$5)^($A50/4)*((1-'3. Assumptions'!$B$13)/($AP$6)-'2. The tape'!$H$5:$H$13/12-'3. Assumptions'!$B$16)-'2. The tape'!$C$5:$C$13*'2. The tape'!$I$5:$I$13*(1+$AP$5)^($A50/4)))</f>
        <v>131834651.163388</v>
      </c>
      <c r="AR50" s="33" t="n">
        <f aca="false">'2. The tape'!$C$17*(1+MIN(MAX($AR$5,'3. Assumptions'!$B$11),'3. Assumptions'!$B$10))^INT(($A50-1)/4)/4*(1-'3. Assumptions'!$B$13)</f>
        <v>3568223.2057529</v>
      </c>
      <c r="AS50" s="33" t="n">
        <f aca="false">(1-'3. Assumptions'!$B$15)*SUMPRODUCT((('2. The tape'!$C$5:$C$13*'2. The tape'!$D$5:$D$13*(1-'2. The tape'!$J$5:$J$13)^($A50/4)*(1+$AR$5)^($A50/4)*((1-'3. Assumptions'!$B$13)/($AR$6)-'2. The tape'!$H$5:$H$13/12-'3. Assumptions'!$B$16)-'2. The tape'!$C$5:$C$13*'2. The tape'!$I$5:$I$13*(1+$AR$5)^($A50/4))&gt;0)*('2. The tape'!$C$5:$C$13*'2. The tape'!$D$5:$D$13*(1-'2. The tape'!$J$5:$J$13)^($A50/4)*(1+$AR$5)^($A50/4)*((1-'3. Assumptions'!$B$13)/($AR$6)-'2. The tape'!$H$5:$H$13/12-'3. Assumptions'!$B$16)-'2. The tape'!$C$5:$C$13*'2. The tape'!$I$5:$I$13*(1+$AR$5)^($A50/4)))</f>
        <v>131841124.282351</v>
      </c>
      <c r="AT50" s="33" t="n">
        <f aca="false">'2. The tape'!$C$17*(1+MIN(MAX($AT$5,'3. Assumptions'!$B$11),'3. Assumptions'!$B$10))^INT(($A50-1)/4)/4*(1-'3. Assumptions'!$B$13)</f>
        <v>3568223.2057529</v>
      </c>
      <c r="AU50" s="33" t="n">
        <f aca="false">(1-'3. Assumptions'!$B$15)*SUMPRODUCT((('2. The tape'!$C$5:$C$13*'2. The tape'!$D$5:$D$13*(1-'2. The tape'!$J$5:$J$13)^($A50/4)*(1+$AT$5)^($A50/4)*((1-'3. Assumptions'!$B$13)/($AT$6)-'2. The tape'!$H$5:$H$13/12-'3. Assumptions'!$B$16)-'2. The tape'!$C$5:$C$13*'2. The tape'!$I$5:$I$13*(1+$AT$5)^($A50/4))&gt;0)*('2. The tape'!$C$5:$C$13*'2. The tape'!$D$5:$D$13*(1-'2. The tape'!$J$5:$J$13)^($A50/4)*(1+$AT$5)^($A50/4)*((1-'3. Assumptions'!$B$13)/($AT$6)-'2. The tape'!$H$5:$H$13/12-'3. Assumptions'!$B$16)-'2. The tape'!$C$5:$C$13*'2. The tape'!$I$5:$I$13*(1+$AT$5)^($A50/4)))</f>
        <v>131841139.356616</v>
      </c>
      <c r="AV50" s="33" t="n">
        <f aca="false">'2. The tape'!$C$17*(1+MIN(MAX($AV$5,'3. Assumptions'!$B$11),'3. Assumptions'!$B$10))^INT(($A50-1)/4)/4*(1-'3. Assumptions'!$B$13)</f>
        <v>3568223.2057529</v>
      </c>
      <c r="AW50" s="33" t="n">
        <f aca="false">(1-'3. Assumptions'!$B$15)*SUMPRODUCT((('2. The tape'!$C$5:$C$13*'2. The tape'!$D$5:$D$13*(1-'2. The tape'!$J$5:$J$13)^($A50/4)*(1+$AV$5)^($A50/4)*((1-'3. Assumptions'!$B$13)/($AV$6)-'2. The tape'!$H$5:$H$13/12-'3. Assumptions'!$B$16)-'2. The tape'!$C$5:$C$13*'2. The tape'!$I$5:$I$13*(1+$AV$5)^($A50/4))&gt;0)*('2. The tape'!$C$5:$C$13*'2. The tape'!$D$5:$D$13*(1-'2. The tape'!$J$5:$J$13)^($A50/4)*(1+$AV$5)^($A50/4)*((1-'3. Assumptions'!$B$13)/($AV$6)-'2. The tape'!$H$5:$H$13/12-'3. Assumptions'!$B$16)-'2. The tape'!$C$5:$C$13*'2. The tape'!$I$5:$I$13*(1+$AV$5)^($A50/4)))</f>
        <v>131841139.356016</v>
      </c>
      <c r="AX50" s="33" t="n">
        <f aca="false">'2. The tape'!$C$17*(1+MIN(MAX($AX$5,'3. Assumptions'!$B$11),'3. Assumptions'!$B$10))^INT(($A50-1)/4)/4*(1-'3. Assumptions'!$B$13)</f>
        <v>3568223.2057529</v>
      </c>
      <c r="AY50" s="33" t="n">
        <f aca="false">(1-'3. Assumptions'!$B$15)*SUMPRODUCT((('2. The tape'!$C$5:$C$13*'2. The tape'!$D$5:$D$13*(1-'2. The tape'!$J$5:$J$13)^($A50/4)*(1+$AX$5)^($A50/4)*((1-'3. Assumptions'!$B$13)/($AX$6)-'2. The tape'!$H$5:$H$13/12-'3. Assumptions'!$B$16)-'2. The tape'!$C$5:$C$13*'2. The tape'!$I$5:$I$13*(1+$AX$5)^($A50/4))&gt;0)*('2. The tape'!$C$5:$C$13*'2. The tape'!$D$5:$D$13*(1-'2. The tape'!$J$5:$J$13)^($A50/4)*(1+$AX$5)^($A50/4)*((1-'3. Assumptions'!$B$13)/($AX$6)-'2. The tape'!$H$5:$H$13/12-'3. Assumptions'!$B$16)-'2. The tape'!$C$5:$C$13*'2. The tape'!$I$5:$I$13*(1+$AX$5)^($A50/4)))</f>
        <v>131841139.356016</v>
      </c>
      <c r="AZ50" s="33" t="n">
        <f aca="false">'2. The tape'!$C$17*(1+MIN(MAX($AZ$5,'3. Assumptions'!$B$11),'3. Assumptions'!$B$10))^INT(($A50-1)/4)/4*(1-'3. Assumptions'!$B$13)</f>
        <v>3568223.2057529</v>
      </c>
      <c r="BA50" s="33" t="n">
        <f aca="false">(1-'3. Assumptions'!$B$15)*SUMPRODUCT((('2. The tape'!$C$5:$C$13*'2. The tape'!$D$5:$D$13*(1-'2. The tape'!$J$5:$J$13)^($A50/4)*(1+$AZ$5)^($A50/4)*((1-'3. Assumptions'!$B$13)/($AZ$6)-'2. The tape'!$H$5:$H$13/12-'3. Assumptions'!$B$16)-'2. The tape'!$C$5:$C$13*'2. The tape'!$I$5:$I$13*(1+$AZ$5)^($A50/4))&gt;0)*('2. The tape'!$C$5:$C$13*'2. The tape'!$D$5:$D$13*(1-'2. The tape'!$J$5:$J$13)^($A50/4)*(1+$AZ$5)^($A50/4)*((1-'3. Assumptions'!$B$13)/($AZ$6)-'2. The tape'!$H$5:$H$13/12-'3. Assumptions'!$B$16)-'2. The tape'!$C$5:$C$13*'2. The tape'!$I$5:$I$13*(1+$AZ$5)^($A50/4)))</f>
        <v>131841139.356016</v>
      </c>
    </row>
    <row r="51" customFormat="false" ht="15" hidden="false" customHeight="false" outlineLevel="0" collapsed="false">
      <c r="A51" s="20" t="n">
        <v>36</v>
      </c>
      <c r="B51" s="33" t="n">
        <f aca="false">'2. The tape'!$C$17*(1+MIN(MAX($B$5,'3. Assumptions'!$B$11),'3. Assumptions'!$B$10))^INT(($A51-1)/4)/4*(1-'3. Assumptions'!$B$13)</f>
        <v>3568223.2057529</v>
      </c>
      <c r="C51" s="33" t="n">
        <f aca="false">(1-'3. Assumptions'!$B$15)*SUMPRODUCT((('2. The tape'!$C$5:$C$13*'2. The tape'!$D$5:$D$13*(1-'2. The tape'!$J$5:$J$13)^($A51/4)*(1+$B$5)^($A51/4)*((1-'3. Assumptions'!$B$13)/($B$6)-'2. The tape'!$H$5:$H$13/12-'3. Assumptions'!$B$16)-'2. The tape'!$C$5:$C$13*'2. The tape'!$I$5:$I$13*(1+$B$5)^($A51/4))&gt;0)*('2. The tape'!$C$5:$C$13*'2. The tape'!$D$5:$D$13*(1-'2. The tape'!$J$5:$J$13)^($A51/4)*(1+$B$5)^($A51/4)*((1-'3. Assumptions'!$B$13)/($B$6)-'2. The tape'!$H$5:$H$13/12-'3. Assumptions'!$B$16)-'2. The tape'!$C$5:$C$13*'2. The tape'!$I$5:$I$13*(1+$B$5)^($A51/4)))</f>
        <v>78552108.7428519</v>
      </c>
      <c r="D51" s="33" t="n">
        <f aca="false">'2. The tape'!$C$17*(1+MIN(MAX($D$5,'3. Assumptions'!$B$11),'3. Assumptions'!$B$10))^INT(($A51-1)/4)/4*(1-'3. Assumptions'!$B$13)</f>
        <v>3797892.29677</v>
      </c>
      <c r="E51" s="33" t="n">
        <f aca="false">(1-'3. Assumptions'!$B$15)*SUMPRODUCT((('2. The tape'!$C$5:$C$13*'2. The tape'!$D$5:$D$13*(1-'2. The tape'!$J$5:$J$13)^($A51/4)*(1+$D$5)^($A51/4)*((1-'3. Assumptions'!$B$13)/($D$6)-'2. The tape'!$H$5:$H$13/12-'3. Assumptions'!$B$16)-'2. The tape'!$C$5:$C$13*'2. The tape'!$I$5:$I$13*(1+$D$5)^($A51/4))&gt;0)*('2. The tape'!$C$5:$C$13*'2. The tape'!$D$5:$D$13*(1-'2. The tape'!$J$5:$J$13)^($A51/4)*(1+$D$5)^($A51/4)*((1-'3. Assumptions'!$B$13)/($D$6)-'2. The tape'!$H$5:$H$13/12-'3. Assumptions'!$B$16)-'2. The tape'!$C$5:$C$13*'2. The tape'!$I$5:$I$13*(1+$D$5)^($A51/4)))</f>
        <v>88016264.7963186</v>
      </c>
      <c r="F51" s="33" t="n">
        <f aca="false">'2. The tape'!$C$17*(1+MIN(MAX($F$5,'3. Assumptions'!$B$11),'3. Assumptions'!$B$10))^INT(($A51-1)/4)/4*(1-'3. Assumptions'!$B$13)</f>
        <v>3246503.21414737</v>
      </c>
      <c r="G51" s="33" t="n">
        <f aca="false">(1-'3. Assumptions'!$B$15)*SUMPRODUCT((('2. The tape'!$C$5:$C$13*'2. The tape'!$D$5:$D$13*(1-'2. The tape'!$J$5:$J$13)^($A51/4)*(1+$F$5)^($A51/4)*((1-'3. Assumptions'!$B$13)/($F$6)-'2. The tape'!$H$5:$H$13/12-'3. Assumptions'!$B$16)-'2. The tape'!$C$5:$C$13*'2. The tape'!$I$5:$I$13*(1+$F$5)^($A51/4))&gt;0)*('2. The tape'!$C$5:$C$13*'2. The tape'!$D$5:$D$13*(1-'2. The tape'!$J$5:$J$13)^($A51/4)*(1+$F$5)^($A51/4)*((1-'3. Assumptions'!$B$13)/($F$6)-'2. The tape'!$H$5:$H$13/12-'3. Assumptions'!$B$16)-'2. The tape'!$C$5:$C$13*'2. The tape'!$I$5:$I$13*(1+$F$5)^($A51/4)))</f>
        <v>70630478.7622989</v>
      </c>
      <c r="H51" s="33" t="n">
        <f aca="false">'2. The tape'!$C$17*(1+MIN(MAX($H$5,'3. Assumptions'!$B$11),'3. Assumptions'!$B$10))^INT(($A51-1)/4)/4*(1-'3. Assumptions'!$B$13)</f>
        <v>3797892.29677</v>
      </c>
      <c r="I51" s="33" t="n">
        <f aca="false">(1-'3. Assumptions'!$B$15)*SUMPRODUCT((('2. The tape'!$C$5:$C$13*'2. The tape'!$D$5:$D$13*(1-'2. The tape'!$J$5:$J$13)^($A51/4)*(1+$H$5)^($A51/4)*((1-'3. Assumptions'!$B$13)/($H$6)-'2. The tape'!$H$5:$H$13/12-'3. Assumptions'!$B$16)-'2. The tape'!$C$5:$C$13*'2. The tape'!$I$5:$I$13*(1+$H$5)^($A51/4))&gt;0)*('2. The tape'!$C$5:$C$13*'2. The tape'!$D$5:$D$13*(1-'2. The tape'!$J$5:$J$13)^($A51/4)*(1+$H$5)^($A51/4)*((1-'3. Assumptions'!$B$13)/($H$6)-'2. The tape'!$H$5:$H$13/12-'3. Assumptions'!$B$16)-'2. The tape'!$C$5:$C$13*'2. The tape'!$I$5:$I$13*(1+$H$5)^($A51/4)))</f>
        <v>88016264.7963186</v>
      </c>
      <c r="J51" s="33" t="n">
        <f aca="false">'2. The tape'!$C$17*(1+MIN(MAX($J$5,'3. Assumptions'!$B$11),'3. Assumptions'!$B$10))^INT(($A51-1)/4)/4*(1-'3. Assumptions'!$B$13)</f>
        <v>3568223.2057529</v>
      </c>
      <c r="K51" s="33" t="n">
        <f aca="false">(1-'3. Assumptions'!$B$15)*SUMPRODUCT((('2. The tape'!$C$5:$C$13*'2. The tape'!$D$5:$D$13*(1-'2. The tape'!$J$5:$J$13)^($A51/4)*(1+$J$5)^($A51/4)*((1-'3. Assumptions'!$B$13)/($J$6)-'2. The tape'!$H$5:$H$13/12-'3. Assumptions'!$B$16)-'2. The tape'!$C$5:$C$13*'2. The tape'!$I$5:$I$13*(1+$J$5)^($A51/4))&gt;0)*('2. The tape'!$C$5:$C$13*'2. The tape'!$D$5:$D$13*(1-'2. The tape'!$J$5:$J$13)^($A51/4)*(1+$J$5)^($A51/4)*((1-'3. Assumptions'!$B$13)/($J$6)-'2. The tape'!$H$5:$H$13/12-'3. Assumptions'!$B$16)-'2. The tape'!$C$5:$C$13*'2. The tape'!$I$5:$I$13*(1+$J$5)^($A51/4)))</f>
        <v>64488861.3645253</v>
      </c>
      <c r="L51" s="33" t="n">
        <f aca="false">'2. The tape'!$C$17*(1+MIN(MAX($L$5,'3. Assumptions'!$B$11),'3. Assumptions'!$B$10))^INT(($A51-1)/4)/4*(1-'3. Assumptions'!$B$13)</f>
        <v>3797892.29677</v>
      </c>
      <c r="M51" s="33" t="n">
        <f aca="false">(1-'3. Assumptions'!$B$15)*SUMPRODUCT((('2. The tape'!$C$5:$C$13*'2. The tape'!$D$5:$D$13*(1-'2. The tape'!$J$5:$J$13)^($A51/4)*(1+$L$5)^($A51/4)*((1-'3. Assumptions'!$B$13)/($L$6)-'2. The tape'!$H$5:$H$13/12-'3. Assumptions'!$B$16)-'2. The tape'!$C$5:$C$13*'2. The tape'!$I$5:$I$13*(1+$L$5)^($A51/4))&gt;0)*('2. The tape'!$C$5:$C$13*'2. The tape'!$D$5:$D$13*(1-'2. The tape'!$J$5:$J$13)^($A51/4)*(1+$L$5)^($A51/4)*((1-'3. Assumptions'!$B$13)/($L$6)-'2. The tape'!$H$5:$H$13/12-'3. Assumptions'!$B$16)-'2. The tape'!$C$5:$C$13*'2. The tape'!$I$5:$I$13*(1+$L$5)^($A51/4)))</f>
        <v>684841321.77361</v>
      </c>
      <c r="N51" s="33" t="n">
        <f aca="false">'2. The tape'!$C$17*(1+MIN(MAX($N$5,'3. Assumptions'!$B$11),'3. Assumptions'!$B$10))^INT(($A51-1)/4)/4*(1-'3. Assumptions'!$B$13)</f>
        <v>2998091.25</v>
      </c>
      <c r="O51" s="33" t="n">
        <f aca="false">(1-'3. Assumptions'!$B$15)*SUMPRODUCT((('2. The tape'!$C$5:$C$13*'2. The tape'!$D$5:$D$13*(1-'2. The tape'!$J$5:$J$13)^($A51/4)*(1+$N$5)^($A51/4)*((1-'3. Assumptions'!$B$13)/($N$6)-'2. The tape'!$H$5:$H$13/12-'3. Assumptions'!$B$16)-'2. The tape'!$C$5:$C$13*'2. The tape'!$I$5:$I$13*(1+$N$5)^($A51/4))&gt;0)*('2. The tape'!$C$5:$C$13*'2. The tape'!$D$5:$D$13*(1-'2. The tape'!$J$5:$J$13)^($A51/4)*(1+$N$5)^($A51/4)*((1-'3. Assumptions'!$B$13)/($N$6)-'2. The tape'!$H$5:$H$13/12-'3. Assumptions'!$B$16)-'2. The tape'!$C$5:$C$13*'2. The tape'!$I$5:$I$13*(1+$N$5)^($A51/4)))</f>
        <v>49095919.0763812</v>
      </c>
      <c r="P51" s="33" t="n">
        <f aca="false">'2. The tape'!$C$17*(1+MIN(MAX($P$5,'3. Assumptions'!$B$11),'3. Assumptions'!$B$10))^INT(($A51-1)/4)/4*(1-'3. Assumptions'!$B$13)</f>
        <v>2998091.25</v>
      </c>
      <c r="Q51" s="33" t="n">
        <f aca="false">(1-'3. Assumptions'!$B$15)*SUMPRODUCT((('2. The tape'!$C$5:$C$13*'2. The tape'!$D$5:$D$13*(1-'2. The tape'!$J$5:$J$13)^($A51/4)*(1+$P$5)^($A51/4)*((1-'3. Assumptions'!$B$13)/($P$6)-'2. The tape'!$H$5:$H$13/12-'3. Assumptions'!$B$16)-'2. The tape'!$C$5:$C$13*'2. The tape'!$I$5:$I$13*(1+$P$5)^($A51/4))&gt;0)*('2. The tape'!$C$5:$C$13*'2. The tape'!$D$5:$D$13*(1-'2. The tape'!$J$5:$J$13)^($A51/4)*(1+$P$5)^($A51/4)*((1-'3. Assumptions'!$B$13)/($P$6)-'2. The tape'!$H$5:$H$13/12-'3. Assumptions'!$B$16)-'2. The tape'!$C$5:$C$13*'2. The tape'!$I$5:$I$13*(1+$P$5)^($A51/4)))</f>
        <v>53843646.867176</v>
      </c>
      <c r="R51" s="33" t="n">
        <f aca="false">'2. The tape'!$C$17*(1+MIN(MAX($R$5,'3. Assumptions'!$B$11),'3. Assumptions'!$B$10))^INT(($A51-1)/4)/4*(1-'3. Assumptions'!$B$13)</f>
        <v>2998091.25</v>
      </c>
      <c r="S51" s="33" t="n">
        <f aca="false">(1-'3. Assumptions'!$B$15)*SUMPRODUCT((('2. The tape'!$C$5:$C$13*'2. The tape'!$D$5:$D$13*(1-'2. The tape'!$J$5:$J$13)^($A51/4)*(1+$R$5)^($A51/4)*((1-'3. Assumptions'!$B$13)/($R$6)-'2. The tape'!$H$5:$H$13/12-'3. Assumptions'!$B$16)-'2. The tape'!$C$5:$C$13*'2. The tape'!$I$5:$I$13*(1+$R$5)^($A51/4))&gt;0)*('2. The tape'!$C$5:$C$13*'2. The tape'!$D$5:$D$13*(1-'2. The tape'!$J$5:$J$13)^($A51/4)*(1+$R$5)^($A51/4)*((1-'3. Assumptions'!$B$13)/($R$6)-'2. The tape'!$H$5:$H$13/12-'3. Assumptions'!$B$16)-'2. The tape'!$C$5:$C$13*'2. The tape'!$I$5:$I$13*(1+$R$5)^($A51/4)))</f>
        <v>50923198.9153941</v>
      </c>
      <c r="T51" s="33" t="n">
        <f aca="false">'2. The tape'!$C$17*(1+MIN(MAX($T$5,'3. Assumptions'!$B$11),'3. Assumptions'!$B$10))^INT(($A51-1)/4)/4*(1-'3. Assumptions'!$B$13)</f>
        <v>2998091.25</v>
      </c>
      <c r="U51" s="33" t="n">
        <f aca="false">(1-'3. Assumptions'!$B$15)*SUMPRODUCT((('2. The tape'!$C$5:$C$13*'2. The tape'!$D$5:$D$13*(1-'2. The tape'!$J$5:$J$13)^($A51/4)*(1+$T$5)^($A51/4)*((1-'3. Assumptions'!$B$13)/($T$6)-'2. The tape'!$H$5:$H$13/12-'3. Assumptions'!$B$16)-'2. The tape'!$C$5:$C$13*'2. The tape'!$I$5:$I$13*(1+$T$5)^($A51/4))&gt;0)*('2. The tape'!$C$5:$C$13*'2. The tape'!$D$5:$D$13*(1-'2. The tape'!$J$5:$J$13)^($A51/4)*(1+$T$5)^($A51/4)*((1-'3. Assumptions'!$B$13)/($T$6)-'2. The tape'!$H$5:$H$13/12-'3. Assumptions'!$B$16)-'2. The tape'!$C$5:$C$13*'2. The tape'!$I$5:$I$13*(1+$T$5)^($A51/4)))</f>
        <v>50845985.8573687</v>
      </c>
      <c r="V51" s="33" t="n">
        <f aca="false">'2. The tape'!$C$17*(1+MIN(MAX($V$5,'3. Assumptions'!$B$11),'3. Assumptions'!$B$10))^INT(($A51-1)/4)/4*(1-'3. Assumptions'!$B$13)</f>
        <v>2998091.25</v>
      </c>
      <c r="W51" s="33" t="n">
        <f aca="false">(1-'3. Assumptions'!$B$15)*SUMPRODUCT((('2. The tape'!$C$5:$C$13*'2. The tape'!$D$5:$D$13*(1-'2. The tape'!$J$5:$J$13)^($A51/4)*(1+$V$5)^($A51/4)*((1-'3. Assumptions'!$B$13)/($V$6)-'2. The tape'!$H$5:$H$13/12-'3. Assumptions'!$B$16)-'2. The tape'!$C$5:$C$13*'2. The tape'!$I$5:$I$13*(1+$V$5)^($A51/4))&gt;0)*('2. The tape'!$C$5:$C$13*'2. The tape'!$D$5:$D$13*(1-'2. The tape'!$J$5:$J$13)^($A51/4)*(1+$V$5)^($A51/4)*((1-'3. Assumptions'!$B$13)/($V$6)-'2. The tape'!$H$5:$H$13/12-'3. Assumptions'!$B$16)-'2. The tape'!$C$5:$C$13*'2. The tape'!$I$5:$I$13*(1+$V$5)^($A51/4)))</f>
        <v>50849086.1960463</v>
      </c>
      <c r="X51" s="33" t="n">
        <f aca="false">'2. The tape'!$C$17*(1+MIN(MAX($X$5,'3. Assumptions'!$B$11),'3. Assumptions'!$B$10))^INT(($A51-1)/4)/4*(1-'3. Assumptions'!$B$13)</f>
        <v>2998091.25</v>
      </c>
      <c r="Y51" s="33" t="n">
        <f aca="false">(1-'3. Assumptions'!$B$15)*SUMPRODUCT((('2. The tape'!$C$5:$C$13*'2. The tape'!$D$5:$D$13*(1-'2. The tape'!$J$5:$J$13)^($A51/4)*(1+$X$5)^($A51/4)*((1-'3. Assumptions'!$B$13)/($X$6)-'2. The tape'!$H$5:$H$13/12-'3. Assumptions'!$B$16)-'2. The tape'!$C$5:$C$13*'2. The tape'!$I$5:$I$13*(1+$X$5)^($A51/4))&gt;0)*('2. The tape'!$C$5:$C$13*'2. The tape'!$D$5:$D$13*(1-'2. The tape'!$J$5:$J$13)^($A51/4)*(1+$X$5)^($A51/4)*((1-'3. Assumptions'!$B$13)/($X$6)-'2. The tape'!$H$5:$H$13/12-'3. Assumptions'!$B$16)-'2. The tape'!$C$5:$C$13*'2. The tape'!$I$5:$I$13*(1+$X$5)^($A51/4)))</f>
        <v>50849082.9357591</v>
      </c>
      <c r="Z51" s="33" t="n">
        <f aca="false">'2. The tape'!$C$17*(1+MIN(MAX($Z$5,'3. Assumptions'!$B$11),'3. Assumptions'!$B$10))^INT(($A51-1)/4)/4*(1-'3. Assumptions'!$B$13)</f>
        <v>2998091.25</v>
      </c>
      <c r="AA51" s="33" t="n">
        <f aca="false">(1-'3. Assumptions'!$B$15)*SUMPRODUCT((('2. The tape'!$C$5:$C$13*'2. The tape'!$D$5:$D$13*(1-'2. The tape'!$J$5:$J$13)^($A51/4)*(1+$Z$5)^($A51/4)*((1-'3. Assumptions'!$B$13)/($Z$6)-'2. The tape'!$H$5:$H$13/12-'3. Assumptions'!$B$16)-'2. The tape'!$C$5:$C$13*'2. The tape'!$I$5:$I$13*(1+$Z$5)^($A51/4))&gt;0)*('2. The tape'!$C$5:$C$13*'2. The tape'!$D$5:$D$13*(1-'2. The tape'!$J$5:$J$13)^($A51/4)*(1+$Z$5)^($A51/4)*((1-'3. Assumptions'!$B$13)/($Z$6)-'2. The tape'!$H$5:$H$13/12-'3. Assumptions'!$B$16)-'2. The tape'!$C$5:$C$13*'2. The tape'!$I$5:$I$13*(1+$Z$5)^($A51/4)))</f>
        <v>50849082.9356156</v>
      </c>
      <c r="AB51" s="33" t="n">
        <f aca="false">'2. The tape'!$C$17*(1+MIN(MAX($AB$5,'3. Assumptions'!$B$11),'3. Assumptions'!$B$10))^INT(($A51-1)/4)/4*(1-'3. Assumptions'!$B$13)</f>
        <v>2998091.25</v>
      </c>
      <c r="AC51" s="33" t="n">
        <f aca="false">(1-'3. Assumptions'!$B$15)*SUMPRODUCT((('2. The tape'!$C$5:$C$13*'2. The tape'!$D$5:$D$13*(1-'2. The tape'!$J$5:$J$13)^($A51/4)*(1+$AB$5)^($A51/4)*((1-'3. Assumptions'!$B$13)/($AB$6)-'2. The tape'!$H$5:$H$13/12-'3. Assumptions'!$B$16)-'2. The tape'!$C$5:$C$13*'2. The tape'!$I$5:$I$13*(1+$AB$5)^($A51/4))&gt;0)*('2. The tape'!$C$5:$C$13*'2. The tape'!$D$5:$D$13*(1-'2. The tape'!$J$5:$J$13)^($A51/4)*(1+$AB$5)^($A51/4)*((1-'3. Assumptions'!$B$13)/($AB$6)-'2. The tape'!$H$5:$H$13/12-'3. Assumptions'!$B$16)-'2. The tape'!$C$5:$C$13*'2. The tape'!$I$5:$I$13*(1+$AB$5)^($A51/4)))</f>
        <v>50849082.9356156</v>
      </c>
      <c r="AD51" s="33" t="n">
        <f aca="false">'2. The tape'!$C$17*(1+MIN(MAX($AD$5,'3. Assumptions'!$B$11),'3. Assumptions'!$B$10))^INT(($A51-1)/4)/4*(1-'3. Assumptions'!$B$13)</f>
        <v>2998091.25</v>
      </c>
      <c r="AE51" s="33" t="n">
        <f aca="false">(1-'3. Assumptions'!$B$15)*SUMPRODUCT((('2. The tape'!$C$5:$C$13*'2. The tape'!$D$5:$D$13*(1-'2. The tape'!$J$5:$J$13)^($A51/4)*(1+$AD$5)^($A51/4)*((1-'3. Assumptions'!$B$13)/($AD$6)-'2. The tape'!$H$5:$H$13/12-'3. Assumptions'!$B$16)-'2. The tape'!$C$5:$C$13*'2. The tape'!$I$5:$I$13*(1+$AD$5)^($A51/4))&gt;0)*('2. The tape'!$C$5:$C$13*'2. The tape'!$D$5:$D$13*(1-'2. The tape'!$J$5:$J$13)^($A51/4)*(1+$AD$5)^($A51/4)*((1-'3. Assumptions'!$B$13)/($AD$6)-'2. The tape'!$H$5:$H$13/12-'3. Assumptions'!$B$16)-'2. The tape'!$C$5:$C$13*'2. The tape'!$I$5:$I$13*(1+$AD$5)^($A51/4)))</f>
        <v>50849082.9356156</v>
      </c>
      <c r="AF51" s="33" t="n">
        <f aca="false">'2. The tape'!$C$17*(1+MIN(MAX($AF$5,'3. Assumptions'!$B$11),'3. Assumptions'!$B$10))^INT(($A51-1)/4)/4*(1-'3. Assumptions'!$B$13)</f>
        <v>2998091.25</v>
      </c>
      <c r="AG51" s="33" t="n">
        <f aca="false">(1-'3. Assumptions'!$B$15)*SUMPRODUCT((('2. The tape'!$C$5:$C$13*'2. The tape'!$D$5:$D$13*(1-'2. The tape'!$J$5:$J$13)^($A51/4)*(1+$AF$5)^($A51/4)*((1-'3. Assumptions'!$B$13)/($AF$6)-'2. The tape'!$H$5:$H$13/12-'3. Assumptions'!$B$16)-'2. The tape'!$C$5:$C$13*'2. The tape'!$I$5:$I$13*(1+$AF$5)^($A51/4))&gt;0)*('2. The tape'!$C$5:$C$13*'2. The tape'!$D$5:$D$13*(1-'2. The tape'!$J$5:$J$13)^($A51/4)*(1+$AF$5)^($A51/4)*((1-'3. Assumptions'!$B$13)/($AF$6)-'2. The tape'!$H$5:$H$13/12-'3. Assumptions'!$B$16)-'2. The tape'!$C$5:$C$13*'2. The tape'!$I$5:$I$13*(1+$AF$5)^($A51/4)))</f>
        <v>50849082.9356156</v>
      </c>
      <c r="AH51" s="33" t="n">
        <f aca="false">'2. The tape'!$C$17*(1+MIN(MAX($AH$5,'3. Assumptions'!$B$11),'3. Assumptions'!$B$10))^INT(($A51-1)/4)/4*(1-'3. Assumptions'!$B$13)</f>
        <v>3568223.2057529</v>
      </c>
      <c r="AI51" s="33" t="n">
        <f aca="false">(1-'3. Assumptions'!$B$15)*SUMPRODUCT((('2. The tape'!$C$5:$C$13*'2. The tape'!$D$5:$D$13*(1-'2. The tape'!$J$5:$J$13)^($A51/4)*(1+$AH$5)^($A51/4)*((1-'3. Assumptions'!$B$13)/($AH$6)-'2. The tape'!$H$5:$H$13/12-'3. Assumptions'!$B$16)-'2. The tape'!$C$5:$C$13*'2. The tape'!$I$5:$I$13*(1+$AH$5)^($A51/4))&gt;0)*('2. The tape'!$C$5:$C$13*'2. The tape'!$D$5:$D$13*(1-'2. The tape'!$J$5:$J$13)^($A51/4)*(1+$AH$5)^($A51/4)*((1-'3. Assumptions'!$B$13)/($AH$6)-'2. The tape'!$H$5:$H$13/12-'3. Assumptions'!$B$16)-'2. The tape'!$C$5:$C$13*'2. The tape'!$I$5:$I$13*(1+$AH$5)^($A51/4)))</f>
        <v>155337439.428515</v>
      </c>
      <c r="AJ51" s="33" t="n">
        <f aca="false">'2. The tape'!$C$17*(1+MIN(MAX($AJ$5,'3. Assumptions'!$B$11),'3. Assumptions'!$B$10))^INT(($A51-1)/4)/4*(1-'3. Assumptions'!$B$13)</f>
        <v>3568223.2057529</v>
      </c>
      <c r="AK51" s="33" t="n">
        <f aca="false">(1-'3. Assumptions'!$B$15)*SUMPRODUCT((('2. The tape'!$C$5:$C$13*'2. The tape'!$D$5:$D$13*(1-'2. The tape'!$J$5:$J$13)^($A51/4)*(1+$AJ$5)^($A51/4)*((1-'3. Assumptions'!$B$13)/($AJ$6)-'2. The tape'!$H$5:$H$13/12-'3. Assumptions'!$B$16)-'2. The tape'!$C$5:$C$13*'2. The tape'!$I$5:$I$13*(1+$AJ$5)^($A51/4))&gt;0)*('2. The tape'!$C$5:$C$13*'2. The tape'!$D$5:$D$13*(1-'2. The tape'!$J$5:$J$13)^($A51/4)*(1+$AJ$5)^($A51/4)*((1-'3. Assumptions'!$B$13)/($AJ$6)-'2. The tape'!$H$5:$H$13/12-'3. Assumptions'!$B$16)-'2. The tape'!$C$5:$C$13*'2. The tape'!$I$5:$I$13*(1+$AJ$5)^($A51/4)))</f>
        <v>112303902.450836</v>
      </c>
      <c r="AL51" s="33" t="n">
        <f aca="false">'2. The tape'!$C$17*(1+MIN(MAX($AL$5,'3. Assumptions'!$B$11),'3. Assumptions'!$B$10))^INT(($A51-1)/4)/4*(1-'3. Assumptions'!$B$13)</f>
        <v>3568223.2057529</v>
      </c>
      <c r="AM51" s="33" t="n">
        <f aca="false">(1-'3. Assumptions'!$B$15)*SUMPRODUCT((('2. The tape'!$C$5:$C$13*'2. The tape'!$D$5:$D$13*(1-'2. The tape'!$J$5:$J$13)^($A51/4)*(1+$AL$5)^($A51/4)*((1-'3. Assumptions'!$B$13)/($AL$6)-'2. The tape'!$H$5:$H$13/12-'3. Assumptions'!$B$16)-'2. The tape'!$C$5:$C$13*'2. The tape'!$I$5:$I$13*(1+$AL$5)^($A51/4))&gt;0)*('2. The tape'!$C$5:$C$13*'2. The tape'!$D$5:$D$13*(1-'2. The tape'!$J$5:$J$13)^($A51/4)*(1+$AL$5)^($A51/4)*((1-'3. Assumptions'!$B$13)/($AL$6)-'2. The tape'!$H$5:$H$13/12-'3. Assumptions'!$B$16)-'2. The tape'!$C$5:$C$13*'2. The tape'!$I$5:$I$13*(1+$AL$5)^($A51/4)))</f>
        <v>128994177.895843</v>
      </c>
      <c r="AN51" s="33" t="n">
        <f aca="false">'2. The tape'!$C$17*(1+MIN(MAX($AN$5,'3. Assumptions'!$B$11),'3. Assumptions'!$B$10))^INT(($A51-1)/4)/4*(1-'3. Assumptions'!$B$13)</f>
        <v>3568223.2057529</v>
      </c>
      <c r="AO51" s="33" t="n">
        <f aca="false">(1-'3. Assumptions'!$B$15)*SUMPRODUCT((('2. The tape'!$C$5:$C$13*'2. The tape'!$D$5:$D$13*(1-'2. The tape'!$J$5:$J$13)^($A51/4)*(1+$AN$5)^($A51/4)*((1-'3. Assumptions'!$B$13)/($AN$6)-'2. The tape'!$H$5:$H$13/12-'3. Assumptions'!$B$16)-'2. The tape'!$C$5:$C$13*'2. The tape'!$I$5:$I$13*(1+$AN$5)^($A51/4))&gt;0)*('2. The tape'!$C$5:$C$13*'2. The tape'!$D$5:$D$13*(1-'2. The tape'!$J$5:$J$13)^($A51/4)*(1+$AN$5)^($A51/4)*((1-'3. Assumptions'!$B$13)/($AN$6)-'2. The tape'!$H$5:$H$13/12-'3. Assumptions'!$B$16)-'2. The tape'!$C$5:$C$13*'2. The tape'!$I$5:$I$13*(1+$AN$5)^($A51/4)))</f>
        <v>132119110.003476</v>
      </c>
      <c r="AP51" s="33" t="n">
        <f aca="false">'2. The tape'!$C$17*(1+MIN(MAX($AP$5,'3. Assumptions'!$B$11),'3. Assumptions'!$B$10))^INT(($A51-1)/4)/4*(1-'3. Assumptions'!$B$13)</f>
        <v>3568223.2057529</v>
      </c>
      <c r="AQ51" s="33" t="n">
        <f aca="false">(1-'3. Assumptions'!$B$15)*SUMPRODUCT((('2. The tape'!$C$5:$C$13*'2. The tape'!$D$5:$D$13*(1-'2. The tape'!$J$5:$J$13)^($A51/4)*(1+$AP$5)^($A51/4)*((1-'3. Assumptions'!$B$13)/($AP$6)-'2. The tape'!$H$5:$H$13/12-'3. Assumptions'!$B$16)-'2. The tape'!$C$5:$C$13*'2. The tape'!$I$5:$I$13*(1+$AP$5)^($A51/4))&gt;0)*('2. The tape'!$C$5:$C$13*'2. The tape'!$D$5:$D$13*(1-'2. The tape'!$J$5:$J$13)^($A51/4)*(1+$AP$5)^($A51/4)*((1-'3. Assumptions'!$B$13)/($AP$6)-'2. The tape'!$H$5:$H$13/12-'3. Assumptions'!$B$16)-'2. The tape'!$C$5:$C$13*'2. The tape'!$I$5:$I$13*(1+$AP$5)^($A51/4)))</f>
        <v>131733343.547267</v>
      </c>
      <c r="AR51" s="33" t="n">
        <f aca="false">'2. The tape'!$C$17*(1+MIN(MAX($AR$5,'3. Assumptions'!$B$11),'3. Assumptions'!$B$10))^INT(($A51-1)/4)/4*(1-'3. Assumptions'!$B$13)</f>
        <v>3568223.2057529</v>
      </c>
      <c r="AS51" s="33" t="n">
        <f aca="false">(1-'3. Assumptions'!$B$15)*SUMPRODUCT((('2. The tape'!$C$5:$C$13*'2. The tape'!$D$5:$D$13*(1-'2. The tape'!$J$5:$J$13)^($A51/4)*(1+$AR$5)^($A51/4)*((1-'3. Assumptions'!$B$13)/($AR$6)-'2. The tape'!$H$5:$H$13/12-'3. Assumptions'!$B$16)-'2. The tape'!$C$5:$C$13*'2. The tape'!$I$5:$I$13*(1+$AR$5)^($A51/4))&gt;0)*('2. The tape'!$C$5:$C$13*'2. The tape'!$D$5:$D$13*(1-'2. The tape'!$J$5:$J$13)^($A51/4)*(1+$AR$5)^($A51/4)*((1-'3. Assumptions'!$B$13)/($AR$6)-'2. The tape'!$H$5:$H$13/12-'3. Assumptions'!$B$16)-'2. The tape'!$C$5:$C$13*'2. The tape'!$I$5:$I$13*(1+$AR$5)^($A51/4)))</f>
        <v>131739816.15585</v>
      </c>
      <c r="AT51" s="33" t="n">
        <f aca="false">'2. The tape'!$C$17*(1+MIN(MAX($AT$5,'3. Assumptions'!$B$11),'3. Assumptions'!$B$10))^INT(($A51-1)/4)/4*(1-'3. Assumptions'!$B$13)</f>
        <v>3568223.2057529</v>
      </c>
      <c r="AU51" s="33" t="n">
        <f aca="false">(1-'3. Assumptions'!$B$15)*SUMPRODUCT((('2. The tape'!$C$5:$C$13*'2. The tape'!$D$5:$D$13*(1-'2. The tape'!$J$5:$J$13)^($A51/4)*(1+$AT$5)^($A51/4)*((1-'3. Assumptions'!$B$13)/($AT$6)-'2. The tape'!$H$5:$H$13/12-'3. Assumptions'!$B$16)-'2. The tape'!$C$5:$C$13*'2. The tape'!$I$5:$I$13*(1+$AT$5)^($A51/4))&gt;0)*('2. The tape'!$C$5:$C$13*'2. The tape'!$D$5:$D$13*(1-'2. The tape'!$J$5:$J$13)^($A51/4)*(1+$AT$5)^($A51/4)*((1-'3. Assumptions'!$B$13)/($AT$6)-'2. The tape'!$H$5:$H$13/12-'3. Assumptions'!$B$16)-'2. The tape'!$C$5:$C$13*'2. The tape'!$I$5:$I$13*(1+$AT$5)^($A51/4)))</f>
        <v>131739831.228927</v>
      </c>
      <c r="AV51" s="33" t="n">
        <f aca="false">'2. The tape'!$C$17*(1+MIN(MAX($AV$5,'3. Assumptions'!$B$11),'3. Assumptions'!$B$10))^INT(($A51-1)/4)/4*(1-'3. Assumptions'!$B$13)</f>
        <v>3568223.2057529</v>
      </c>
      <c r="AW51" s="33" t="n">
        <f aca="false">(1-'3. Assumptions'!$B$15)*SUMPRODUCT((('2. The tape'!$C$5:$C$13*'2. The tape'!$D$5:$D$13*(1-'2. The tape'!$J$5:$J$13)^($A51/4)*(1+$AV$5)^($A51/4)*((1-'3. Assumptions'!$B$13)/($AV$6)-'2. The tape'!$H$5:$H$13/12-'3. Assumptions'!$B$16)-'2. The tape'!$C$5:$C$13*'2. The tape'!$I$5:$I$13*(1+$AV$5)^($A51/4))&gt;0)*('2. The tape'!$C$5:$C$13*'2. The tape'!$D$5:$D$13*(1-'2. The tape'!$J$5:$J$13)^($A51/4)*(1+$AV$5)^($A51/4)*((1-'3. Assumptions'!$B$13)/($AV$6)-'2. The tape'!$H$5:$H$13/12-'3. Assumptions'!$B$16)-'2. The tape'!$C$5:$C$13*'2. The tape'!$I$5:$I$13*(1+$AV$5)^($A51/4)))</f>
        <v>131739831.228327</v>
      </c>
      <c r="AX51" s="33" t="n">
        <f aca="false">'2. The tape'!$C$17*(1+MIN(MAX($AX$5,'3. Assumptions'!$B$11),'3. Assumptions'!$B$10))^INT(($A51-1)/4)/4*(1-'3. Assumptions'!$B$13)</f>
        <v>3568223.2057529</v>
      </c>
      <c r="AY51" s="33" t="n">
        <f aca="false">(1-'3. Assumptions'!$B$15)*SUMPRODUCT((('2. The tape'!$C$5:$C$13*'2. The tape'!$D$5:$D$13*(1-'2. The tape'!$J$5:$J$13)^($A51/4)*(1+$AX$5)^($A51/4)*((1-'3. Assumptions'!$B$13)/($AX$6)-'2. The tape'!$H$5:$H$13/12-'3. Assumptions'!$B$16)-'2. The tape'!$C$5:$C$13*'2. The tape'!$I$5:$I$13*(1+$AX$5)^($A51/4))&gt;0)*('2. The tape'!$C$5:$C$13*'2. The tape'!$D$5:$D$13*(1-'2. The tape'!$J$5:$J$13)^($A51/4)*(1+$AX$5)^($A51/4)*((1-'3. Assumptions'!$B$13)/($AX$6)-'2. The tape'!$H$5:$H$13/12-'3. Assumptions'!$B$16)-'2. The tape'!$C$5:$C$13*'2. The tape'!$I$5:$I$13*(1+$AX$5)^($A51/4)))</f>
        <v>131739831.228327</v>
      </c>
      <c r="AZ51" s="33" t="n">
        <f aca="false">'2. The tape'!$C$17*(1+MIN(MAX($AZ$5,'3. Assumptions'!$B$11),'3. Assumptions'!$B$10))^INT(($A51-1)/4)/4*(1-'3. Assumptions'!$B$13)</f>
        <v>3568223.2057529</v>
      </c>
      <c r="BA51" s="33" t="n">
        <f aca="false">(1-'3. Assumptions'!$B$15)*SUMPRODUCT((('2. The tape'!$C$5:$C$13*'2. The tape'!$D$5:$D$13*(1-'2. The tape'!$J$5:$J$13)^($A51/4)*(1+$AZ$5)^($A51/4)*((1-'3. Assumptions'!$B$13)/($AZ$6)-'2. The tape'!$H$5:$H$13/12-'3. Assumptions'!$B$16)-'2. The tape'!$C$5:$C$13*'2. The tape'!$I$5:$I$13*(1+$AZ$5)^($A51/4))&gt;0)*('2. The tape'!$C$5:$C$13*'2. The tape'!$D$5:$D$13*(1-'2. The tape'!$J$5:$J$13)^($A51/4)*(1+$AZ$5)^($A51/4)*((1-'3. Assumptions'!$B$13)/($AZ$6)-'2. The tape'!$H$5:$H$13/12-'3. Assumptions'!$B$16)-'2. The tape'!$C$5:$C$13*'2. The tape'!$I$5:$I$13*(1+$AZ$5)^($A51/4)))</f>
        <v>131739831.228327</v>
      </c>
    </row>
    <row r="52" customFormat="false" ht="15" hidden="false" customHeight="false" outlineLevel="0" collapsed="false">
      <c r="A52" s="20" t="n">
        <v>37</v>
      </c>
      <c r="B52" s="33" t="n">
        <f aca="false">'2. The tape'!$C$17*(1+MIN(MAX($B$5,'3. Assumptions'!$B$11),'3. Assumptions'!$B$10))^INT(($A52-1)/4)/4*(1-'3. Assumptions'!$B$13)</f>
        <v>3646724.11627946</v>
      </c>
      <c r="C52" s="33" t="n">
        <f aca="false">(1-'3. Assumptions'!$B$15)*SUMPRODUCT((('2. The tape'!$C$5:$C$13*'2. The tape'!$D$5:$D$13*(1-'2. The tape'!$J$5:$J$13)^($A52/4)*(1+$B$5)^($A52/4)*((1-'3. Assumptions'!$B$13)/($B$6)-'2. The tape'!$H$5:$H$13/12-'3. Assumptions'!$B$16)-'2. The tape'!$C$5:$C$13*'2. The tape'!$I$5:$I$13*(1+$B$5)^($A52/4))&gt;0)*('2. The tape'!$C$5:$C$13*'2. The tape'!$D$5:$D$13*(1-'2. The tape'!$J$5:$J$13)^($A52/4)*(1+$B$5)^($A52/4)*((1-'3. Assumptions'!$B$13)/($B$6)-'2. The tape'!$H$5:$H$13/12-'3. Assumptions'!$B$16)-'2. The tape'!$C$5:$C$13*'2. The tape'!$I$5:$I$13*(1+$B$5)^($A52/4)))</f>
        <v>78454730.873327</v>
      </c>
      <c r="D52" s="33" t="n">
        <f aca="false">'2. The tape'!$C$17*(1+MIN(MAX($D$5,'3. Assumptions'!$B$11),'3. Assumptions'!$B$10))^INT(($A52-1)/4)/4*(1-'3. Assumptions'!$B$13)</f>
        <v>3911829.0656731</v>
      </c>
      <c r="E52" s="33" t="n">
        <f aca="false">(1-'3. Assumptions'!$B$15)*SUMPRODUCT((('2. The tape'!$C$5:$C$13*'2. The tape'!$D$5:$D$13*(1-'2. The tape'!$J$5:$J$13)^($A52/4)*(1+$D$5)^($A52/4)*((1-'3. Assumptions'!$B$13)/($D$6)-'2. The tape'!$H$5:$H$13/12-'3. Assumptions'!$B$16)-'2. The tape'!$C$5:$C$13*'2. The tape'!$I$5:$I$13*(1+$D$5)^($A52/4))&gt;0)*('2. The tape'!$C$5:$C$13*'2. The tape'!$D$5:$D$13*(1-'2. The tape'!$J$5:$J$13)^($A52/4)*(1+$D$5)^($A52/4)*((1-'3. Assumptions'!$B$13)/($D$6)-'2. The tape'!$H$5:$H$13/12-'3. Assumptions'!$B$16)-'2. The tape'!$C$5:$C$13*'2. The tape'!$I$5:$I$13*(1+$D$5)^($A52/4)))</f>
        <v>88185379.1352432</v>
      </c>
      <c r="F52" s="33" t="n">
        <f aca="false">'2. The tape'!$C$17*(1+MIN(MAX($F$5,'3. Assumptions'!$B$11),'3. Assumptions'!$B$10))^INT(($A52-1)/4)/4*(1-'3. Assumptions'!$B$13)</f>
        <v>3278968.24628885</v>
      </c>
      <c r="G52" s="33" t="n">
        <f aca="false">(1-'3. Assumptions'!$B$15)*SUMPRODUCT((('2. The tape'!$C$5:$C$13*'2. The tape'!$D$5:$D$13*(1-'2. The tape'!$J$5:$J$13)^($A52/4)*(1+$F$5)^($A52/4)*((1-'3. Assumptions'!$B$13)/($F$6)-'2. The tape'!$H$5:$H$13/12-'3. Assumptions'!$B$16)-'2. The tape'!$C$5:$C$13*'2. The tape'!$I$5:$I$13*(1+$F$5)^($A52/4))&gt;0)*('2. The tape'!$C$5:$C$13*'2. The tape'!$D$5:$D$13*(1-'2. The tape'!$J$5:$J$13)^($A52/4)*(1+$F$5)^($A52/4)*((1-'3. Assumptions'!$B$13)/($F$6)-'2. The tape'!$H$5:$H$13/12-'3. Assumptions'!$B$16)-'2. The tape'!$C$5:$C$13*'2. The tape'!$I$5:$I$13*(1+$F$5)^($A52/4)))</f>
        <v>70334929.7970263</v>
      </c>
      <c r="H52" s="33" t="n">
        <f aca="false">'2. The tape'!$C$17*(1+MIN(MAX($H$5,'3. Assumptions'!$B$11),'3. Assumptions'!$B$10))^INT(($A52-1)/4)/4*(1-'3. Assumptions'!$B$13)</f>
        <v>3911829.0656731</v>
      </c>
      <c r="I52" s="33" t="n">
        <f aca="false">(1-'3. Assumptions'!$B$15)*SUMPRODUCT((('2. The tape'!$C$5:$C$13*'2. The tape'!$D$5:$D$13*(1-'2. The tape'!$J$5:$J$13)^($A52/4)*(1+$H$5)^($A52/4)*((1-'3. Assumptions'!$B$13)/($H$6)-'2. The tape'!$H$5:$H$13/12-'3. Assumptions'!$B$16)-'2. The tape'!$C$5:$C$13*'2. The tape'!$I$5:$I$13*(1+$H$5)^($A52/4))&gt;0)*('2. The tape'!$C$5:$C$13*'2. The tape'!$D$5:$D$13*(1-'2. The tape'!$J$5:$J$13)^($A52/4)*(1+$H$5)^($A52/4)*((1-'3. Assumptions'!$B$13)/($H$6)-'2. The tape'!$H$5:$H$13/12-'3. Assumptions'!$B$16)-'2. The tape'!$C$5:$C$13*'2. The tape'!$I$5:$I$13*(1+$H$5)^($A52/4)))</f>
        <v>88185379.1352432</v>
      </c>
      <c r="J52" s="33" t="n">
        <f aca="false">'2. The tape'!$C$17*(1+MIN(MAX($J$5,'3. Assumptions'!$B$11),'3. Assumptions'!$B$10))^INT(($A52-1)/4)/4*(1-'3. Assumptions'!$B$13)</f>
        <v>3646724.11627946</v>
      </c>
      <c r="K52" s="33" t="n">
        <f aca="false">(1-'3. Assumptions'!$B$15)*SUMPRODUCT((('2. The tape'!$C$5:$C$13*'2. The tape'!$D$5:$D$13*(1-'2. The tape'!$J$5:$J$13)^($A52/4)*(1+$J$5)^($A52/4)*((1-'3. Assumptions'!$B$13)/($J$6)-'2. The tape'!$H$5:$H$13/12-'3. Assumptions'!$B$16)-'2. The tape'!$C$5:$C$13*'2. The tape'!$I$5:$I$13*(1+$J$5)^($A52/4))&gt;0)*('2. The tape'!$C$5:$C$13*'2. The tape'!$D$5:$D$13*(1-'2. The tape'!$J$5:$J$13)^($A52/4)*(1+$J$5)^($A52/4)*((1-'3. Assumptions'!$B$13)/($J$6)-'2. The tape'!$H$5:$H$13/12-'3. Assumptions'!$B$16)-'2. The tape'!$C$5:$C$13*'2. The tape'!$I$5:$I$13*(1+$J$5)^($A52/4)))</f>
        <v>64392552.2421209</v>
      </c>
      <c r="L52" s="33" t="n">
        <f aca="false">'2. The tape'!$C$17*(1+MIN(MAX($L$5,'3. Assumptions'!$B$11),'3. Assumptions'!$B$10))^INT(($A52-1)/4)/4*(1-'3. Assumptions'!$B$13)</f>
        <v>3911829.0656731</v>
      </c>
      <c r="M52" s="33" t="n">
        <f aca="false">(1-'3. Assumptions'!$B$15)*SUMPRODUCT((('2. The tape'!$C$5:$C$13*'2. The tape'!$D$5:$D$13*(1-'2. The tape'!$J$5:$J$13)^($A52/4)*(1+$L$5)^($A52/4)*((1-'3. Assumptions'!$B$13)/($L$6)-'2. The tape'!$H$5:$H$13/12-'3. Assumptions'!$B$16)-'2. The tape'!$C$5:$C$13*'2. The tape'!$I$5:$I$13*(1+$L$5)^($A52/4))&gt;0)*('2. The tape'!$C$5:$C$13*'2. The tape'!$D$5:$D$13*(1-'2. The tape'!$J$5:$J$13)^($A52/4)*(1+$L$5)^($A52/4)*((1-'3. Assumptions'!$B$13)/($L$6)-'2. The tape'!$H$5:$H$13/12-'3. Assumptions'!$B$16)-'2. The tape'!$C$5:$C$13*'2. The tape'!$I$5:$I$13*(1+$L$5)^($A52/4)))</f>
        <v>726397531.50208</v>
      </c>
      <c r="N52" s="33" t="n">
        <f aca="false">'2. The tape'!$C$17*(1+MIN(MAX($N$5,'3. Assumptions'!$B$11),'3. Assumptions'!$B$10))^INT(($A52-1)/4)/4*(1-'3. Assumptions'!$B$13)</f>
        <v>2998091.25</v>
      </c>
      <c r="O52" s="33" t="n">
        <f aca="false">(1-'3. Assumptions'!$B$15)*SUMPRODUCT((('2. The tape'!$C$5:$C$13*'2. The tape'!$D$5:$D$13*(1-'2. The tape'!$J$5:$J$13)^($A52/4)*(1+$N$5)^($A52/4)*((1-'3. Assumptions'!$B$13)/($N$6)-'2. The tape'!$H$5:$H$13/12-'3. Assumptions'!$B$16)-'2. The tape'!$C$5:$C$13*'2. The tape'!$I$5:$I$13*(1+$N$5)^($A52/4))&gt;0)*('2. The tape'!$C$5:$C$13*'2. The tape'!$D$5:$D$13*(1-'2. The tape'!$J$5:$J$13)^($A52/4)*(1+$N$5)^($A52/4)*((1-'3. Assumptions'!$B$13)/($N$6)-'2. The tape'!$H$5:$H$13/12-'3. Assumptions'!$B$16)-'2. The tape'!$C$5:$C$13*'2. The tape'!$I$5:$I$13*(1+$N$5)^($A52/4)))</f>
        <v>48399056.196537</v>
      </c>
      <c r="P52" s="33" t="n">
        <f aca="false">'2. The tape'!$C$17*(1+MIN(MAX($P$5,'3. Assumptions'!$B$11),'3. Assumptions'!$B$10))^INT(($A52-1)/4)/4*(1-'3. Assumptions'!$B$13)</f>
        <v>2998091.25</v>
      </c>
      <c r="Q52" s="33" t="n">
        <f aca="false">(1-'3. Assumptions'!$B$15)*SUMPRODUCT((('2. The tape'!$C$5:$C$13*'2. The tape'!$D$5:$D$13*(1-'2. The tape'!$J$5:$J$13)^($A52/4)*(1+$P$5)^($A52/4)*((1-'3. Assumptions'!$B$13)/($P$6)-'2. The tape'!$H$5:$H$13/12-'3. Assumptions'!$B$16)-'2. The tape'!$C$5:$C$13*'2. The tape'!$I$5:$I$13*(1+$P$5)^($A52/4))&gt;0)*('2. The tape'!$C$5:$C$13*'2. The tape'!$D$5:$D$13*(1-'2. The tape'!$J$5:$J$13)^($A52/4)*(1+$P$5)^($A52/4)*((1-'3. Assumptions'!$B$13)/($P$6)-'2. The tape'!$H$5:$H$13/12-'3. Assumptions'!$B$16)-'2. The tape'!$C$5:$C$13*'2. The tape'!$I$5:$I$13*(1+$P$5)^($A52/4)))</f>
        <v>53215672.0306371</v>
      </c>
      <c r="R52" s="33" t="n">
        <f aca="false">'2. The tape'!$C$17*(1+MIN(MAX($R$5,'3. Assumptions'!$B$11),'3. Assumptions'!$B$10))^INT(($A52-1)/4)/4*(1-'3. Assumptions'!$B$13)</f>
        <v>2998091.25</v>
      </c>
      <c r="S52" s="33" t="n">
        <f aca="false">(1-'3. Assumptions'!$B$15)*SUMPRODUCT((('2. The tape'!$C$5:$C$13*'2. The tape'!$D$5:$D$13*(1-'2. The tape'!$J$5:$J$13)^($A52/4)*(1+$R$5)^($A52/4)*((1-'3. Assumptions'!$B$13)/($R$6)-'2. The tape'!$H$5:$H$13/12-'3. Assumptions'!$B$16)-'2. The tape'!$C$5:$C$13*'2. The tape'!$I$5:$I$13*(1+$R$5)^($A52/4))&gt;0)*('2. The tape'!$C$5:$C$13*'2. The tape'!$D$5:$D$13*(1-'2. The tape'!$J$5:$J$13)^($A52/4)*(1+$R$5)^($A52/4)*((1-'3. Assumptions'!$B$13)/($R$6)-'2. The tape'!$H$5:$H$13/12-'3. Assumptions'!$B$16)-'2. The tape'!$C$5:$C$13*'2. The tape'!$I$5:$I$13*(1+$R$5)^($A52/4)))</f>
        <v>50251382.8070911</v>
      </c>
      <c r="T52" s="33" t="n">
        <f aca="false">'2. The tape'!$C$17*(1+MIN(MAX($T$5,'3. Assumptions'!$B$11),'3. Assumptions'!$B$10))^INT(($A52-1)/4)/4*(1-'3. Assumptions'!$B$13)</f>
        <v>2998091.25</v>
      </c>
      <c r="U52" s="33" t="n">
        <f aca="false">(1-'3. Assumptions'!$B$15)*SUMPRODUCT((('2. The tape'!$C$5:$C$13*'2. The tape'!$D$5:$D$13*(1-'2. The tape'!$J$5:$J$13)^($A52/4)*(1+$T$5)^($A52/4)*((1-'3. Assumptions'!$B$13)/($T$6)-'2. The tape'!$H$5:$H$13/12-'3. Assumptions'!$B$16)-'2. The tape'!$C$5:$C$13*'2. The tape'!$I$5:$I$13*(1+$T$5)^($A52/4))&gt;0)*('2. The tape'!$C$5:$C$13*'2. The tape'!$D$5:$D$13*(1-'2. The tape'!$J$5:$J$13)^($A52/4)*(1+$T$5)^($A52/4)*((1-'3. Assumptions'!$B$13)/($T$6)-'2. The tape'!$H$5:$H$13/12-'3. Assumptions'!$B$16)-'2. The tape'!$C$5:$C$13*'2. The tape'!$I$5:$I$13*(1+$T$5)^($A52/4)))</f>
        <v>50173073.5389131</v>
      </c>
      <c r="V52" s="33" t="n">
        <f aca="false">'2. The tape'!$C$17*(1+MIN(MAX($V$5,'3. Assumptions'!$B$11),'3. Assumptions'!$B$10))^INT(($A52-1)/4)/4*(1-'3. Assumptions'!$B$13)</f>
        <v>2998091.25</v>
      </c>
      <c r="W52" s="33" t="n">
        <f aca="false">(1-'3. Assumptions'!$B$15)*SUMPRODUCT((('2. The tape'!$C$5:$C$13*'2. The tape'!$D$5:$D$13*(1-'2. The tape'!$J$5:$J$13)^($A52/4)*(1+$V$5)^($A52/4)*((1-'3. Assumptions'!$B$13)/($V$6)-'2. The tape'!$H$5:$H$13/12-'3. Assumptions'!$B$16)-'2. The tape'!$C$5:$C$13*'2. The tape'!$I$5:$I$13*(1+$V$5)^($A52/4))&gt;0)*('2. The tape'!$C$5:$C$13*'2. The tape'!$D$5:$D$13*(1-'2. The tape'!$J$5:$J$13)^($A52/4)*(1+$V$5)^($A52/4)*((1-'3. Assumptions'!$B$13)/($V$6)-'2. The tape'!$H$5:$H$13/12-'3. Assumptions'!$B$16)-'2. The tape'!$C$5:$C$13*'2. The tape'!$I$5:$I$13*(1+$V$5)^($A52/4)))</f>
        <v>50176217.8301346</v>
      </c>
      <c r="X52" s="33" t="n">
        <f aca="false">'2. The tape'!$C$17*(1+MIN(MAX($X$5,'3. Assumptions'!$B$11),'3. Assumptions'!$B$10))^INT(($A52-1)/4)/4*(1-'3. Assumptions'!$B$13)</f>
        <v>2998091.25</v>
      </c>
      <c r="Y52" s="33" t="n">
        <f aca="false">(1-'3. Assumptions'!$B$15)*SUMPRODUCT((('2. The tape'!$C$5:$C$13*'2. The tape'!$D$5:$D$13*(1-'2. The tape'!$J$5:$J$13)^($A52/4)*(1+$X$5)^($A52/4)*((1-'3. Assumptions'!$B$13)/($X$6)-'2. The tape'!$H$5:$H$13/12-'3. Assumptions'!$B$16)-'2. The tape'!$C$5:$C$13*'2. The tape'!$I$5:$I$13*(1+$X$5)^($A52/4))&gt;0)*('2. The tape'!$C$5:$C$13*'2. The tape'!$D$5:$D$13*(1-'2. The tape'!$J$5:$J$13)^($A52/4)*(1+$X$5)^($A52/4)*((1-'3. Assumptions'!$B$13)/($X$6)-'2. The tape'!$H$5:$H$13/12-'3. Assumptions'!$B$16)-'2. The tape'!$C$5:$C$13*'2. The tape'!$I$5:$I$13*(1+$X$5)^($A52/4)))</f>
        <v>50176214.5236245</v>
      </c>
      <c r="Z52" s="33" t="n">
        <f aca="false">'2. The tape'!$C$17*(1+MIN(MAX($Z$5,'3. Assumptions'!$B$11),'3. Assumptions'!$B$10))^INT(($A52-1)/4)/4*(1-'3. Assumptions'!$B$13)</f>
        <v>2998091.25</v>
      </c>
      <c r="AA52" s="33" t="n">
        <f aca="false">(1-'3. Assumptions'!$B$15)*SUMPRODUCT((('2. The tape'!$C$5:$C$13*'2. The tape'!$D$5:$D$13*(1-'2. The tape'!$J$5:$J$13)^($A52/4)*(1+$Z$5)^($A52/4)*((1-'3. Assumptions'!$B$13)/($Z$6)-'2. The tape'!$H$5:$H$13/12-'3. Assumptions'!$B$16)-'2. The tape'!$C$5:$C$13*'2. The tape'!$I$5:$I$13*(1+$Z$5)^($A52/4))&gt;0)*('2. The tape'!$C$5:$C$13*'2. The tape'!$D$5:$D$13*(1-'2. The tape'!$J$5:$J$13)^($A52/4)*(1+$Z$5)^($A52/4)*((1-'3. Assumptions'!$B$13)/($Z$6)-'2. The tape'!$H$5:$H$13/12-'3. Assumptions'!$B$16)-'2. The tape'!$C$5:$C$13*'2. The tape'!$I$5:$I$13*(1+$Z$5)^($A52/4)))</f>
        <v>50176214.523479</v>
      </c>
      <c r="AB52" s="33" t="n">
        <f aca="false">'2. The tape'!$C$17*(1+MIN(MAX($AB$5,'3. Assumptions'!$B$11),'3. Assumptions'!$B$10))^INT(($A52-1)/4)/4*(1-'3. Assumptions'!$B$13)</f>
        <v>2998091.25</v>
      </c>
      <c r="AC52" s="33" t="n">
        <f aca="false">(1-'3. Assumptions'!$B$15)*SUMPRODUCT((('2. The tape'!$C$5:$C$13*'2. The tape'!$D$5:$D$13*(1-'2. The tape'!$J$5:$J$13)^($A52/4)*(1+$AB$5)^($A52/4)*((1-'3. Assumptions'!$B$13)/($AB$6)-'2. The tape'!$H$5:$H$13/12-'3. Assumptions'!$B$16)-'2. The tape'!$C$5:$C$13*'2. The tape'!$I$5:$I$13*(1+$AB$5)^($A52/4))&gt;0)*('2. The tape'!$C$5:$C$13*'2. The tape'!$D$5:$D$13*(1-'2. The tape'!$J$5:$J$13)^($A52/4)*(1+$AB$5)^($A52/4)*((1-'3. Assumptions'!$B$13)/($AB$6)-'2. The tape'!$H$5:$H$13/12-'3. Assumptions'!$B$16)-'2. The tape'!$C$5:$C$13*'2. The tape'!$I$5:$I$13*(1+$AB$5)^($A52/4)))</f>
        <v>50176214.523479</v>
      </c>
      <c r="AD52" s="33" t="n">
        <f aca="false">'2. The tape'!$C$17*(1+MIN(MAX($AD$5,'3. Assumptions'!$B$11),'3. Assumptions'!$B$10))^INT(($A52-1)/4)/4*(1-'3. Assumptions'!$B$13)</f>
        <v>2998091.25</v>
      </c>
      <c r="AE52" s="33" t="n">
        <f aca="false">(1-'3. Assumptions'!$B$15)*SUMPRODUCT((('2. The tape'!$C$5:$C$13*'2. The tape'!$D$5:$D$13*(1-'2. The tape'!$J$5:$J$13)^($A52/4)*(1+$AD$5)^($A52/4)*((1-'3. Assumptions'!$B$13)/($AD$6)-'2. The tape'!$H$5:$H$13/12-'3. Assumptions'!$B$16)-'2. The tape'!$C$5:$C$13*'2. The tape'!$I$5:$I$13*(1+$AD$5)^($A52/4))&gt;0)*('2. The tape'!$C$5:$C$13*'2. The tape'!$D$5:$D$13*(1-'2. The tape'!$J$5:$J$13)^($A52/4)*(1+$AD$5)^($A52/4)*((1-'3. Assumptions'!$B$13)/($AD$6)-'2. The tape'!$H$5:$H$13/12-'3. Assumptions'!$B$16)-'2. The tape'!$C$5:$C$13*'2. The tape'!$I$5:$I$13*(1+$AD$5)^($A52/4)))</f>
        <v>50176214.523479</v>
      </c>
      <c r="AF52" s="33" t="n">
        <f aca="false">'2. The tape'!$C$17*(1+MIN(MAX($AF$5,'3. Assumptions'!$B$11),'3. Assumptions'!$B$10))^INT(($A52-1)/4)/4*(1-'3. Assumptions'!$B$13)</f>
        <v>2998091.25</v>
      </c>
      <c r="AG52" s="33" t="n">
        <f aca="false">(1-'3. Assumptions'!$B$15)*SUMPRODUCT((('2. The tape'!$C$5:$C$13*'2. The tape'!$D$5:$D$13*(1-'2. The tape'!$J$5:$J$13)^($A52/4)*(1+$AF$5)^($A52/4)*((1-'3. Assumptions'!$B$13)/($AF$6)-'2. The tape'!$H$5:$H$13/12-'3. Assumptions'!$B$16)-'2. The tape'!$C$5:$C$13*'2. The tape'!$I$5:$I$13*(1+$AF$5)^($A52/4))&gt;0)*('2. The tape'!$C$5:$C$13*'2. The tape'!$D$5:$D$13*(1-'2. The tape'!$J$5:$J$13)^($A52/4)*(1+$AF$5)^($A52/4)*((1-'3. Assumptions'!$B$13)/($AF$6)-'2. The tape'!$H$5:$H$13/12-'3. Assumptions'!$B$16)-'2. The tape'!$C$5:$C$13*'2. The tape'!$I$5:$I$13*(1+$AF$5)^($A52/4)))</f>
        <v>50176214.523479</v>
      </c>
      <c r="AH52" s="33" t="n">
        <f aca="false">'2. The tape'!$C$17*(1+MIN(MAX($AH$5,'3. Assumptions'!$B$11),'3. Assumptions'!$B$10))^INT(($A52-1)/4)/4*(1-'3. Assumptions'!$B$13)</f>
        <v>3646724.11627946</v>
      </c>
      <c r="AI52" s="33" t="n">
        <f aca="false">(1-'3. Assumptions'!$B$15)*SUMPRODUCT((('2. The tape'!$C$5:$C$13*'2. The tape'!$D$5:$D$13*(1-'2. The tape'!$J$5:$J$13)^($A52/4)*(1+$AH$5)^($A52/4)*((1-'3. Assumptions'!$B$13)/($AH$6)-'2. The tape'!$H$5:$H$13/12-'3. Assumptions'!$B$16)-'2. The tape'!$C$5:$C$13*'2. The tape'!$I$5:$I$13*(1+$AH$5)^($A52/4))&gt;0)*('2. The tape'!$C$5:$C$13*'2. The tape'!$D$5:$D$13*(1-'2. The tape'!$J$5:$J$13)^($A52/4)*(1+$AH$5)^($A52/4)*((1-'3. Assumptions'!$B$13)/($AH$6)-'2. The tape'!$H$5:$H$13/12-'3. Assumptions'!$B$16)-'2. The tape'!$C$5:$C$13*'2. The tape'!$I$5:$I$13*(1+$AH$5)^($A52/4)))</f>
        <v>155234226.199712</v>
      </c>
      <c r="AJ52" s="33" t="n">
        <f aca="false">'2. The tape'!$C$17*(1+MIN(MAX($AJ$5,'3. Assumptions'!$B$11),'3. Assumptions'!$B$10))^INT(($A52-1)/4)/4*(1-'3. Assumptions'!$B$13)</f>
        <v>3646724.11627946</v>
      </c>
      <c r="AK52" s="33" t="n">
        <f aca="false">(1-'3. Assumptions'!$B$15)*SUMPRODUCT((('2. The tape'!$C$5:$C$13*'2. The tape'!$D$5:$D$13*(1-'2. The tape'!$J$5:$J$13)^($A52/4)*(1+$AJ$5)^($A52/4)*((1-'3. Assumptions'!$B$13)/($AJ$6)-'2. The tape'!$H$5:$H$13/12-'3. Assumptions'!$B$16)-'2. The tape'!$C$5:$C$13*'2. The tape'!$I$5:$I$13*(1+$AJ$5)^($A52/4))&gt;0)*('2. The tape'!$C$5:$C$13*'2. The tape'!$D$5:$D$13*(1-'2. The tape'!$J$5:$J$13)^($A52/4)*(1+$AJ$5)^($A52/4)*((1-'3. Assumptions'!$B$13)/($AJ$6)-'2. The tape'!$H$5:$H$13/12-'3. Assumptions'!$B$16)-'2. The tape'!$C$5:$C$13*'2. The tape'!$I$5:$I$13*(1+$AJ$5)^($A52/4)))</f>
        <v>112203959.588222</v>
      </c>
      <c r="AL52" s="33" t="n">
        <f aca="false">'2. The tape'!$C$17*(1+MIN(MAX($AL$5,'3. Assumptions'!$B$11),'3. Assumptions'!$B$10))^INT(($A52-1)/4)/4*(1-'3. Assumptions'!$B$13)</f>
        <v>3646724.11627946</v>
      </c>
      <c r="AM52" s="33" t="n">
        <f aca="false">(1-'3. Assumptions'!$B$15)*SUMPRODUCT((('2. The tape'!$C$5:$C$13*'2. The tape'!$D$5:$D$13*(1-'2. The tape'!$J$5:$J$13)^($A52/4)*(1+$AL$5)^($A52/4)*((1-'3. Assumptions'!$B$13)/($AL$6)-'2. The tape'!$H$5:$H$13/12-'3. Assumptions'!$B$16)-'2. The tape'!$C$5:$C$13*'2. The tape'!$I$5:$I$13*(1+$AL$5)^($A52/4))&gt;0)*('2. The tape'!$C$5:$C$13*'2. The tape'!$D$5:$D$13*(1-'2. The tape'!$J$5:$J$13)^($A52/4)*(1+$AL$5)^($A52/4)*((1-'3. Assumptions'!$B$13)/($AL$6)-'2. The tape'!$H$5:$H$13/12-'3. Assumptions'!$B$16)-'2. The tape'!$C$5:$C$13*'2. The tape'!$I$5:$I$13*(1+$AL$5)^($A52/4)))</f>
        <v>128892966.643123</v>
      </c>
      <c r="AN52" s="33" t="n">
        <f aca="false">'2. The tape'!$C$17*(1+MIN(MAX($AN$5,'3. Assumptions'!$B$11),'3. Assumptions'!$B$10))^INT(($A52-1)/4)/4*(1-'3. Assumptions'!$B$13)</f>
        <v>3646724.11627946</v>
      </c>
      <c r="AO52" s="33" t="n">
        <f aca="false">(1-'3. Assumptions'!$B$15)*SUMPRODUCT((('2. The tape'!$C$5:$C$13*'2. The tape'!$D$5:$D$13*(1-'2. The tape'!$J$5:$J$13)^($A52/4)*(1+$AN$5)^($A52/4)*((1-'3. Assumptions'!$B$13)/($AN$6)-'2. The tape'!$H$5:$H$13/12-'3. Assumptions'!$B$16)-'2. The tape'!$C$5:$C$13*'2. The tape'!$I$5:$I$13*(1+$AN$5)^($A52/4))&gt;0)*('2. The tape'!$C$5:$C$13*'2. The tape'!$D$5:$D$13*(1-'2. The tape'!$J$5:$J$13)^($A52/4)*(1+$AN$5)^($A52/4)*((1-'3. Assumptions'!$B$13)/($AN$6)-'2. The tape'!$H$5:$H$13/12-'3. Assumptions'!$B$16)-'2. The tape'!$C$5:$C$13*'2. The tape'!$I$5:$I$13*(1+$AN$5)^($A52/4)))</f>
        <v>132017661.269178</v>
      </c>
      <c r="AP52" s="33" t="n">
        <f aca="false">'2. The tape'!$C$17*(1+MIN(MAX($AP$5,'3. Assumptions'!$B$11),'3. Assumptions'!$B$10))^INT(($A52-1)/4)/4*(1-'3. Assumptions'!$B$13)</f>
        <v>3646724.11627946</v>
      </c>
      <c r="AQ52" s="33" t="n">
        <f aca="false">(1-'3. Assumptions'!$B$15)*SUMPRODUCT((('2. The tape'!$C$5:$C$13*'2. The tape'!$D$5:$D$13*(1-'2. The tape'!$J$5:$J$13)^($A52/4)*(1+$AP$5)^($A52/4)*((1-'3. Assumptions'!$B$13)/($AP$6)-'2. The tape'!$H$5:$H$13/12-'3. Assumptions'!$B$16)-'2. The tape'!$C$5:$C$13*'2. The tape'!$I$5:$I$13*(1+$AP$5)^($A52/4))&gt;0)*('2. The tape'!$C$5:$C$13*'2. The tape'!$D$5:$D$13*(1-'2. The tape'!$J$5:$J$13)^($A52/4)*(1+$AP$5)^($A52/4)*((1-'3. Assumptions'!$B$13)/($AP$6)-'2. The tape'!$H$5:$H$13/12-'3. Assumptions'!$B$16)-'2. The tape'!$C$5:$C$13*'2. The tape'!$I$5:$I$13*(1+$AP$5)^($A52/4)))</f>
        <v>131631924.129582</v>
      </c>
      <c r="AR52" s="33" t="n">
        <f aca="false">'2. The tape'!$C$17*(1+MIN(MAX($AR$5,'3. Assumptions'!$B$11),'3. Assumptions'!$B$10))^INT(($A52-1)/4)/4*(1-'3. Assumptions'!$B$13)</f>
        <v>3646724.11627946</v>
      </c>
      <c r="AS52" s="33" t="n">
        <f aca="false">(1-'3. Assumptions'!$B$15)*SUMPRODUCT((('2. The tape'!$C$5:$C$13*'2. The tape'!$D$5:$D$13*(1-'2. The tape'!$J$5:$J$13)^($A52/4)*(1+$AR$5)^($A52/4)*((1-'3. Assumptions'!$B$13)/($AR$6)-'2. The tape'!$H$5:$H$13/12-'3. Assumptions'!$B$16)-'2. The tape'!$C$5:$C$13*'2. The tape'!$I$5:$I$13*(1+$AR$5)^($A52/4))&gt;0)*('2. The tape'!$C$5:$C$13*'2. The tape'!$D$5:$D$13*(1-'2. The tape'!$J$5:$J$13)^($A52/4)*(1+$AR$5)^($A52/4)*((1-'3. Assumptions'!$B$13)/($AR$6)-'2. The tape'!$H$5:$H$13/12-'3. Assumptions'!$B$16)-'2. The tape'!$C$5:$C$13*'2. The tape'!$I$5:$I$13*(1+$AR$5)^($A52/4)))</f>
        <v>131638396.246275</v>
      </c>
      <c r="AT52" s="33" t="n">
        <f aca="false">'2. The tape'!$C$17*(1+MIN(MAX($AT$5,'3. Assumptions'!$B$11),'3. Assumptions'!$B$10))^INT(($A52-1)/4)/4*(1-'3. Assumptions'!$B$13)</f>
        <v>3646724.11627946</v>
      </c>
      <c r="AU52" s="33" t="n">
        <f aca="false">(1-'3. Assumptions'!$B$15)*SUMPRODUCT((('2. The tape'!$C$5:$C$13*'2. The tape'!$D$5:$D$13*(1-'2. The tape'!$J$5:$J$13)^($A52/4)*(1+$AT$5)^($A52/4)*((1-'3. Assumptions'!$B$13)/($AT$6)-'2. The tape'!$H$5:$H$13/12-'3. Assumptions'!$B$16)-'2. The tape'!$C$5:$C$13*'2. The tape'!$I$5:$I$13*(1+$AT$5)^($A52/4))&gt;0)*('2. The tape'!$C$5:$C$13*'2. The tape'!$D$5:$D$13*(1-'2. The tape'!$J$5:$J$13)^($A52/4)*(1+$AT$5)^($A52/4)*((1-'3. Assumptions'!$B$13)/($AT$6)-'2. The tape'!$H$5:$H$13/12-'3. Assumptions'!$B$16)-'2. The tape'!$C$5:$C$13*'2. The tape'!$I$5:$I$13*(1+$AT$5)^($A52/4)))</f>
        <v>131638411.318206</v>
      </c>
      <c r="AV52" s="33" t="n">
        <f aca="false">'2. The tape'!$C$17*(1+MIN(MAX($AV$5,'3. Assumptions'!$B$11),'3. Assumptions'!$B$10))^INT(($A52-1)/4)/4*(1-'3. Assumptions'!$B$13)</f>
        <v>3646724.11627946</v>
      </c>
      <c r="AW52" s="33" t="n">
        <f aca="false">(1-'3. Assumptions'!$B$15)*SUMPRODUCT((('2. The tape'!$C$5:$C$13*'2. The tape'!$D$5:$D$13*(1-'2. The tape'!$J$5:$J$13)^($A52/4)*(1+$AV$5)^($A52/4)*((1-'3. Assumptions'!$B$13)/($AV$6)-'2. The tape'!$H$5:$H$13/12-'3. Assumptions'!$B$16)-'2. The tape'!$C$5:$C$13*'2. The tape'!$I$5:$I$13*(1+$AV$5)^($A52/4))&gt;0)*('2. The tape'!$C$5:$C$13*'2. The tape'!$D$5:$D$13*(1-'2. The tape'!$J$5:$J$13)^($A52/4)*(1+$AV$5)^($A52/4)*((1-'3. Assumptions'!$B$13)/($AV$6)-'2. The tape'!$H$5:$H$13/12-'3. Assumptions'!$B$16)-'2. The tape'!$C$5:$C$13*'2. The tape'!$I$5:$I$13*(1+$AV$5)^($A52/4)))</f>
        <v>131638411.317606</v>
      </c>
      <c r="AX52" s="33" t="n">
        <f aca="false">'2. The tape'!$C$17*(1+MIN(MAX($AX$5,'3. Assumptions'!$B$11),'3. Assumptions'!$B$10))^INT(($A52-1)/4)/4*(1-'3. Assumptions'!$B$13)</f>
        <v>3646724.11627946</v>
      </c>
      <c r="AY52" s="33" t="n">
        <f aca="false">(1-'3. Assumptions'!$B$15)*SUMPRODUCT((('2. The tape'!$C$5:$C$13*'2. The tape'!$D$5:$D$13*(1-'2. The tape'!$J$5:$J$13)^($A52/4)*(1+$AX$5)^($A52/4)*((1-'3. Assumptions'!$B$13)/($AX$6)-'2. The tape'!$H$5:$H$13/12-'3. Assumptions'!$B$16)-'2. The tape'!$C$5:$C$13*'2. The tape'!$I$5:$I$13*(1+$AX$5)^($A52/4))&gt;0)*('2. The tape'!$C$5:$C$13*'2. The tape'!$D$5:$D$13*(1-'2. The tape'!$J$5:$J$13)^($A52/4)*(1+$AX$5)^($A52/4)*((1-'3. Assumptions'!$B$13)/($AX$6)-'2. The tape'!$H$5:$H$13/12-'3. Assumptions'!$B$16)-'2. The tape'!$C$5:$C$13*'2. The tape'!$I$5:$I$13*(1+$AX$5)^($A52/4)))</f>
        <v>131638411.317606</v>
      </c>
      <c r="AZ52" s="33" t="n">
        <f aca="false">'2. The tape'!$C$17*(1+MIN(MAX($AZ$5,'3. Assumptions'!$B$11),'3. Assumptions'!$B$10))^INT(($A52-1)/4)/4*(1-'3. Assumptions'!$B$13)</f>
        <v>3646724.11627946</v>
      </c>
      <c r="BA52" s="33" t="n">
        <f aca="false">(1-'3. Assumptions'!$B$15)*SUMPRODUCT((('2. The tape'!$C$5:$C$13*'2. The tape'!$D$5:$D$13*(1-'2. The tape'!$J$5:$J$13)^($A52/4)*(1+$AZ$5)^($A52/4)*((1-'3. Assumptions'!$B$13)/($AZ$6)-'2. The tape'!$H$5:$H$13/12-'3. Assumptions'!$B$16)-'2. The tape'!$C$5:$C$13*'2. The tape'!$I$5:$I$13*(1+$AZ$5)^($A52/4))&gt;0)*('2. The tape'!$C$5:$C$13*'2. The tape'!$D$5:$D$13*(1-'2. The tape'!$J$5:$J$13)^($A52/4)*(1+$AZ$5)^($A52/4)*((1-'3. Assumptions'!$B$13)/($AZ$6)-'2. The tape'!$H$5:$H$13/12-'3. Assumptions'!$B$16)-'2. The tape'!$C$5:$C$13*'2. The tape'!$I$5:$I$13*(1+$AZ$5)^($A52/4)))</f>
        <v>131638411.317606</v>
      </c>
    </row>
    <row r="53" customFormat="false" ht="15" hidden="false" customHeight="false" outlineLevel="0" collapsed="false">
      <c r="A53" s="20" t="n">
        <v>38</v>
      </c>
      <c r="B53" s="33" t="n">
        <f aca="false">'2. The tape'!$C$17*(1+MIN(MAX($B$5,'3. Assumptions'!$B$11),'3. Assumptions'!$B$10))^INT(($A53-1)/4)/4*(1-'3. Assumptions'!$B$13)</f>
        <v>3646724.11627946</v>
      </c>
      <c r="C53" s="33" t="n">
        <f aca="false">(1-'3. Assumptions'!$B$15)*SUMPRODUCT((('2. The tape'!$C$5:$C$13*'2. The tape'!$D$5:$D$13*(1-'2. The tape'!$J$5:$J$13)^($A53/4)*(1+$B$5)^($A53/4)*((1-'3. Assumptions'!$B$13)/($B$6)-'2. The tape'!$H$5:$H$13/12-'3. Assumptions'!$B$16)-'2. The tape'!$C$5:$C$13*'2. The tape'!$I$5:$I$13*(1+$B$5)^($A53/4))&gt;0)*('2. The tape'!$C$5:$C$13*'2. The tape'!$D$5:$D$13*(1-'2. The tape'!$J$5:$J$13)^($A53/4)*(1+$B$5)^($A53/4)*((1-'3. Assumptions'!$B$13)/($B$6)-'2. The tape'!$H$5:$H$13/12-'3. Assumptions'!$B$16)-'2. The tape'!$C$5:$C$13*'2. The tape'!$I$5:$I$13*(1+$B$5)^($A53/4)))</f>
        <v>78357086.2683278</v>
      </c>
      <c r="D53" s="33" t="n">
        <f aca="false">'2. The tape'!$C$17*(1+MIN(MAX($D$5,'3. Assumptions'!$B$11),'3. Assumptions'!$B$10))^INT(($A53-1)/4)/4*(1-'3. Assumptions'!$B$13)</f>
        <v>3911829.0656731</v>
      </c>
      <c r="E53" s="33" t="n">
        <f aca="false">(1-'3. Assumptions'!$B$15)*SUMPRODUCT((('2. The tape'!$C$5:$C$13*'2. The tape'!$D$5:$D$13*(1-'2. The tape'!$J$5:$J$13)^($A53/4)*(1+$D$5)^($A53/4)*((1-'3. Assumptions'!$B$13)/($D$6)-'2. The tape'!$H$5:$H$13/12-'3. Assumptions'!$B$16)-'2. The tape'!$C$5:$C$13*'2. The tape'!$I$5:$I$13*(1+$D$5)^($A53/4))&gt;0)*('2. The tape'!$C$5:$C$13*'2. The tape'!$D$5:$D$13*(1-'2. The tape'!$J$5:$J$13)^($A53/4)*(1+$D$5)^($A53/4)*((1-'3. Assumptions'!$B$13)/($D$6)-'2. The tape'!$H$5:$H$13/12-'3. Assumptions'!$B$16)-'2. The tape'!$C$5:$C$13*'2. The tape'!$I$5:$I$13*(1+$D$5)^($A53/4)))</f>
        <v>88354381.5259192</v>
      </c>
      <c r="F53" s="33" t="n">
        <f aca="false">'2. The tape'!$C$17*(1+MIN(MAX($F$5,'3. Assumptions'!$B$11),'3. Assumptions'!$B$10))^INT(($A53-1)/4)/4*(1-'3. Assumptions'!$B$13)</f>
        <v>3278968.24628885</v>
      </c>
      <c r="G53" s="33" t="n">
        <f aca="false">(1-'3. Assumptions'!$B$15)*SUMPRODUCT((('2. The tape'!$C$5:$C$13*'2. The tape'!$D$5:$D$13*(1-'2. The tape'!$J$5:$J$13)^($A53/4)*(1+$F$5)^($A53/4)*((1-'3. Assumptions'!$B$13)/($F$6)-'2. The tape'!$H$5:$H$13/12-'3. Assumptions'!$B$16)-'2. The tape'!$C$5:$C$13*'2. The tape'!$I$5:$I$13*(1+$F$5)^($A53/4))&gt;0)*('2. The tape'!$C$5:$C$13*'2. The tape'!$D$5:$D$13*(1-'2. The tape'!$J$5:$J$13)^($A53/4)*(1+$F$5)^($A53/4)*((1-'3. Assumptions'!$B$13)/($F$6)-'2. The tape'!$H$5:$H$13/12-'3. Assumptions'!$B$16)-'2. The tape'!$C$5:$C$13*'2. The tape'!$I$5:$I$13*(1+$F$5)^($A53/4)))</f>
        <v>70040271.2116468</v>
      </c>
      <c r="H53" s="33" t="n">
        <f aca="false">'2. The tape'!$C$17*(1+MIN(MAX($H$5,'3. Assumptions'!$B$11),'3. Assumptions'!$B$10))^INT(($A53-1)/4)/4*(1-'3. Assumptions'!$B$13)</f>
        <v>3911829.0656731</v>
      </c>
      <c r="I53" s="33" t="n">
        <f aca="false">(1-'3. Assumptions'!$B$15)*SUMPRODUCT((('2. The tape'!$C$5:$C$13*'2. The tape'!$D$5:$D$13*(1-'2. The tape'!$J$5:$J$13)^($A53/4)*(1+$H$5)^($A53/4)*((1-'3. Assumptions'!$B$13)/($H$6)-'2. The tape'!$H$5:$H$13/12-'3. Assumptions'!$B$16)-'2. The tape'!$C$5:$C$13*'2. The tape'!$I$5:$I$13*(1+$H$5)^($A53/4))&gt;0)*('2. The tape'!$C$5:$C$13*'2. The tape'!$D$5:$D$13*(1-'2. The tape'!$J$5:$J$13)^($A53/4)*(1+$H$5)^($A53/4)*((1-'3. Assumptions'!$B$13)/($H$6)-'2. The tape'!$H$5:$H$13/12-'3. Assumptions'!$B$16)-'2. The tape'!$C$5:$C$13*'2. The tape'!$I$5:$I$13*(1+$H$5)^($A53/4)))</f>
        <v>88354381.5259192</v>
      </c>
      <c r="J53" s="33" t="n">
        <f aca="false">'2. The tape'!$C$17*(1+MIN(MAX($J$5,'3. Assumptions'!$B$11),'3. Assumptions'!$B$10))^INT(($A53-1)/4)/4*(1-'3. Assumptions'!$B$13)</f>
        <v>3646724.11627946</v>
      </c>
      <c r="K53" s="33" t="n">
        <f aca="false">(1-'3. Assumptions'!$B$15)*SUMPRODUCT((('2. The tape'!$C$5:$C$13*'2. The tape'!$D$5:$D$13*(1-'2. The tape'!$J$5:$J$13)^($A53/4)*(1+$J$5)^($A53/4)*((1-'3. Assumptions'!$B$13)/($J$6)-'2. The tape'!$H$5:$H$13/12-'3. Assumptions'!$B$16)-'2. The tape'!$C$5:$C$13*'2. The tape'!$I$5:$I$13*(1+$J$5)^($A53/4))&gt;0)*('2. The tape'!$C$5:$C$13*'2. The tape'!$D$5:$D$13*(1-'2. The tape'!$J$5:$J$13)^($A53/4)*(1+$J$5)^($A53/4)*((1-'3. Assumptions'!$B$13)/($J$6)-'2. The tape'!$H$5:$H$13/12-'3. Assumptions'!$B$16)-'2. The tape'!$C$5:$C$13*'2. The tape'!$I$5:$I$13*(1+$J$5)^($A53/4)))</f>
        <v>64295936.2344076</v>
      </c>
      <c r="L53" s="33" t="n">
        <f aca="false">'2. The tape'!$C$17*(1+MIN(MAX($L$5,'3. Assumptions'!$B$11),'3. Assumptions'!$B$10))^INT(($A53-1)/4)/4*(1-'3. Assumptions'!$B$13)</f>
        <v>3911829.0656731</v>
      </c>
      <c r="M53" s="33" t="n">
        <f aca="false">(1-'3. Assumptions'!$B$15)*SUMPRODUCT((('2. The tape'!$C$5:$C$13*'2. The tape'!$D$5:$D$13*(1-'2. The tape'!$J$5:$J$13)^($A53/4)*(1+$L$5)^($A53/4)*((1-'3. Assumptions'!$B$13)/($L$6)-'2. The tape'!$H$5:$H$13/12-'3. Assumptions'!$B$16)-'2. The tape'!$C$5:$C$13*'2. The tape'!$I$5:$I$13*(1+$L$5)^($A53/4))&gt;0)*('2. The tape'!$C$5:$C$13*'2. The tape'!$D$5:$D$13*(1-'2. The tape'!$J$5:$J$13)^($A53/4)*(1+$L$5)^($A53/4)*((1-'3. Assumptions'!$B$13)/($L$6)-'2. The tape'!$H$5:$H$13/12-'3. Assumptions'!$B$16)-'2. The tape'!$C$5:$C$13*'2. The tape'!$I$5:$I$13*(1+$L$5)^($A53/4)))</f>
        <v>770471564.62542</v>
      </c>
      <c r="N53" s="33" t="n">
        <f aca="false">'2. The tape'!$C$17*(1+MIN(MAX($N$5,'3. Assumptions'!$B$11),'3. Assumptions'!$B$10))^INT(($A53-1)/4)/4*(1-'3. Assumptions'!$B$13)</f>
        <v>2998091.25</v>
      </c>
      <c r="O53" s="33" t="n">
        <f aca="false">(1-'3. Assumptions'!$B$15)*SUMPRODUCT((('2. The tape'!$C$5:$C$13*'2. The tape'!$D$5:$D$13*(1-'2. The tape'!$J$5:$J$13)^($A53/4)*(1+$N$5)^($A53/4)*((1-'3. Assumptions'!$B$13)/($N$6)-'2. The tape'!$H$5:$H$13/12-'3. Assumptions'!$B$16)-'2. The tape'!$C$5:$C$13*'2. The tape'!$I$5:$I$13*(1+$N$5)^($A53/4))&gt;0)*('2. The tape'!$C$5:$C$13*'2. The tape'!$D$5:$D$13*(1-'2. The tape'!$J$5:$J$13)^($A53/4)*(1+$N$5)^($A53/4)*((1-'3. Assumptions'!$B$13)/($N$6)-'2. The tape'!$H$5:$H$13/12-'3. Assumptions'!$B$16)-'2. The tape'!$C$5:$C$13*'2. The tape'!$I$5:$I$13*(1+$N$5)^($A53/4)))</f>
        <v>47711848.6032598</v>
      </c>
      <c r="P53" s="33" t="n">
        <f aca="false">'2. The tape'!$C$17*(1+MIN(MAX($P$5,'3. Assumptions'!$B$11),'3. Assumptions'!$B$10))^INT(($A53-1)/4)/4*(1-'3. Assumptions'!$B$13)</f>
        <v>2998091.25</v>
      </c>
      <c r="Q53" s="33" t="n">
        <f aca="false">(1-'3. Assumptions'!$B$15)*SUMPRODUCT((('2. The tape'!$C$5:$C$13*'2. The tape'!$D$5:$D$13*(1-'2. The tape'!$J$5:$J$13)^($A53/4)*(1+$P$5)^($A53/4)*((1-'3. Assumptions'!$B$13)/($P$6)-'2. The tape'!$H$5:$H$13/12-'3. Assumptions'!$B$16)-'2. The tape'!$C$5:$C$13*'2. The tape'!$I$5:$I$13*(1+$P$5)^($A53/4))&gt;0)*('2. The tape'!$C$5:$C$13*'2. The tape'!$D$5:$D$13*(1-'2. The tape'!$J$5:$J$13)^($A53/4)*(1+$P$5)^($A53/4)*((1-'3. Assumptions'!$B$13)/($P$6)-'2. The tape'!$H$5:$H$13/12-'3. Assumptions'!$B$16)-'2. The tape'!$C$5:$C$13*'2. The tape'!$I$5:$I$13*(1+$P$5)^($A53/4)))</f>
        <v>52594761.1580624</v>
      </c>
      <c r="R53" s="33" t="n">
        <f aca="false">'2. The tape'!$C$17*(1+MIN(MAX($R$5,'3. Assumptions'!$B$11),'3. Assumptions'!$B$10))^INT(($A53-1)/4)/4*(1-'3. Assumptions'!$B$13)</f>
        <v>2998091.25</v>
      </c>
      <c r="S53" s="33" t="n">
        <f aca="false">(1-'3. Assumptions'!$B$15)*SUMPRODUCT((('2. The tape'!$C$5:$C$13*'2. The tape'!$D$5:$D$13*(1-'2. The tape'!$J$5:$J$13)^($A53/4)*(1+$R$5)^($A53/4)*((1-'3. Assumptions'!$B$13)/($R$6)-'2. The tape'!$H$5:$H$13/12-'3. Assumptions'!$B$16)-'2. The tape'!$C$5:$C$13*'2. The tape'!$I$5:$I$13*(1+$R$5)^($A53/4))&gt;0)*('2. The tape'!$C$5:$C$13*'2. The tape'!$D$5:$D$13*(1-'2. The tape'!$J$5:$J$13)^($A53/4)*(1+$R$5)^($A53/4)*((1-'3. Assumptions'!$B$13)/($R$6)-'2. The tape'!$H$5:$H$13/12-'3. Assumptions'!$B$16)-'2. The tape'!$C$5:$C$13*'2. The tape'!$I$5:$I$13*(1+$R$5)^($A53/4)))</f>
        <v>49588184.5907524</v>
      </c>
      <c r="T53" s="33" t="n">
        <f aca="false">'2. The tape'!$C$17*(1+MIN(MAX($T$5,'3. Assumptions'!$B$11),'3. Assumptions'!$B$10))^INT(($A53-1)/4)/4*(1-'3. Assumptions'!$B$13)</f>
        <v>2998091.25</v>
      </c>
      <c r="U53" s="33" t="n">
        <f aca="false">(1-'3. Assumptions'!$B$15)*SUMPRODUCT((('2. The tape'!$C$5:$C$13*'2. The tape'!$D$5:$D$13*(1-'2. The tape'!$J$5:$J$13)^($A53/4)*(1+$T$5)^($A53/4)*((1-'3. Assumptions'!$B$13)/($T$6)-'2. The tape'!$H$5:$H$13/12-'3. Assumptions'!$B$16)-'2. The tape'!$C$5:$C$13*'2. The tape'!$I$5:$I$13*(1+$T$5)^($A53/4))&gt;0)*('2. The tape'!$C$5:$C$13*'2. The tape'!$D$5:$D$13*(1-'2. The tape'!$J$5:$J$13)^($A53/4)*(1+$T$5)^($A53/4)*((1-'3. Assumptions'!$B$13)/($T$6)-'2. The tape'!$H$5:$H$13/12-'3. Assumptions'!$B$16)-'2. The tape'!$C$5:$C$13*'2. The tape'!$I$5:$I$13*(1+$T$5)^($A53/4)))</f>
        <v>49508821.9556141</v>
      </c>
      <c r="V53" s="33" t="n">
        <f aca="false">'2. The tape'!$C$17*(1+MIN(MAX($V$5,'3. Assumptions'!$B$11),'3. Assumptions'!$B$10))^INT(($A53-1)/4)/4*(1-'3. Assumptions'!$B$13)</f>
        <v>2998091.25</v>
      </c>
      <c r="W53" s="33" t="n">
        <f aca="false">(1-'3. Assumptions'!$B$15)*SUMPRODUCT((('2. The tape'!$C$5:$C$13*'2. The tape'!$D$5:$D$13*(1-'2. The tape'!$J$5:$J$13)^($A53/4)*(1+$V$5)^($A53/4)*((1-'3. Assumptions'!$B$13)/($V$6)-'2. The tape'!$H$5:$H$13/12-'3. Assumptions'!$B$16)-'2. The tape'!$C$5:$C$13*'2. The tape'!$I$5:$I$13*(1+$V$5)^($A53/4))&gt;0)*('2. The tape'!$C$5:$C$13*'2. The tape'!$D$5:$D$13*(1-'2. The tape'!$J$5:$J$13)^($A53/4)*(1+$V$5)^($A53/4)*((1-'3. Assumptions'!$B$13)/($V$6)-'2. The tape'!$H$5:$H$13/12-'3. Assumptions'!$B$16)-'2. The tape'!$C$5:$C$13*'2. The tape'!$I$5:$I$13*(1+$V$5)^($A53/4)))</f>
        <v>49512008.4773846</v>
      </c>
      <c r="X53" s="33" t="n">
        <f aca="false">'2. The tape'!$C$17*(1+MIN(MAX($X$5,'3. Assumptions'!$B$11),'3. Assumptions'!$B$10))^INT(($A53-1)/4)/4*(1-'3. Assumptions'!$B$13)</f>
        <v>2998091.25</v>
      </c>
      <c r="Y53" s="33" t="n">
        <f aca="false">(1-'3. Assumptions'!$B$15)*SUMPRODUCT((('2. The tape'!$C$5:$C$13*'2. The tape'!$D$5:$D$13*(1-'2. The tape'!$J$5:$J$13)^($A53/4)*(1+$X$5)^($A53/4)*((1-'3. Assumptions'!$B$13)/($X$6)-'2. The tape'!$H$5:$H$13/12-'3. Assumptions'!$B$16)-'2. The tape'!$C$5:$C$13*'2. The tape'!$I$5:$I$13*(1+$X$5)^($A53/4))&gt;0)*('2. The tape'!$C$5:$C$13*'2. The tape'!$D$5:$D$13*(1-'2. The tape'!$J$5:$J$13)^($A53/4)*(1+$X$5)^($A53/4)*((1-'3. Assumptions'!$B$13)/($X$6)-'2. The tape'!$H$5:$H$13/12-'3. Assumptions'!$B$16)-'2. The tape'!$C$5:$C$13*'2. The tape'!$I$5:$I$13*(1+$X$5)^($A53/4)))</f>
        <v>49512005.1264624</v>
      </c>
      <c r="Z53" s="33" t="n">
        <f aca="false">'2. The tape'!$C$17*(1+MIN(MAX($Z$5,'3. Assumptions'!$B$11),'3. Assumptions'!$B$10))^INT(($A53-1)/4)/4*(1-'3. Assumptions'!$B$13)</f>
        <v>2998091.25</v>
      </c>
      <c r="AA53" s="33" t="n">
        <f aca="false">(1-'3. Assumptions'!$B$15)*SUMPRODUCT((('2. The tape'!$C$5:$C$13*'2. The tape'!$D$5:$D$13*(1-'2. The tape'!$J$5:$J$13)^($A53/4)*(1+$Z$5)^($A53/4)*((1-'3. Assumptions'!$B$13)/($Z$6)-'2. The tape'!$H$5:$H$13/12-'3. Assumptions'!$B$16)-'2. The tape'!$C$5:$C$13*'2. The tape'!$I$5:$I$13*(1+$Z$5)^($A53/4))&gt;0)*('2. The tape'!$C$5:$C$13*'2. The tape'!$D$5:$D$13*(1-'2. The tape'!$J$5:$J$13)^($A53/4)*(1+$Z$5)^($A53/4)*((1-'3. Assumptions'!$B$13)/($Z$6)-'2. The tape'!$H$5:$H$13/12-'3. Assumptions'!$B$16)-'2. The tape'!$C$5:$C$13*'2. The tape'!$I$5:$I$13*(1+$Z$5)^($A53/4)))</f>
        <v>49512005.1263149</v>
      </c>
      <c r="AB53" s="33" t="n">
        <f aca="false">'2. The tape'!$C$17*(1+MIN(MAX($AB$5,'3. Assumptions'!$B$11),'3. Assumptions'!$B$10))^INT(($A53-1)/4)/4*(1-'3. Assumptions'!$B$13)</f>
        <v>2998091.25</v>
      </c>
      <c r="AC53" s="33" t="n">
        <f aca="false">(1-'3. Assumptions'!$B$15)*SUMPRODUCT((('2. The tape'!$C$5:$C$13*'2. The tape'!$D$5:$D$13*(1-'2. The tape'!$J$5:$J$13)^($A53/4)*(1+$AB$5)^($A53/4)*((1-'3. Assumptions'!$B$13)/($AB$6)-'2. The tape'!$H$5:$H$13/12-'3. Assumptions'!$B$16)-'2. The tape'!$C$5:$C$13*'2. The tape'!$I$5:$I$13*(1+$AB$5)^($A53/4))&gt;0)*('2. The tape'!$C$5:$C$13*'2. The tape'!$D$5:$D$13*(1-'2. The tape'!$J$5:$J$13)^($A53/4)*(1+$AB$5)^($A53/4)*((1-'3. Assumptions'!$B$13)/($AB$6)-'2. The tape'!$H$5:$H$13/12-'3. Assumptions'!$B$16)-'2. The tape'!$C$5:$C$13*'2. The tape'!$I$5:$I$13*(1+$AB$5)^($A53/4)))</f>
        <v>49512005.1263149</v>
      </c>
      <c r="AD53" s="33" t="n">
        <f aca="false">'2. The tape'!$C$17*(1+MIN(MAX($AD$5,'3. Assumptions'!$B$11),'3. Assumptions'!$B$10))^INT(($A53-1)/4)/4*(1-'3. Assumptions'!$B$13)</f>
        <v>2998091.25</v>
      </c>
      <c r="AE53" s="33" t="n">
        <f aca="false">(1-'3. Assumptions'!$B$15)*SUMPRODUCT((('2. The tape'!$C$5:$C$13*'2. The tape'!$D$5:$D$13*(1-'2. The tape'!$J$5:$J$13)^($A53/4)*(1+$AD$5)^($A53/4)*((1-'3. Assumptions'!$B$13)/($AD$6)-'2. The tape'!$H$5:$H$13/12-'3. Assumptions'!$B$16)-'2. The tape'!$C$5:$C$13*'2. The tape'!$I$5:$I$13*(1+$AD$5)^($A53/4))&gt;0)*('2. The tape'!$C$5:$C$13*'2. The tape'!$D$5:$D$13*(1-'2. The tape'!$J$5:$J$13)^($A53/4)*(1+$AD$5)^($A53/4)*((1-'3. Assumptions'!$B$13)/($AD$6)-'2. The tape'!$H$5:$H$13/12-'3. Assumptions'!$B$16)-'2. The tape'!$C$5:$C$13*'2. The tape'!$I$5:$I$13*(1+$AD$5)^($A53/4)))</f>
        <v>49512005.1263149</v>
      </c>
      <c r="AF53" s="33" t="n">
        <f aca="false">'2. The tape'!$C$17*(1+MIN(MAX($AF$5,'3. Assumptions'!$B$11),'3. Assumptions'!$B$10))^INT(($A53-1)/4)/4*(1-'3. Assumptions'!$B$13)</f>
        <v>2998091.25</v>
      </c>
      <c r="AG53" s="33" t="n">
        <f aca="false">(1-'3. Assumptions'!$B$15)*SUMPRODUCT((('2. The tape'!$C$5:$C$13*'2. The tape'!$D$5:$D$13*(1-'2. The tape'!$J$5:$J$13)^($A53/4)*(1+$AF$5)^($A53/4)*((1-'3. Assumptions'!$B$13)/($AF$6)-'2. The tape'!$H$5:$H$13/12-'3. Assumptions'!$B$16)-'2. The tape'!$C$5:$C$13*'2. The tape'!$I$5:$I$13*(1+$AF$5)^($A53/4))&gt;0)*('2. The tape'!$C$5:$C$13*'2. The tape'!$D$5:$D$13*(1-'2. The tape'!$J$5:$J$13)^($A53/4)*(1+$AF$5)^($A53/4)*((1-'3. Assumptions'!$B$13)/($AF$6)-'2. The tape'!$H$5:$H$13/12-'3. Assumptions'!$B$16)-'2. The tape'!$C$5:$C$13*'2. The tape'!$I$5:$I$13*(1+$AF$5)^($A53/4)))</f>
        <v>49512005.1263149</v>
      </c>
      <c r="AH53" s="33" t="n">
        <f aca="false">'2. The tape'!$C$17*(1+MIN(MAX($AH$5,'3. Assumptions'!$B$11),'3. Assumptions'!$B$10))^INT(($A53-1)/4)/4*(1-'3. Assumptions'!$B$13)</f>
        <v>3646724.11627946</v>
      </c>
      <c r="AI53" s="33" t="n">
        <f aca="false">(1-'3. Assumptions'!$B$15)*SUMPRODUCT((('2. The tape'!$C$5:$C$13*'2. The tape'!$D$5:$D$13*(1-'2. The tape'!$J$5:$J$13)^($A53/4)*(1+$AH$5)^($A53/4)*((1-'3. Assumptions'!$B$13)/($AH$6)-'2. The tape'!$H$5:$H$13/12-'3. Assumptions'!$B$16)-'2. The tape'!$C$5:$C$13*'2. The tape'!$I$5:$I$13*(1+$AH$5)^($A53/4))&gt;0)*('2. The tape'!$C$5:$C$13*'2. The tape'!$D$5:$D$13*(1-'2. The tape'!$J$5:$J$13)^($A53/4)*(1+$AH$5)^($A53/4)*((1-'3. Assumptions'!$B$13)/($AH$6)-'2. The tape'!$H$5:$H$13/12-'3. Assumptions'!$B$16)-'2. The tape'!$C$5:$C$13*'2. The tape'!$I$5:$I$13*(1+$AH$5)^($A53/4)))</f>
        <v>155130965.453532</v>
      </c>
      <c r="AJ53" s="33" t="n">
        <f aca="false">'2. The tape'!$C$17*(1+MIN(MAX($AJ$5,'3. Assumptions'!$B$11),'3. Assumptions'!$B$10))^INT(($A53-1)/4)/4*(1-'3. Assumptions'!$B$13)</f>
        <v>3646724.11627946</v>
      </c>
      <c r="AK53" s="33" t="n">
        <f aca="false">(1-'3. Assumptions'!$B$15)*SUMPRODUCT((('2. The tape'!$C$5:$C$13*'2. The tape'!$D$5:$D$13*(1-'2. The tape'!$J$5:$J$13)^($A53/4)*(1+$AJ$5)^($A53/4)*((1-'3. Assumptions'!$B$13)/($AJ$6)-'2. The tape'!$H$5:$H$13/12-'3. Assumptions'!$B$16)-'2. The tape'!$C$5:$C$13*'2. The tape'!$I$5:$I$13*(1+$AJ$5)^($A53/4))&gt;0)*('2. The tape'!$C$5:$C$13*'2. The tape'!$D$5:$D$13*(1-'2. The tape'!$J$5:$J$13)^($A53/4)*(1+$AJ$5)^($A53/4)*((1-'3. Assumptions'!$B$13)/($AJ$6)-'2. The tape'!$H$5:$H$13/12-'3. Assumptions'!$B$16)-'2. The tape'!$C$5:$C$13*'2. The tape'!$I$5:$I$13*(1+$AJ$5)^($A53/4)))</f>
        <v>112103846.349736</v>
      </c>
      <c r="AL53" s="33" t="n">
        <f aca="false">'2. The tape'!$C$17*(1+MIN(MAX($AL$5,'3. Assumptions'!$B$11),'3. Assumptions'!$B$10))^INT(($A53-1)/4)/4*(1-'3. Assumptions'!$B$13)</f>
        <v>3646724.11627946</v>
      </c>
      <c r="AM53" s="33" t="n">
        <f aca="false">(1-'3. Assumptions'!$B$15)*SUMPRODUCT((('2. The tape'!$C$5:$C$13*'2. The tape'!$D$5:$D$13*(1-'2. The tape'!$J$5:$J$13)^($A53/4)*(1+$AL$5)^($A53/4)*((1-'3. Assumptions'!$B$13)/($AL$6)-'2. The tape'!$H$5:$H$13/12-'3. Assumptions'!$B$16)-'2. The tape'!$C$5:$C$13*'2. The tape'!$I$5:$I$13*(1+$AL$5)^($A53/4))&gt;0)*('2. The tape'!$C$5:$C$13*'2. The tape'!$D$5:$D$13*(1-'2. The tape'!$J$5:$J$13)^($A53/4)*(1+$AL$5)^($A53/4)*((1-'3. Assumptions'!$B$13)/($AL$6)-'2. The tape'!$H$5:$H$13/12-'3. Assumptions'!$B$16)-'2. The tape'!$C$5:$C$13*'2. The tape'!$I$5:$I$13*(1+$AL$5)^($A53/4)))</f>
        <v>128791632.664395</v>
      </c>
      <c r="AN53" s="33" t="n">
        <f aca="false">'2. The tape'!$C$17*(1+MIN(MAX($AN$5,'3. Assumptions'!$B$11),'3. Assumptions'!$B$10))^INT(($A53-1)/4)/4*(1-'3. Assumptions'!$B$13)</f>
        <v>3646724.11627946</v>
      </c>
      <c r="AO53" s="33" t="n">
        <f aca="false">(1-'3. Assumptions'!$B$15)*SUMPRODUCT((('2. The tape'!$C$5:$C$13*'2. The tape'!$D$5:$D$13*(1-'2. The tape'!$J$5:$J$13)^($A53/4)*(1+$AN$5)^($A53/4)*((1-'3. Assumptions'!$B$13)/($AN$6)-'2. The tape'!$H$5:$H$13/12-'3. Assumptions'!$B$16)-'2. The tape'!$C$5:$C$13*'2. The tape'!$I$5:$I$13*(1+$AN$5)^($A53/4))&gt;0)*('2. The tape'!$C$5:$C$13*'2. The tape'!$D$5:$D$13*(1-'2. The tape'!$J$5:$J$13)^($A53/4)*(1+$AN$5)^($A53/4)*((1-'3. Assumptions'!$B$13)/($AN$6)-'2. The tape'!$H$5:$H$13/12-'3. Assumptions'!$B$16)-'2. The tape'!$C$5:$C$13*'2. The tape'!$I$5:$I$13*(1+$AN$5)^($A53/4)))</f>
        <v>131916098.730388</v>
      </c>
      <c r="AP53" s="33" t="n">
        <f aca="false">'2. The tape'!$C$17*(1+MIN(MAX($AP$5,'3. Assumptions'!$B$11),'3. Assumptions'!$B$10))^INT(($A53-1)/4)/4*(1-'3. Assumptions'!$B$13)</f>
        <v>3646724.11627946</v>
      </c>
      <c r="AQ53" s="33" t="n">
        <f aca="false">(1-'3. Assumptions'!$B$15)*SUMPRODUCT((('2. The tape'!$C$5:$C$13*'2. The tape'!$D$5:$D$13*(1-'2. The tape'!$J$5:$J$13)^($A53/4)*(1+$AP$5)^($A53/4)*((1-'3. Assumptions'!$B$13)/($AP$6)-'2. The tape'!$H$5:$H$13/12-'3. Assumptions'!$B$16)-'2. The tape'!$C$5:$C$13*'2. The tape'!$I$5:$I$13*(1+$AP$5)^($A53/4))&gt;0)*('2. The tape'!$C$5:$C$13*'2. The tape'!$D$5:$D$13*(1-'2. The tape'!$J$5:$J$13)^($A53/4)*(1+$AP$5)^($A53/4)*((1-'3. Assumptions'!$B$13)/($AP$6)-'2. The tape'!$H$5:$H$13/12-'3. Assumptions'!$B$16)-'2. The tape'!$C$5:$C$13*'2. The tape'!$I$5:$I$13*(1+$AP$5)^($A53/4)))</f>
        <v>131530389.806063</v>
      </c>
      <c r="AR53" s="33" t="n">
        <f aca="false">'2. The tape'!$C$17*(1+MIN(MAX($AR$5,'3. Assumptions'!$B$11),'3. Assumptions'!$B$10))^INT(($A53-1)/4)/4*(1-'3. Assumptions'!$B$13)</f>
        <v>3646724.11627946</v>
      </c>
      <c r="AS53" s="33" t="n">
        <f aca="false">(1-'3. Assumptions'!$B$15)*SUMPRODUCT((('2. The tape'!$C$5:$C$13*'2. The tape'!$D$5:$D$13*(1-'2. The tape'!$J$5:$J$13)^($A53/4)*(1+$AR$5)^($A53/4)*((1-'3. Assumptions'!$B$13)/($AR$6)-'2. The tape'!$H$5:$H$13/12-'3. Assumptions'!$B$16)-'2. The tape'!$C$5:$C$13*'2. The tape'!$I$5:$I$13*(1+$AR$5)^($A53/4))&gt;0)*('2. The tape'!$C$5:$C$13*'2. The tape'!$D$5:$D$13*(1-'2. The tape'!$J$5:$J$13)^($A53/4)*(1+$AR$5)^($A53/4)*((1-'3. Assumptions'!$B$13)/($AR$6)-'2. The tape'!$H$5:$H$13/12-'3. Assumptions'!$B$16)-'2. The tape'!$C$5:$C$13*'2. The tape'!$I$5:$I$13*(1+$AR$5)^($A53/4)))</f>
        <v>131536861.449343</v>
      </c>
      <c r="AT53" s="33" t="n">
        <f aca="false">'2. The tape'!$C$17*(1+MIN(MAX($AT$5,'3. Assumptions'!$B$11),'3. Assumptions'!$B$10))^INT(($A53-1)/4)/4*(1-'3. Assumptions'!$B$13)</f>
        <v>3646724.11627946</v>
      </c>
      <c r="AU53" s="33" t="n">
        <f aca="false">(1-'3. Assumptions'!$B$15)*SUMPRODUCT((('2. The tape'!$C$5:$C$13*'2. The tape'!$D$5:$D$13*(1-'2. The tape'!$J$5:$J$13)^($A53/4)*(1+$AT$5)^($A53/4)*((1-'3. Assumptions'!$B$13)/($AT$6)-'2. The tape'!$H$5:$H$13/12-'3. Assumptions'!$B$16)-'2. The tape'!$C$5:$C$13*'2. The tape'!$I$5:$I$13*(1+$AT$5)^($A53/4))&gt;0)*('2. The tape'!$C$5:$C$13*'2. The tape'!$D$5:$D$13*(1-'2. The tape'!$J$5:$J$13)^($A53/4)*(1+$AT$5)^($A53/4)*((1-'3. Assumptions'!$B$13)/($AT$6)-'2. The tape'!$H$5:$H$13/12-'3. Assumptions'!$B$16)-'2. The tape'!$C$5:$C$13*'2. The tape'!$I$5:$I$13*(1+$AT$5)^($A53/4)))</f>
        <v>131536876.520172</v>
      </c>
      <c r="AV53" s="33" t="n">
        <f aca="false">'2. The tape'!$C$17*(1+MIN(MAX($AV$5,'3. Assumptions'!$B$11),'3. Assumptions'!$B$10))^INT(($A53-1)/4)/4*(1-'3. Assumptions'!$B$13)</f>
        <v>3646724.11627946</v>
      </c>
      <c r="AW53" s="33" t="n">
        <f aca="false">(1-'3. Assumptions'!$B$15)*SUMPRODUCT((('2. The tape'!$C$5:$C$13*'2. The tape'!$D$5:$D$13*(1-'2. The tape'!$J$5:$J$13)^($A53/4)*(1+$AV$5)^($A53/4)*((1-'3. Assumptions'!$B$13)/($AV$6)-'2. The tape'!$H$5:$H$13/12-'3. Assumptions'!$B$16)-'2. The tape'!$C$5:$C$13*'2. The tape'!$I$5:$I$13*(1+$AV$5)^($A53/4))&gt;0)*('2. The tape'!$C$5:$C$13*'2. The tape'!$D$5:$D$13*(1-'2. The tape'!$J$5:$J$13)^($A53/4)*(1+$AV$5)^($A53/4)*((1-'3. Assumptions'!$B$13)/($AV$6)-'2. The tape'!$H$5:$H$13/12-'3. Assumptions'!$B$16)-'2. The tape'!$C$5:$C$13*'2. The tape'!$I$5:$I$13*(1+$AV$5)^($A53/4)))</f>
        <v>131536876.519572</v>
      </c>
      <c r="AX53" s="33" t="n">
        <f aca="false">'2. The tape'!$C$17*(1+MIN(MAX($AX$5,'3. Assumptions'!$B$11),'3. Assumptions'!$B$10))^INT(($A53-1)/4)/4*(1-'3. Assumptions'!$B$13)</f>
        <v>3646724.11627946</v>
      </c>
      <c r="AY53" s="33" t="n">
        <f aca="false">(1-'3. Assumptions'!$B$15)*SUMPRODUCT((('2. The tape'!$C$5:$C$13*'2. The tape'!$D$5:$D$13*(1-'2. The tape'!$J$5:$J$13)^($A53/4)*(1+$AX$5)^($A53/4)*((1-'3. Assumptions'!$B$13)/($AX$6)-'2. The tape'!$H$5:$H$13/12-'3. Assumptions'!$B$16)-'2. The tape'!$C$5:$C$13*'2. The tape'!$I$5:$I$13*(1+$AX$5)^($A53/4))&gt;0)*('2. The tape'!$C$5:$C$13*'2. The tape'!$D$5:$D$13*(1-'2. The tape'!$J$5:$J$13)^($A53/4)*(1+$AX$5)^($A53/4)*((1-'3. Assumptions'!$B$13)/($AX$6)-'2. The tape'!$H$5:$H$13/12-'3. Assumptions'!$B$16)-'2. The tape'!$C$5:$C$13*'2. The tape'!$I$5:$I$13*(1+$AX$5)^($A53/4)))</f>
        <v>131536876.519572</v>
      </c>
      <c r="AZ53" s="33" t="n">
        <f aca="false">'2. The tape'!$C$17*(1+MIN(MAX($AZ$5,'3. Assumptions'!$B$11),'3. Assumptions'!$B$10))^INT(($A53-1)/4)/4*(1-'3. Assumptions'!$B$13)</f>
        <v>3646724.11627946</v>
      </c>
      <c r="BA53" s="33" t="n">
        <f aca="false">(1-'3. Assumptions'!$B$15)*SUMPRODUCT((('2. The tape'!$C$5:$C$13*'2. The tape'!$D$5:$D$13*(1-'2. The tape'!$J$5:$J$13)^($A53/4)*(1+$AZ$5)^($A53/4)*((1-'3. Assumptions'!$B$13)/($AZ$6)-'2. The tape'!$H$5:$H$13/12-'3. Assumptions'!$B$16)-'2. The tape'!$C$5:$C$13*'2. The tape'!$I$5:$I$13*(1+$AZ$5)^($A53/4))&gt;0)*('2. The tape'!$C$5:$C$13*'2. The tape'!$D$5:$D$13*(1-'2. The tape'!$J$5:$J$13)^($A53/4)*(1+$AZ$5)^($A53/4)*((1-'3. Assumptions'!$B$13)/($AZ$6)-'2. The tape'!$H$5:$H$13/12-'3. Assumptions'!$B$16)-'2. The tape'!$C$5:$C$13*'2. The tape'!$I$5:$I$13*(1+$AZ$5)^($A53/4)))</f>
        <v>131536876.519572</v>
      </c>
    </row>
    <row r="54" customFormat="false" ht="15" hidden="false" customHeight="false" outlineLevel="0" collapsed="false">
      <c r="A54" s="20" t="n">
        <v>39</v>
      </c>
      <c r="B54" s="33" t="n">
        <f aca="false">'2. The tape'!$C$17*(1+MIN(MAX($B$5,'3. Assumptions'!$B$11),'3. Assumptions'!$B$10))^INT(($A54-1)/4)/4*(1-'3. Assumptions'!$B$13)</f>
        <v>3646724.11627946</v>
      </c>
      <c r="C54" s="33" t="n">
        <f aca="false">(1-'3. Assumptions'!$B$15)*SUMPRODUCT((('2. The tape'!$C$5:$C$13*'2. The tape'!$D$5:$D$13*(1-'2. The tape'!$J$5:$J$13)^($A54/4)*(1+$B$5)^($A54/4)*((1-'3. Assumptions'!$B$13)/($B$6)-'2. The tape'!$H$5:$H$13/12-'3. Assumptions'!$B$16)-'2. The tape'!$C$5:$C$13*'2. The tape'!$I$5:$I$13*(1+$B$5)^($A54/4))&gt;0)*('2. The tape'!$C$5:$C$13*'2. The tape'!$D$5:$D$13*(1-'2. The tape'!$J$5:$J$13)^($A54/4)*(1+$B$5)^($A54/4)*((1-'3. Assumptions'!$B$13)/($B$6)-'2. The tape'!$H$5:$H$13/12-'3. Assumptions'!$B$16)-'2. The tape'!$C$5:$C$13*'2. The tape'!$I$5:$I$13*(1+$B$5)^($A54/4)))</f>
        <v>78259171.8852166</v>
      </c>
      <c r="D54" s="33" t="n">
        <f aca="false">'2. The tape'!$C$17*(1+MIN(MAX($D$5,'3. Assumptions'!$B$11),'3. Assumptions'!$B$10))^INT(($A54-1)/4)/4*(1-'3. Assumptions'!$B$13)</f>
        <v>3911829.0656731</v>
      </c>
      <c r="E54" s="33" t="n">
        <f aca="false">(1-'3. Assumptions'!$B$15)*SUMPRODUCT((('2. The tape'!$C$5:$C$13*'2. The tape'!$D$5:$D$13*(1-'2. The tape'!$J$5:$J$13)^($A54/4)*(1+$D$5)^($A54/4)*((1-'3. Assumptions'!$B$13)/($D$6)-'2. The tape'!$H$5:$H$13/12-'3. Assumptions'!$B$16)-'2. The tape'!$C$5:$C$13*'2. The tape'!$I$5:$I$13*(1+$D$5)^($A54/4))&gt;0)*('2. The tape'!$C$5:$C$13*'2. The tape'!$D$5:$D$13*(1-'2. The tape'!$J$5:$J$13)^($A54/4)*(1+$D$5)^($A54/4)*((1-'3. Assumptions'!$B$13)/($D$6)-'2. The tape'!$H$5:$H$13/12-'3. Assumptions'!$B$16)-'2. The tape'!$C$5:$C$13*'2. The tape'!$I$5:$I$13*(1+$D$5)^($A54/4)))</f>
        <v>88523265.1720632</v>
      </c>
      <c r="F54" s="33" t="n">
        <f aca="false">'2. The tape'!$C$17*(1+MIN(MAX($F$5,'3. Assumptions'!$B$11),'3. Assumptions'!$B$10))^INT(($A54-1)/4)/4*(1-'3. Assumptions'!$B$13)</f>
        <v>3278968.24628885</v>
      </c>
      <c r="G54" s="33" t="n">
        <f aca="false">(1-'3. Assumptions'!$B$15)*SUMPRODUCT((('2. The tape'!$C$5:$C$13*'2. The tape'!$D$5:$D$13*(1-'2. The tape'!$J$5:$J$13)^($A54/4)*(1+$F$5)^($A54/4)*((1-'3. Assumptions'!$B$13)/($F$6)-'2. The tape'!$H$5:$H$13/12-'3. Assumptions'!$B$16)-'2. The tape'!$C$5:$C$13*'2. The tape'!$I$5:$I$13*(1+$F$5)^($A54/4))&gt;0)*('2. The tape'!$C$5:$C$13*'2. The tape'!$D$5:$D$13*(1-'2. The tape'!$J$5:$J$13)^($A54/4)*(1+$F$5)^($A54/4)*((1-'3. Assumptions'!$B$13)/($F$6)-'2. The tape'!$H$5:$H$13/12-'3. Assumptions'!$B$16)-'2. The tape'!$C$5:$C$13*'2. The tape'!$I$5:$I$13*(1+$F$5)^($A54/4)))</f>
        <v>69746498.3162975</v>
      </c>
      <c r="H54" s="33" t="n">
        <f aca="false">'2. The tape'!$C$17*(1+MIN(MAX($H$5,'3. Assumptions'!$B$11),'3. Assumptions'!$B$10))^INT(($A54-1)/4)/4*(1-'3. Assumptions'!$B$13)</f>
        <v>3911829.0656731</v>
      </c>
      <c r="I54" s="33" t="n">
        <f aca="false">(1-'3. Assumptions'!$B$15)*SUMPRODUCT((('2. The tape'!$C$5:$C$13*'2. The tape'!$D$5:$D$13*(1-'2. The tape'!$J$5:$J$13)^($A54/4)*(1+$H$5)^($A54/4)*((1-'3. Assumptions'!$B$13)/($H$6)-'2. The tape'!$H$5:$H$13/12-'3. Assumptions'!$B$16)-'2. The tape'!$C$5:$C$13*'2. The tape'!$I$5:$I$13*(1+$H$5)^($A54/4))&gt;0)*('2. The tape'!$C$5:$C$13*'2. The tape'!$D$5:$D$13*(1-'2. The tape'!$J$5:$J$13)^($A54/4)*(1+$H$5)^($A54/4)*((1-'3. Assumptions'!$B$13)/($H$6)-'2. The tape'!$H$5:$H$13/12-'3. Assumptions'!$B$16)-'2. The tape'!$C$5:$C$13*'2. The tape'!$I$5:$I$13*(1+$H$5)^($A54/4)))</f>
        <v>88523265.1720632</v>
      </c>
      <c r="J54" s="33" t="n">
        <f aca="false">'2. The tape'!$C$17*(1+MIN(MAX($J$5,'3. Assumptions'!$B$11),'3. Assumptions'!$B$10))^INT(($A54-1)/4)/4*(1-'3. Assumptions'!$B$13)</f>
        <v>3646724.11627946</v>
      </c>
      <c r="K54" s="33" t="n">
        <f aca="false">(1-'3. Assumptions'!$B$15)*SUMPRODUCT((('2. The tape'!$C$5:$C$13*'2. The tape'!$D$5:$D$13*(1-'2. The tape'!$J$5:$J$13)^($A54/4)*(1+$J$5)^($A54/4)*((1-'3. Assumptions'!$B$13)/($J$6)-'2. The tape'!$H$5:$H$13/12-'3. Assumptions'!$B$16)-'2. The tape'!$C$5:$C$13*'2. The tape'!$I$5:$I$13*(1+$J$5)^($A54/4))&gt;0)*('2. The tape'!$C$5:$C$13*'2. The tape'!$D$5:$D$13*(1-'2. The tape'!$J$5:$J$13)^($A54/4)*(1+$J$5)^($A54/4)*((1-'3. Assumptions'!$B$13)/($J$6)-'2. The tape'!$H$5:$H$13/12-'3. Assumptions'!$B$16)-'2. The tape'!$C$5:$C$13*'2. The tape'!$I$5:$I$13*(1+$J$5)^($A54/4)))</f>
        <v>64199010.3188521</v>
      </c>
      <c r="L54" s="33" t="n">
        <f aca="false">'2. The tape'!$C$17*(1+MIN(MAX($L$5,'3. Assumptions'!$B$11),'3. Assumptions'!$B$10))^INT(($A54-1)/4)/4*(1-'3. Assumptions'!$B$13)</f>
        <v>3911829.0656731</v>
      </c>
      <c r="M54" s="33" t="n">
        <f aca="false">(1-'3. Assumptions'!$B$15)*SUMPRODUCT((('2. The tape'!$C$5:$C$13*'2. The tape'!$D$5:$D$13*(1-'2. The tape'!$J$5:$J$13)^($A54/4)*(1+$L$5)^($A54/4)*((1-'3. Assumptions'!$B$13)/($L$6)-'2. The tape'!$H$5:$H$13/12-'3. Assumptions'!$B$16)-'2. The tape'!$C$5:$C$13*'2. The tape'!$I$5:$I$13*(1+$L$5)^($A54/4))&gt;0)*('2. The tape'!$C$5:$C$13*'2. The tape'!$D$5:$D$13*(1-'2. The tape'!$J$5:$J$13)^($A54/4)*(1+$L$5)^($A54/4)*((1-'3. Assumptions'!$B$13)/($L$6)-'2. The tape'!$H$5:$H$13/12-'3. Assumptions'!$B$16)-'2. The tape'!$C$5:$C$13*'2. The tape'!$I$5:$I$13*(1+$L$5)^($A54/4)))</f>
        <v>817215695.201456</v>
      </c>
      <c r="N54" s="33" t="n">
        <f aca="false">'2. The tape'!$C$17*(1+MIN(MAX($N$5,'3. Assumptions'!$B$11),'3. Assumptions'!$B$10))^INT(($A54-1)/4)/4*(1-'3. Assumptions'!$B$13)</f>
        <v>2998091.25</v>
      </c>
      <c r="O54" s="33" t="n">
        <f aca="false">(1-'3. Assumptions'!$B$15)*SUMPRODUCT((('2. The tape'!$C$5:$C$13*'2. The tape'!$D$5:$D$13*(1-'2. The tape'!$J$5:$J$13)^($A54/4)*(1+$N$5)^($A54/4)*((1-'3. Assumptions'!$B$13)/($N$6)-'2. The tape'!$H$5:$H$13/12-'3. Assumptions'!$B$16)-'2. The tape'!$C$5:$C$13*'2. The tape'!$I$5:$I$13*(1+$N$5)^($A54/4))&gt;0)*('2. The tape'!$C$5:$C$13*'2. The tape'!$D$5:$D$13*(1-'2. The tape'!$J$5:$J$13)^($A54/4)*(1+$N$5)^($A54/4)*((1-'3. Assumptions'!$B$13)/($N$6)-'2. The tape'!$H$5:$H$13/12-'3. Assumptions'!$B$16)-'2. The tape'!$C$5:$C$13*'2. The tape'!$I$5:$I$13*(1+$N$5)^($A54/4)))</f>
        <v>47034163.3428624</v>
      </c>
      <c r="P54" s="33" t="n">
        <f aca="false">'2. The tape'!$C$17*(1+MIN(MAX($P$5,'3. Assumptions'!$B$11),'3. Assumptions'!$B$10))^INT(($A54-1)/4)/4*(1-'3. Assumptions'!$B$13)</f>
        <v>2998091.25</v>
      </c>
      <c r="Q54" s="33" t="n">
        <f aca="false">(1-'3. Assumptions'!$B$15)*SUMPRODUCT((('2. The tape'!$C$5:$C$13*'2. The tape'!$D$5:$D$13*(1-'2. The tape'!$J$5:$J$13)^($A54/4)*(1+$P$5)^($A54/4)*((1-'3. Assumptions'!$B$13)/($P$6)-'2. The tape'!$H$5:$H$13/12-'3. Assumptions'!$B$16)-'2. The tape'!$C$5:$C$13*'2. The tape'!$I$5:$I$13*(1+$P$5)^($A54/4))&gt;0)*('2. The tape'!$C$5:$C$13*'2. The tape'!$D$5:$D$13*(1-'2. The tape'!$J$5:$J$13)^($A54/4)*(1+$P$5)^($A54/4)*((1-'3. Assumptions'!$B$13)/($P$6)-'2. The tape'!$H$5:$H$13/12-'3. Assumptions'!$B$16)-'2. The tape'!$C$5:$C$13*'2. The tape'!$I$5:$I$13*(1+$P$5)^($A54/4)))</f>
        <v>51980835.0504956</v>
      </c>
      <c r="R54" s="33" t="n">
        <f aca="false">'2. The tape'!$C$17*(1+MIN(MAX($R$5,'3. Assumptions'!$B$11),'3. Assumptions'!$B$10))^INT(($A54-1)/4)/4*(1-'3. Assumptions'!$B$13)</f>
        <v>2998091.25</v>
      </c>
      <c r="S54" s="33" t="n">
        <f aca="false">(1-'3. Assumptions'!$B$15)*SUMPRODUCT((('2. The tape'!$C$5:$C$13*'2. The tape'!$D$5:$D$13*(1-'2. The tape'!$J$5:$J$13)^($A54/4)*(1+$R$5)^($A54/4)*((1-'3. Assumptions'!$B$13)/($R$6)-'2. The tape'!$H$5:$H$13/12-'3. Assumptions'!$B$16)-'2. The tape'!$C$5:$C$13*'2. The tape'!$I$5:$I$13*(1+$R$5)^($A54/4))&gt;0)*('2. The tape'!$C$5:$C$13*'2. The tape'!$D$5:$D$13*(1-'2. The tape'!$J$5:$J$13)^($A54/4)*(1+$R$5)^($A54/4)*((1-'3. Assumptions'!$B$13)/($R$6)-'2. The tape'!$H$5:$H$13/12-'3. Assumptions'!$B$16)-'2. The tape'!$C$5:$C$13*'2. The tape'!$I$5:$I$13*(1+$R$5)^($A54/4)))</f>
        <v>48933494.3326111</v>
      </c>
      <c r="T54" s="33" t="n">
        <f aca="false">'2. The tape'!$C$17*(1+MIN(MAX($T$5,'3. Assumptions'!$B$11),'3. Assumptions'!$B$10))^INT(($A54-1)/4)/4*(1-'3. Assumptions'!$B$13)</f>
        <v>2998091.25</v>
      </c>
      <c r="U54" s="33" t="n">
        <f aca="false">(1-'3. Assumptions'!$B$15)*SUMPRODUCT((('2. The tape'!$C$5:$C$13*'2. The tape'!$D$5:$D$13*(1-'2. The tape'!$J$5:$J$13)^($A54/4)*(1+$T$5)^($A54/4)*((1-'3. Assumptions'!$B$13)/($T$6)-'2. The tape'!$H$5:$H$13/12-'3. Assumptions'!$B$16)-'2. The tape'!$C$5:$C$13*'2. The tape'!$I$5:$I$13*(1+$T$5)^($A54/4))&gt;0)*('2. The tape'!$C$5:$C$13*'2. The tape'!$D$5:$D$13*(1-'2. The tape'!$J$5:$J$13)^($A54/4)*(1+$T$5)^($A54/4)*((1-'3. Assumptions'!$B$13)/($T$6)-'2. The tape'!$H$5:$H$13/12-'3. Assumptions'!$B$16)-'2. The tape'!$C$5:$C$13*'2. The tape'!$I$5:$I$13*(1+$T$5)^($A54/4)))</f>
        <v>48853120.2627174</v>
      </c>
      <c r="V54" s="33" t="n">
        <f aca="false">'2. The tape'!$C$17*(1+MIN(MAX($V$5,'3. Assumptions'!$B$11),'3. Assumptions'!$B$10))^INT(($A54-1)/4)/4*(1-'3. Assumptions'!$B$13)</f>
        <v>2998091.25</v>
      </c>
      <c r="W54" s="33" t="n">
        <f aca="false">(1-'3. Assumptions'!$B$15)*SUMPRODUCT((('2. The tape'!$C$5:$C$13*'2. The tape'!$D$5:$D$13*(1-'2. The tape'!$J$5:$J$13)^($A54/4)*(1+$V$5)^($A54/4)*((1-'3. Assumptions'!$B$13)/($V$6)-'2. The tape'!$H$5:$H$13/12-'3. Assumptions'!$B$16)-'2. The tape'!$C$5:$C$13*'2. The tape'!$I$5:$I$13*(1+$V$5)^($A54/4))&gt;0)*('2. The tape'!$C$5:$C$13*'2. The tape'!$D$5:$D$13*(1-'2. The tape'!$J$5:$J$13)^($A54/4)*(1+$V$5)^($A54/4)*((1-'3. Assumptions'!$B$13)/($V$6)-'2. The tape'!$H$5:$H$13/12-'3. Assumptions'!$B$16)-'2. The tape'!$C$5:$C$13*'2. The tape'!$I$5:$I$13*(1+$V$5)^($A54/4)))</f>
        <v>48856347.329723</v>
      </c>
      <c r="X54" s="33" t="n">
        <f aca="false">'2. The tape'!$C$17*(1+MIN(MAX($X$5,'3. Assumptions'!$B$11),'3. Assumptions'!$B$10))^INT(($A54-1)/4)/4*(1-'3. Assumptions'!$B$13)</f>
        <v>2998091.25</v>
      </c>
      <c r="Y54" s="33" t="n">
        <f aca="false">(1-'3. Assumptions'!$B$15)*SUMPRODUCT((('2. The tape'!$C$5:$C$13*'2. The tape'!$D$5:$D$13*(1-'2. The tape'!$J$5:$J$13)^($A54/4)*(1+$X$5)^($A54/4)*((1-'3. Assumptions'!$B$13)/($X$6)-'2. The tape'!$H$5:$H$13/12-'3. Assumptions'!$B$16)-'2. The tape'!$C$5:$C$13*'2. The tape'!$I$5:$I$13*(1+$X$5)^($A54/4))&gt;0)*('2. The tape'!$C$5:$C$13*'2. The tape'!$D$5:$D$13*(1-'2. The tape'!$J$5:$J$13)^($A54/4)*(1+$X$5)^($A54/4)*((1-'3. Assumptions'!$B$13)/($X$6)-'2. The tape'!$H$5:$H$13/12-'3. Assumptions'!$B$16)-'2. The tape'!$C$5:$C$13*'2. The tape'!$I$5:$I$13*(1+$X$5)^($A54/4)))</f>
        <v>48856343.9361609</v>
      </c>
      <c r="Z54" s="33" t="n">
        <f aca="false">'2. The tape'!$C$17*(1+MIN(MAX($Z$5,'3. Assumptions'!$B$11),'3. Assumptions'!$B$10))^INT(($A54-1)/4)/4*(1-'3. Assumptions'!$B$13)</f>
        <v>2998091.25</v>
      </c>
      <c r="AA54" s="33" t="n">
        <f aca="false">(1-'3. Assumptions'!$B$15)*SUMPRODUCT((('2. The tape'!$C$5:$C$13*'2. The tape'!$D$5:$D$13*(1-'2. The tape'!$J$5:$J$13)^($A54/4)*(1+$Z$5)^($A54/4)*((1-'3. Assumptions'!$B$13)/($Z$6)-'2. The tape'!$H$5:$H$13/12-'3. Assumptions'!$B$16)-'2. The tape'!$C$5:$C$13*'2. The tape'!$I$5:$I$13*(1+$Z$5)^($A54/4))&gt;0)*('2. The tape'!$C$5:$C$13*'2. The tape'!$D$5:$D$13*(1-'2. The tape'!$J$5:$J$13)^($A54/4)*(1+$Z$5)^($A54/4)*((1-'3. Assumptions'!$B$13)/($Z$6)-'2. The tape'!$H$5:$H$13/12-'3. Assumptions'!$B$16)-'2. The tape'!$C$5:$C$13*'2. The tape'!$I$5:$I$13*(1+$Z$5)^($A54/4)))</f>
        <v>48856343.9360115</v>
      </c>
      <c r="AB54" s="33" t="n">
        <f aca="false">'2. The tape'!$C$17*(1+MIN(MAX($AB$5,'3. Assumptions'!$B$11),'3. Assumptions'!$B$10))^INT(($A54-1)/4)/4*(1-'3. Assumptions'!$B$13)</f>
        <v>2998091.25</v>
      </c>
      <c r="AC54" s="33" t="n">
        <f aca="false">(1-'3. Assumptions'!$B$15)*SUMPRODUCT((('2. The tape'!$C$5:$C$13*'2. The tape'!$D$5:$D$13*(1-'2. The tape'!$J$5:$J$13)^($A54/4)*(1+$AB$5)^($A54/4)*((1-'3. Assumptions'!$B$13)/($AB$6)-'2. The tape'!$H$5:$H$13/12-'3. Assumptions'!$B$16)-'2. The tape'!$C$5:$C$13*'2. The tape'!$I$5:$I$13*(1+$AB$5)^($A54/4))&gt;0)*('2. The tape'!$C$5:$C$13*'2. The tape'!$D$5:$D$13*(1-'2. The tape'!$J$5:$J$13)^($A54/4)*(1+$AB$5)^($A54/4)*((1-'3. Assumptions'!$B$13)/($AB$6)-'2. The tape'!$H$5:$H$13/12-'3. Assumptions'!$B$16)-'2. The tape'!$C$5:$C$13*'2. The tape'!$I$5:$I$13*(1+$AB$5)^($A54/4)))</f>
        <v>48856343.9360115</v>
      </c>
      <c r="AD54" s="33" t="n">
        <f aca="false">'2. The tape'!$C$17*(1+MIN(MAX($AD$5,'3. Assumptions'!$B$11),'3. Assumptions'!$B$10))^INT(($A54-1)/4)/4*(1-'3. Assumptions'!$B$13)</f>
        <v>2998091.25</v>
      </c>
      <c r="AE54" s="33" t="n">
        <f aca="false">(1-'3. Assumptions'!$B$15)*SUMPRODUCT((('2. The tape'!$C$5:$C$13*'2. The tape'!$D$5:$D$13*(1-'2. The tape'!$J$5:$J$13)^($A54/4)*(1+$AD$5)^($A54/4)*((1-'3. Assumptions'!$B$13)/($AD$6)-'2. The tape'!$H$5:$H$13/12-'3. Assumptions'!$B$16)-'2. The tape'!$C$5:$C$13*'2. The tape'!$I$5:$I$13*(1+$AD$5)^($A54/4))&gt;0)*('2. The tape'!$C$5:$C$13*'2. The tape'!$D$5:$D$13*(1-'2. The tape'!$J$5:$J$13)^($A54/4)*(1+$AD$5)^($A54/4)*((1-'3. Assumptions'!$B$13)/($AD$6)-'2. The tape'!$H$5:$H$13/12-'3. Assumptions'!$B$16)-'2. The tape'!$C$5:$C$13*'2. The tape'!$I$5:$I$13*(1+$AD$5)^($A54/4)))</f>
        <v>48856343.9360115</v>
      </c>
      <c r="AF54" s="33" t="n">
        <f aca="false">'2. The tape'!$C$17*(1+MIN(MAX($AF$5,'3. Assumptions'!$B$11),'3. Assumptions'!$B$10))^INT(($A54-1)/4)/4*(1-'3. Assumptions'!$B$13)</f>
        <v>2998091.25</v>
      </c>
      <c r="AG54" s="33" t="n">
        <f aca="false">(1-'3. Assumptions'!$B$15)*SUMPRODUCT((('2. The tape'!$C$5:$C$13*'2. The tape'!$D$5:$D$13*(1-'2. The tape'!$J$5:$J$13)^($A54/4)*(1+$AF$5)^($A54/4)*((1-'3. Assumptions'!$B$13)/($AF$6)-'2. The tape'!$H$5:$H$13/12-'3. Assumptions'!$B$16)-'2. The tape'!$C$5:$C$13*'2. The tape'!$I$5:$I$13*(1+$AF$5)^($A54/4))&gt;0)*('2. The tape'!$C$5:$C$13*'2. The tape'!$D$5:$D$13*(1-'2. The tape'!$J$5:$J$13)^($A54/4)*(1+$AF$5)^($A54/4)*((1-'3. Assumptions'!$B$13)/($AF$6)-'2. The tape'!$H$5:$H$13/12-'3. Assumptions'!$B$16)-'2. The tape'!$C$5:$C$13*'2. The tape'!$I$5:$I$13*(1+$AF$5)^($A54/4)))</f>
        <v>48856343.9360115</v>
      </c>
      <c r="AH54" s="33" t="n">
        <f aca="false">'2. The tape'!$C$17*(1+MIN(MAX($AH$5,'3. Assumptions'!$B$11),'3. Assumptions'!$B$10))^INT(($A54-1)/4)/4*(1-'3. Assumptions'!$B$13)</f>
        <v>3646724.11627946</v>
      </c>
      <c r="AI54" s="33" t="n">
        <f aca="false">(1-'3. Assumptions'!$B$15)*SUMPRODUCT((('2. The tape'!$C$5:$C$13*'2. The tape'!$D$5:$D$13*(1-'2. The tape'!$J$5:$J$13)^($A54/4)*(1+$AH$5)^($A54/4)*((1-'3. Assumptions'!$B$13)/($AH$6)-'2. The tape'!$H$5:$H$13/12-'3. Assumptions'!$B$16)-'2. The tape'!$C$5:$C$13*'2. The tape'!$I$5:$I$13*(1+$AH$5)^($A54/4))&gt;0)*('2. The tape'!$C$5:$C$13*'2. The tape'!$D$5:$D$13*(1-'2. The tape'!$J$5:$J$13)^($A54/4)*(1+$AH$5)^($A54/4)*((1-'3. Assumptions'!$B$13)/($AH$6)-'2. The tape'!$H$5:$H$13/12-'3. Assumptions'!$B$16)-'2. The tape'!$C$5:$C$13*'2. The tape'!$I$5:$I$13*(1+$AH$5)^($A54/4)))</f>
        <v>155027654.037567</v>
      </c>
      <c r="AJ54" s="33" t="n">
        <f aca="false">'2. The tape'!$C$17*(1+MIN(MAX($AJ$5,'3. Assumptions'!$B$11),'3. Assumptions'!$B$10))^INT(($A54-1)/4)/4*(1-'3. Assumptions'!$B$13)</f>
        <v>3646724.11627946</v>
      </c>
      <c r="AK54" s="33" t="n">
        <f aca="false">(1-'3. Assumptions'!$B$15)*SUMPRODUCT((('2. The tape'!$C$5:$C$13*'2. The tape'!$D$5:$D$13*(1-'2. The tape'!$J$5:$J$13)^($A54/4)*(1+$AJ$5)^($A54/4)*((1-'3. Assumptions'!$B$13)/($AJ$6)-'2. The tape'!$H$5:$H$13/12-'3. Assumptions'!$B$16)-'2. The tape'!$C$5:$C$13*'2. The tape'!$I$5:$I$13*(1+$AJ$5)^($A54/4))&gt;0)*('2. The tape'!$C$5:$C$13*'2. The tape'!$D$5:$D$13*(1-'2. The tape'!$J$5:$J$13)^($A54/4)*(1+$AJ$5)^($A54/4)*((1-'3. Assumptions'!$B$13)/($AJ$6)-'2. The tape'!$H$5:$H$13/12-'3. Assumptions'!$B$16)-'2. The tape'!$C$5:$C$13*'2. The tape'!$I$5:$I$13*(1+$AJ$5)^($A54/4)))</f>
        <v>112003559.644491</v>
      </c>
      <c r="AL54" s="33" t="n">
        <f aca="false">'2. The tape'!$C$17*(1+MIN(MAX($AL$5,'3. Assumptions'!$B$11),'3. Assumptions'!$B$10))^INT(($A54-1)/4)/4*(1-'3. Assumptions'!$B$13)</f>
        <v>3646724.11627946</v>
      </c>
      <c r="AM54" s="33" t="n">
        <f aca="false">(1-'3. Assumptions'!$B$15)*SUMPRODUCT((('2. The tape'!$C$5:$C$13*'2. The tape'!$D$5:$D$13*(1-'2. The tape'!$J$5:$J$13)^($A54/4)*(1+$AL$5)^($A54/4)*((1-'3. Assumptions'!$B$13)/($AL$6)-'2. The tape'!$H$5:$H$13/12-'3. Assumptions'!$B$16)-'2. The tape'!$C$5:$C$13*'2. The tape'!$I$5:$I$13*(1+$AL$5)^($A54/4))&gt;0)*('2. The tape'!$C$5:$C$13*'2. The tape'!$D$5:$D$13*(1-'2. The tape'!$J$5:$J$13)^($A54/4)*(1+$AL$5)^($A54/4)*((1-'3. Assumptions'!$B$13)/($AL$6)-'2. The tape'!$H$5:$H$13/12-'3. Assumptions'!$B$16)-'2. The tape'!$C$5:$C$13*'2. The tape'!$I$5:$I$13*(1+$AL$5)^($A54/4)))</f>
        <v>128690172.844909</v>
      </c>
      <c r="AN54" s="33" t="n">
        <f aca="false">'2. The tape'!$C$17*(1+MIN(MAX($AN$5,'3. Assumptions'!$B$11),'3. Assumptions'!$B$10))^INT(($A54-1)/4)/4*(1-'3. Assumptions'!$B$13)</f>
        <v>3646724.11627946</v>
      </c>
      <c r="AO54" s="33" t="n">
        <f aca="false">(1-'3. Assumptions'!$B$15)*SUMPRODUCT((('2. The tape'!$C$5:$C$13*'2. The tape'!$D$5:$D$13*(1-'2. The tape'!$J$5:$J$13)^($A54/4)*(1+$AN$5)^($A54/4)*((1-'3. Assumptions'!$B$13)/($AN$6)-'2. The tape'!$H$5:$H$13/12-'3. Assumptions'!$B$16)-'2. The tape'!$C$5:$C$13*'2. The tape'!$I$5:$I$13*(1+$AN$5)^($A54/4))&gt;0)*('2. The tape'!$C$5:$C$13*'2. The tape'!$D$5:$D$13*(1-'2. The tape'!$J$5:$J$13)^($A54/4)*(1+$AN$5)^($A54/4)*((1-'3. Assumptions'!$B$13)/($AN$6)-'2. The tape'!$H$5:$H$13/12-'3. Assumptions'!$B$16)-'2. The tape'!$C$5:$C$13*'2. The tape'!$I$5:$I$13*(1+$AN$5)^($A54/4)))</f>
        <v>131814419.267891</v>
      </c>
      <c r="AP54" s="33" t="n">
        <f aca="false">'2. The tape'!$C$17*(1+MIN(MAX($AP$5,'3. Assumptions'!$B$11),'3. Assumptions'!$B$10))^INT(($A54-1)/4)/4*(1-'3. Assumptions'!$B$13)</f>
        <v>3646724.11627946</v>
      </c>
      <c r="AQ54" s="33" t="n">
        <f aca="false">(1-'3. Assumptions'!$B$15)*SUMPRODUCT((('2. The tape'!$C$5:$C$13*'2. The tape'!$D$5:$D$13*(1-'2. The tape'!$J$5:$J$13)^($A54/4)*(1+$AP$5)^($A54/4)*((1-'3. Assumptions'!$B$13)/($AP$6)-'2. The tape'!$H$5:$H$13/12-'3. Assumptions'!$B$16)-'2. The tape'!$C$5:$C$13*'2. The tape'!$I$5:$I$13*(1+$AP$5)^($A54/4))&gt;0)*('2. The tape'!$C$5:$C$13*'2. The tape'!$D$5:$D$13*(1-'2. The tape'!$J$5:$J$13)^($A54/4)*(1+$AP$5)^($A54/4)*((1-'3. Assumptions'!$B$13)/($AP$6)-'2. The tape'!$H$5:$H$13/12-'3. Assumptions'!$B$16)-'2. The tape'!$C$5:$C$13*'2. The tape'!$I$5:$I$13*(1+$AP$5)^($A54/4)))</f>
        <v>131428737.458045</v>
      </c>
      <c r="AR54" s="33" t="n">
        <f aca="false">'2. The tape'!$C$17*(1+MIN(MAX($AR$5,'3. Assumptions'!$B$11),'3. Assumptions'!$B$10))^INT(($A54-1)/4)/4*(1-'3. Assumptions'!$B$13)</f>
        <v>3646724.11627946</v>
      </c>
      <c r="AS54" s="33" t="n">
        <f aca="false">(1-'3. Assumptions'!$B$15)*SUMPRODUCT((('2. The tape'!$C$5:$C$13*'2. The tape'!$D$5:$D$13*(1-'2. The tape'!$J$5:$J$13)^($A54/4)*(1+$AR$5)^($A54/4)*((1-'3. Assumptions'!$B$13)/($AR$6)-'2. The tape'!$H$5:$H$13/12-'3. Assumptions'!$B$16)-'2. The tape'!$C$5:$C$13*'2. The tape'!$I$5:$I$13*(1+$AR$5)^($A54/4))&gt;0)*('2. The tape'!$C$5:$C$13*'2. The tape'!$D$5:$D$13*(1-'2. The tape'!$J$5:$J$13)^($A54/4)*(1+$AR$5)^($A54/4)*((1-'3. Assumptions'!$B$13)/($AR$6)-'2. The tape'!$H$5:$H$13/12-'3. Assumptions'!$B$16)-'2. The tape'!$C$5:$C$13*'2. The tape'!$I$5:$I$13*(1+$AR$5)^($A54/4)))</f>
        <v>131435208.646383</v>
      </c>
      <c r="AT54" s="33" t="n">
        <f aca="false">'2. The tape'!$C$17*(1+MIN(MAX($AT$5,'3. Assumptions'!$B$11),'3. Assumptions'!$B$10))^INT(($A54-1)/4)/4*(1-'3. Assumptions'!$B$13)</f>
        <v>3646724.11627946</v>
      </c>
      <c r="AU54" s="33" t="n">
        <f aca="false">(1-'3. Assumptions'!$B$15)*SUMPRODUCT((('2. The tape'!$C$5:$C$13*'2. The tape'!$D$5:$D$13*(1-'2. The tape'!$J$5:$J$13)^($A54/4)*(1+$AT$5)^($A54/4)*((1-'3. Assumptions'!$B$13)/($AT$6)-'2. The tape'!$H$5:$H$13/12-'3. Assumptions'!$B$16)-'2. The tape'!$C$5:$C$13*'2. The tape'!$I$5:$I$13*(1+$AT$5)^($A54/4))&gt;0)*('2. The tape'!$C$5:$C$13*'2. The tape'!$D$5:$D$13*(1-'2. The tape'!$J$5:$J$13)^($A54/4)*(1+$AT$5)^($A54/4)*((1-'3. Assumptions'!$B$13)/($AT$6)-'2. The tape'!$H$5:$H$13/12-'3. Assumptions'!$B$16)-'2. The tape'!$C$5:$C$13*'2. The tape'!$I$5:$I$13*(1+$AT$5)^($A54/4)))</f>
        <v>131435223.716153</v>
      </c>
      <c r="AV54" s="33" t="n">
        <f aca="false">'2. The tape'!$C$17*(1+MIN(MAX($AV$5,'3. Assumptions'!$B$11),'3. Assumptions'!$B$10))^INT(($A54-1)/4)/4*(1-'3. Assumptions'!$B$13)</f>
        <v>3646724.11627946</v>
      </c>
      <c r="AW54" s="33" t="n">
        <f aca="false">(1-'3. Assumptions'!$B$15)*SUMPRODUCT((('2. The tape'!$C$5:$C$13*'2. The tape'!$D$5:$D$13*(1-'2. The tape'!$J$5:$J$13)^($A54/4)*(1+$AV$5)^($A54/4)*((1-'3. Assumptions'!$B$13)/($AV$6)-'2. The tape'!$H$5:$H$13/12-'3. Assumptions'!$B$16)-'2. The tape'!$C$5:$C$13*'2. The tape'!$I$5:$I$13*(1+$AV$5)^($A54/4))&gt;0)*('2. The tape'!$C$5:$C$13*'2. The tape'!$D$5:$D$13*(1-'2. The tape'!$J$5:$J$13)^($A54/4)*(1+$AV$5)^($A54/4)*((1-'3. Assumptions'!$B$13)/($AV$6)-'2. The tape'!$H$5:$H$13/12-'3. Assumptions'!$B$16)-'2. The tape'!$C$5:$C$13*'2. The tape'!$I$5:$I$13*(1+$AV$5)^($A54/4)))</f>
        <v>131435223.715553</v>
      </c>
      <c r="AX54" s="33" t="n">
        <f aca="false">'2. The tape'!$C$17*(1+MIN(MAX($AX$5,'3. Assumptions'!$B$11),'3. Assumptions'!$B$10))^INT(($A54-1)/4)/4*(1-'3. Assumptions'!$B$13)</f>
        <v>3646724.11627946</v>
      </c>
      <c r="AY54" s="33" t="n">
        <f aca="false">(1-'3. Assumptions'!$B$15)*SUMPRODUCT((('2. The tape'!$C$5:$C$13*'2. The tape'!$D$5:$D$13*(1-'2. The tape'!$J$5:$J$13)^($A54/4)*(1+$AX$5)^($A54/4)*((1-'3. Assumptions'!$B$13)/($AX$6)-'2. The tape'!$H$5:$H$13/12-'3. Assumptions'!$B$16)-'2. The tape'!$C$5:$C$13*'2. The tape'!$I$5:$I$13*(1+$AX$5)^($A54/4))&gt;0)*('2. The tape'!$C$5:$C$13*'2. The tape'!$D$5:$D$13*(1-'2. The tape'!$J$5:$J$13)^($A54/4)*(1+$AX$5)^($A54/4)*((1-'3. Assumptions'!$B$13)/($AX$6)-'2. The tape'!$H$5:$H$13/12-'3. Assumptions'!$B$16)-'2. The tape'!$C$5:$C$13*'2. The tape'!$I$5:$I$13*(1+$AX$5)^($A54/4)))</f>
        <v>131435223.715553</v>
      </c>
      <c r="AZ54" s="33" t="n">
        <f aca="false">'2. The tape'!$C$17*(1+MIN(MAX($AZ$5,'3. Assumptions'!$B$11),'3. Assumptions'!$B$10))^INT(($A54-1)/4)/4*(1-'3. Assumptions'!$B$13)</f>
        <v>3646724.11627946</v>
      </c>
      <c r="BA54" s="33" t="n">
        <f aca="false">(1-'3. Assumptions'!$B$15)*SUMPRODUCT((('2. The tape'!$C$5:$C$13*'2. The tape'!$D$5:$D$13*(1-'2. The tape'!$J$5:$J$13)^($A54/4)*(1+$AZ$5)^($A54/4)*((1-'3. Assumptions'!$B$13)/($AZ$6)-'2. The tape'!$H$5:$H$13/12-'3. Assumptions'!$B$16)-'2. The tape'!$C$5:$C$13*'2. The tape'!$I$5:$I$13*(1+$AZ$5)^($A54/4))&gt;0)*('2. The tape'!$C$5:$C$13*'2. The tape'!$D$5:$D$13*(1-'2. The tape'!$J$5:$J$13)^($A54/4)*(1+$AZ$5)^($A54/4)*((1-'3. Assumptions'!$B$13)/($AZ$6)-'2. The tape'!$H$5:$H$13/12-'3. Assumptions'!$B$16)-'2. The tape'!$C$5:$C$13*'2. The tape'!$I$5:$I$13*(1+$AZ$5)^($A54/4)))</f>
        <v>131435223.715553</v>
      </c>
    </row>
    <row r="55" customFormat="false" ht="15" hidden="false" customHeight="false" outlineLevel="0" collapsed="false">
      <c r="A55" s="20" t="n">
        <v>40</v>
      </c>
      <c r="B55" s="33" t="n">
        <f aca="false">'2. The tape'!$C$17*(1+MIN(MAX($B$5,'3. Assumptions'!$B$11),'3. Assumptions'!$B$10))^INT(($A55-1)/4)/4*(1-'3. Assumptions'!$B$13)</f>
        <v>3646724.11627946</v>
      </c>
      <c r="C55" s="33" t="n">
        <f aca="false">(1-'3. Assumptions'!$B$15)*SUMPRODUCT((('2. The tape'!$C$5:$C$13*'2. The tape'!$D$5:$D$13*(1-'2. The tape'!$J$5:$J$13)^($A55/4)*(1+$B$5)^($A55/4)*((1-'3. Assumptions'!$B$13)/($B$6)-'2. The tape'!$H$5:$H$13/12-'3. Assumptions'!$B$16)-'2. The tape'!$C$5:$C$13*'2. The tape'!$I$5:$I$13*(1+$B$5)^($A55/4))&gt;0)*('2. The tape'!$C$5:$C$13*'2. The tape'!$D$5:$D$13*(1-'2. The tape'!$J$5:$J$13)^($A55/4)*(1+$B$5)^($A55/4)*((1-'3. Assumptions'!$B$13)/($B$6)-'2. The tape'!$H$5:$H$13/12-'3. Assumptions'!$B$16)-'2. The tape'!$C$5:$C$13*'2. The tape'!$I$5:$I$13*(1+$B$5)^($A55/4)))</f>
        <v>78160984.6663173</v>
      </c>
      <c r="D55" s="33" t="n">
        <f aca="false">'2. The tape'!$C$17*(1+MIN(MAX($D$5,'3. Assumptions'!$B$11),'3. Assumptions'!$B$10))^INT(($A55-1)/4)/4*(1-'3. Assumptions'!$B$13)</f>
        <v>3911829.0656731</v>
      </c>
      <c r="E55" s="33" t="n">
        <f aca="false">(1-'3. Assumptions'!$B$15)*SUMPRODUCT((('2. The tape'!$C$5:$C$13*'2. The tape'!$D$5:$D$13*(1-'2. The tape'!$J$5:$J$13)^($A55/4)*(1+$D$5)^($A55/4)*((1-'3. Assumptions'!$B$13)/($D$6)-'2. The tape'!$H$5:$H$13/12-'3. Assumptions'!$B$16)-'2. The tape'!$C$5:$C$13*'2. The tape'!$I$5:$I$13*(1+$D$5)^($A55/4))&gt;0)*('2. The tape'!$C$5:$C$13*'2. The tape'!$D$5:$D$13*(1-'2. The tape'!$J$5:$J$13)^($A55/4)*(1+$D$5)^($A55/4)*((1-'3. Assumptions'!$B$13)/($D$6)-'2. The tape'!$H$5:$H$13/12-'3. Assumptions'!$B$16)-'2. The tape'!$C$5:$C$13*'2. The tape'!$I$5:$I$13*(1+$D$5)^($A55/4)))</f>
        <v>88692023.1936295</v>
      </c>
      <c r="F55" s="33" t="n">
        <f aca="false">'2. The tape'!$C$17*(1+MIN(MAX($F$5,'3. Assumptions'!$B$11),'3. Assumptions'!$B$10))^INT(($A55-1)/4)/4*(1-'3. Assumptions'!$B$13)</f>
        <v>3278968.24628885</v>
      </c>
      <c r="G55" s="33" t="n">
        <f aca="false">(1-'3. Assumptions'!$B$15)*SUMPRODUCT((('2. The tape'!$C$5:$C$13*'2. The tape'!$D$5:$D$13*(1-'2. The tape'!$J$5:$J$13)^($A55/4)*(1+$F$5)^($A55/4)*((1-'3. Assumptions'!$B$13)/($F$6)-'2. The tape'!$H$5:$H$13/12-'3. Assumptions'!$B$16)-'2. The tape'!$C$5:$C$13*'2. The tape'!$I$5:$I$13*(1+$F$5)^($A55/4))&gt;0)*('2. The tape'!$C$5:$C$13*'2. The tape'!$D$5:$D$13*(1-'2. The tape'!$J$5:$J$13)^($A55/4)*(1+$F$5)^($A55/4)*((1-'3. Assumptions'!$B$13)/($F$6)-'2. The tape'!$H$5:$H$13/12-'3. Assumptions'!$B$16)-'2. The tape'!$C$5:$C$13*'2. The tape'!$I$5:$I$13*(1+$F$5)^($A55/4)))</f>
        <v>69453606.441585</v>
      </c>
      <c r="H55" s="33" t="n">
        <f aca="false">'2. The tape'!$C$17*(1+MIN(MAX($H$5,'3. Assumptions'!$B$11),'3. Assumptions'!$B$10))^INT(($A55-1)/4)/4*(1-'3. Assumptions'!$B$13)</f>
        <v>3911829.0656731</v>
      </c>
      <c r="I55" s="33" t="n">
        <f aca="false">(1-'3. Assumptions'!$B$15)*SUMPRODUCT((('2. The tape'!$C$5:$C$13*'2. The tape'!$D$5:$D$13*(1-'2. The tape'!$J$5:$J$13)^($A55/4)*(1+$H$5)^($A55/4)*((1-'3. Assumptions'!$B$13)/($H$6)-'2. The tape'!$H$5:$H$13/12-'3. Assumptions'!$B$16)-'2. The tape'!$C$5:$C$13*'2. The tape'!$I$5:$I$13*(1+$H$5)^($A55/4))&gt;0)*('2. The tape'!$C$5:$C$13*'2. The tape'!$D$5:$D$13*(1-'2. The tape'!$J$5:$J$13)^($A55/4)*(1+$H$5)^($A55/4)*((1-'3. Assumptions'!$B$13)/($H$6)-'2. The tape'!$H$5:$H$13/12-'3. Assumptions'!$B$16)-'2. The tape'!$C$5:$C$13*'2. The tape'!$I$5:$I$13*(1+$H$5)^($A55/4)))</f>
        <v>88692023.1936295</v>
      </c>
      <c r="J55" s="33" t="n">
        <f aca="false">'2. The tape'!$C$17*(1+MIN(MAX($J$5,'3. Assumptions'!$B$11),'3. Assumptions'!$B$10))^INT(($A55-1)/4)/4*(1-'3. Assumptions'!$B$13)</f>
        <v>3646724.11627946</v>
      </c>
      <c r="K55" s="33" t="n">
        <f aca="false">(1-'3. Assumptions'!$B$15)*SUMPRODUCT((('2. The tape'!$C$5:$C$13*'2. The tape'!$D$5:$D$13*(1-'2. The tape'!$J$5:$J$13)^($A55/4)*(1+$J$5)^($A55/4)*((1-'3. Assumptions'!$B$13)/($J$6)-'2. The tape'!$H$5:$H$13/12-'3. Assumptions'!$B$16)-'2. The tape'!$C$5:$C$13*'2. The tape'!$I$5:$I$13*(1+$J$5)^($A55/4))&gt;0)*('2. The tape'!$C$5:$C$13*'2. The tape'!$D$5:$D$13*(1-'2. The tape'!$J$5:$J$13)^($A55/4)*(1+$J$5)^($A55/4)*((1-'3. Assumptions'!$B$13)/($J$6)-'2. The tape'!$H$5:$H$13/12-'3. Assumptions'!$B$16)-'2. The tape'!$C$5:$C$13*'2. The tape'!$I$5:$I$13*(1+$J$5)^($A55/4)))</f>
        <v>64101771.4577351</v>
      </c>
      <c r="L55" s="33" t="n">
        <f aca="false">'2. The tape'!$C$17*(1+MIN(MAX($L$5,'3. Assumptions'!$B$11),'3. Assumptions'!$B$10))^INT(($A55-1)/4)/4*(1-'3. Assumptions'!$B$13)</f>
        <v>3911829.0656731</v>
      </c>
      <c r="M55" s="33" t="n">
        <f aca="false">(1-'3. Assumptions'!$B$15)*SUMPRODUCT((('2. The tape'!$C$5:$C$13*'2. The tape'!$D$5:$D$13*(1-'2. The tape'!$J$5:$J$13)^($A55/4)*(1+$L$5)^($A55/4)*((1-'3. Assumptions'!$B$13)/($L$6)-'2. The tape'!$H$5:$H$13/12-'3. Assumptions'!$B$16)-'2. The tape'!$C$5:$C$13*'2. The tape'!$I$5:$I$13*(1+$L$5)^($A55/4))&gt;0)*('2. The tape'!$C$5:$C$13*'2. The tape'!$D$5:$D$13*(1-'2. The tape'!$J$5:$J$13)^($A55/4)*(1+$L$5)^($A55/4)*((1-'3. Assumptions'!$B$13)/($L$6)-'2. The tape'!$H$5:$H$13/12-'3. Assumptions'!$B$16)-'2. The tape'!$C$5:$C$13*'2. The tape'!$I$5:$I$13*(1+$L$5)^($A55/4)))</f>
        <v>866791386.597169</v>
      </c>
      <c r="N55" s="33" t="n">
        <f aca="false">'2. The tape'!$C$17*(1+MIN(MAX($N$5,'3. Assumptions'!$B$11),'3. Assumptions'!$B$10))^INT(($A55-1)/4)/4*(1-'3. Assumptions'!$B$13)</f>
        <v>2998091.25</v>
      </c>
      <c r="O55" s="33" t="n">
        <f aca="false">(1-'3. Assumptions'!$B$15)*SUMPRODUCT((('2. The tape'!$C$5:$C$13*'2. The tape'!$D$5:$D$13*(1-'2. The tape'!$J$5:$J$13)^($A55/4)*(1+$N$5)^($A55/4)*((1-'3. Assumptions'!$B$13)/($N$6)-'2. The tape'!$H$5:$H$13/12-'3. Assumptions'!$B$16)-'2. The tape'!$C$5:$C$13*'2. The tape'!$I$5:$I$13*(1+$N$5)^($A55/4))&gt;0)*('2. The tape'!$C$5:$C$13*'2. The tape'!$D$5:$D$13*(1-'2. The tape'!$J$5:$J$13)^($A55/4)*(1+$N$5)^($A55/4)*((1-'3. Assumptions'!$B$13)/($N$6)-'2. The tape'!$H$5:$H$13/12-'3. Assumptions'!$B$16)-'2. The tape'!$C$5:$C$13*'2. The tape'!$I$5:$I$13*(1+$N$5)^($A55/4)))</f>
        <v>46365869.2974522</v>
      </c>
      <c r="P55" s="33" t="n">
        <f aca="false">'2. The tape'!$C$17*(1+MIN(MAX($P$5,'3. Assumptions'!$B$11),'3. Assumptions'!$B$10))^INT(($A55-1)/4)/4*(1-'3. Assumptions'!$B$13)</f>
        <v>2998091.25</v>
      </c>
      <c r="Q55" s="33" t="n">
        <f aca="false">(1-'3. Assumptions'!$B$15)*SUMPRODUCT((('2. The tape'!$C$5:$C$13*'2. The tape'!$D$5:$D$13*(1-'2. The tape'!$J$5:$J$13)^($A55/4)*(1+$P$5)^($A55/4)*((1-'3. Assumptions'!$B$13)/($P$6)-'2. The tape'!$H$5:$H$13/12-'3. Assumptions'!$B$16)-'2. The tape'!$C$5:$C$13*'2. The tape'!$I$5:$I$13*(1+$P$5)^($A55/4))&gt;0)*('2. The tape'!$C$5:$C$13*'2. The tape'!$D$5:$D$13*(1-'2. The tape'!$J$5:$J$13)^($A55/4)*(1+$P$5)^($A55/4)*((1-'3. Assumptions'!$B$13)/($P$6)-'2. The tape'!$H$5:$H$13/12-'3. Assumptions'!$B$16)-'2. The tape'!$C$5:$C$13*'2. The tape'!$I$5:$I$13*(1+$P$5)^($A55/4)))</f>
        <v>51373815.4054842</v>
      </c>
      <c r="R55" s="33" t="n">
        <f aca="false">'2. The tape'!$C$17*(1+MIN(MAX($R$5,'3. Assumptions'!$B$11),'3. Assumptions'!$B$10))^INT(($A55-1)/4)/4*(1-'3. Assumptions'!$B$13)</f>
        <v>2998091.25</v>
      </c>
      <c r="S55" s="33" t="n">
        <f aca="false">(1-'3. Assumptions'!$B$15)*SUMPRODUCT((('2. The tape'!$C$5:$C$13*'2. The tape'!$D$5:$D$13*(1-'2. The tape'!$J$5:$J$13)^($A55/4)*(1+$R$5)^($A55/4)*((1-'3. Assumptions'!$B$13)/($R$6)-'2. The tape'!$H$5:$H$13/12-'3. Assumptions'!$B$16)-'2. The tape'!$C$5:$C$13*'2. The tape'!$I$5:$I$13*(1+$R$5)^($A55/4))&gt;0)*('2. The tape'!$C$5:$C$13*'2. The tape'!$D$5:$D$13*(1-'2. The tape'!$J$5:$J$13)^($A55/4)*(1+$R$5)^($A55/4)*((1-'3. Assumptions'!$B$13)/($R$6)-'2. The tape'!$H$5:$H$13/12-'3. Assumptions'!$B$16)-'2. The tape'!$C$5:$C$13*'2. The tape'!$I$5:$I$13*(1+$R$5)^($A55/4)))</f>
        <v>48287203.5079757</v>
      </c>
      <c r="T55" s="33" t="n">
        <f aca="false">'2. The tape'!$C$17*(1+MIN(MAX($T$5,'3. Assumptions'!$B$11),'3. Assumptions'!$B$10))^INT(($A55-1)/4)/4*(1-'3. Assumptions'!$B$13)</f>
        <v>2998091.25</v>
      </c>
      <c r="U55" s="33" t="n">
        <f aca="false">(1-'3. Assumptions'!$B$15)*SUMPRODUCT((('2. The tape'!$C$5:$C$13*'2. The tape'!$D$5:$D$13*(1-'2. The tape'!$J$5:$J$13)^($A55/4)*(1+$T$5)^($A55/4)*((1-'3. Assumptions'!$B$13)/($T$6)-'2. The tape'!$H$5:$H$13/12-'3. Assumptions'!$B$16)-'2. The tape'!$C$5:$C$13*'2. The tape'!$I$5:$I$13*(1+$T$5)^($A55/4))&gt;0)*('2. The tape'!$C$5:$C$13*'2. The tape'!$D$5:$D$13*(1-'2. The tape'!$J$5:$J$13)^($A55/4)*(1+$T$5)^($A55/4)*((1-'3. Assumptions'!$B$13)/($T$6)-'2. The tape'!$H$5:$H$13/12-'3. Assumptions'!$B$16)-'2. The tape'!$C$5:$C$13*'2. The tape'!$I$5:$I$13*(1+$T$5)^($A55/4)))</f>
        <v>48205859.0407665</v>
      </c>
      <c r="V55" s="33" t="n">
        <f aca="false">'2. The tape'!$C$17*(1+MIN(MAX($V$5,'3. Assumptions'!$B$11),'3. Assumptions'!$B$10))^INT(($A55-1)/4)/4*(1-'3. Assumptions'!$B$13)</f>
        <v>2998091.25</v>
      </c>
      <c r="W55" s="33" t="n">
        <f aca="false">(1-'3. Assumptions'!$B$15)*SUMPRODUCT((('2. The tape'!$C$5:$C$13*'2. The tape'!$D$5:$D$13*(1-'2. The tape'!$J$5:$J$13)^($A55/4)*(1+$V$5)^($A55/4)*((1-'3. Assumptions'!$B$13)/($V$6)-'2. The tape'!$H$5:$H$13/12-'3. Assumptions'!$B$16)-'2. The tape'!$C$5:$C$13*'2. The tape'!$I$5:$I$13*(1+$V$5)^($A55/4))&gt;0)*('2. The tape'!$C$5:$C$13*'2. The tape'!$D$5:$D$13*(1-'2. The tape'!$J$5:$J$13)^($A55/4)*(1+$V$5)^($A55/4)*((1-'3. Assumptions'!$B$13)/($V$6)-'2. The tape'!$H$5:$H$13/12-'3. Assumptions'!$B$16)-'2. The tape'!$C$5:$C$13*'2. The tape'!$I$5:$I$13*(1+$V$5)^($A55/4)))</f>
        <v>48209125.0037202</v>
      </c>
      <c r="X55" s="33" t="n">
        <f aca="false">'2. The tape'!$C$17*(1+MIN(MAX($X$5,'3. Assumptions'!$B$11),'3. Assumptions'!$B$10))^INT(($A55-1)/4)/4*(1-'3. Assumptions'!$B$13)</f>
        <v>2998091.25</v>
      </c>
      <c r="Y55" s="33" t="n">
        <f aca="false">(1-'3. Assumptions'!$B$15)*SUMPRODUCT((('2. The tape'!$C$5:$C$13*'2. The tape'!$D$5:$D$13*(1-'2. The tape'!$J$5:$J$13)^($A55/4)*(1+$X$5)^($A55/4)*((1-'3. Assumptions'!$B$13)/($X$6)-'2. The tape'!$H$5:$H$13/12-'3. Assumptions'!$B$16)-'2. The tape'!$C$5:$C$13*'2. The tape'!$I$5:$I$13*(1+$X$5)^($A55/4))&gt;0)*('2. The tape'!$C$5:$C$13*'2. The tape'!$D$5:$D$13*(1-'2. The tape'!$J$5:$J$13)^($A55/4)*(1+$X$5)^($A55/4)*((1-'3. Assumptions'!$B$13)/($X$6)-'2. The tape'!$H$5:$H$13/12-'3. Assumptions'!$B$16)-'2. The tape'!$C$5:$C$13*'2. The tape'!$I$5:$I$13*(1+$X$5)^($A55/4)))</f>
        <v>48209121.5692524</v>
      </c>
      <c r="Z55" s="33" t="n">
        <f aca="false">'2. The tape'!$C$17*(1+MIN(MAX($Z$5,'3. Assumptions'!$B$11),'3. Assumptions'!$B$10))^INT(($A55-1)/4)/4*(1-'3. Assumptions'!$B$13)</f>
        <v>2998091.25</v>
      </c>
      <c r="AA55" s="33" t="n">
        <f aca="false">(1-'3. Assumptions'!$B$15)*SUMPRODUCT((('2. The tape'!$C$5:$C$13*'2. The tape'!$D$5:$D$13*(1-'2. The tape'!$J$5:$J$13)^($A55/4)*(1+$Z$5)^($A55/4)*((1-'3. Assumptions'!$B$13)/($Z$6)-'2. The tape'!$H$5:$H$13/12-'3. Assumptions'!$B$16)-'2. The tape'!$C$5:$C$13*'2. The tape'!$I$5:$I$13*(1+$Z$5)^($A55/4))&gt;0)*('2. The tape'!$C$5:$C$13*'2. The tape'!$D$5:$D$13*(1-'2. The tape'!$J$5:$J$13)^($A55/4)*(1+$Z$5)^($A55/4)*((1-'3. Assumptions'!$B$13)/($Z$6)-'2. The tape'!$H$5:$H$13/12-'3. Assumptions'!$B$16)-'2. The tape'!$C$5:$C$13*'2. The tape'!$I$5:$I$13*(1+$Z$5)^($A55/4)))</f>
        <v>48209121.5691013</v>
      </c>
      <c r="AB55" s="33" t="n">
        <f aca="false">'2. The tape'!$C$17*(1+MIN(MAX($AB$5,'3. Assumptions'!$B$11),'3. Assumptions'!$B$10))^INT(($A55-1)/4)/4*(1-'3. Assumptions'!$B$13)</f>
        <v>2998091.25</v>
      </c>
      <c r="AC55" s="33" t="n">
        <f aca="false">(1-'3. Assumptions'!$B$15)*SUMPRODUCT((('2. The tape'!$C$5:$C$13*'2. The tape'!$D$5:$D$13*(1-'2. The tape'!$J$5:$J$13)^($A55/4)*(1+$AB$5)^($A55/4)*((1-'3. Assumptions'!$B$13)/($AB$6)-'2. The tape'!$H$5:$H$13/12-'3. Assumptions'!$B$16)-'2. The tape'!$C$5:$C$13*'2. The tape'!$I$5:$I$13*(1+$AB$5)^($A55/4))&gt;0)*('2. The tape'!$C$5:$C$13*'2. The tape'!$D$5:$D$13*(1-'2. The tape'!$J$5:$J$13)^($A55/4)*(1+$AB$5)^($A55/4)*((1-'3. Assumptions'!$B$13)/($AB$6)-'2. The tape'!$H$5:$H$13/12-'3. Assumptions'!$B$16)-'2. The tape'!$C$5:$C$13*'2. The tape'!$I$5:$I$13*(1+$AB$5)^($A55/4)))</f>
        <v>48209121.5691013</v>
      </c>
      <c r="AD55" s="33" t="n">
        <f aca="false">'2. The tape'!$C$17*(1+MIN(MAX($AD$5,'3. Assumptions'!$B$11),'3. Assumptions'!$B$10))^INT(($A55-1)/4)/4*(1-'3. Assumptions'!$B$13)</f>
        <v>2998091.25</v>
      </c>
      <c r="AE55" s="33" t="n">
        <f aca="false">(1-'3. Assumptions'!$B$15)*SUMPRODUCT((('2. The tape'!$C$5:$C$13*'2. The tape'!$D$5:$D$13*(1-'2. The tape'!$J$5:$J$13)^($A55/4)*(1+$AD$5)^($A55/4)*((1-'3. Assumptions'!$B$13)/($AD$6)-'2. The tape'!$H$5:$H$13/12-'3. Assumptions'!$B$16)-'2. The tape'!$C$5:$C$13*'2. The tape'!$I$5:$I$13*(1+$AD$5)^($A55/4))&gt;0)*('2. The tape'!$C$5:$C$13*'2. The tape'!$D$5:$D$13*(1-'2. The tape'!$J$5:$J$13)^($A55/4)*(1+$AD$5)^($A55/4)*((1-'3. Assumptions'!$B$13)/($AD$6)-'2. The tape'!$H$5:$H$13/12-'3. Assumptions'!$B$16)-'2. The tape'!$C$5:$C$13*'2. The tape'!$I$5:$I$13*(1+$AD$5)^($A55/4)))</f>
        <v>48209121.5691013</v>
      </c>
      <c r="AF55" s="33" t="n">
        <f aca="false">'2. The tape'!$C$17*(1+MIN(MAX($AF$5,'3. Assumptions'!$B$11),'3. Assumptions'!$B$10))^INT(($A55-1)/4)/4*(1-'3. Assumptions'!$B$13)</f>
        <v>2998091.25</v>
      </c>
      <c r="AG55" s="33" t="n">
        <f aca="false">(1-'3. Assumptions'!$B$15)*SUMPRODUCT((('2. The tape'!$C$5:$C$13*'2. The tape'!$D$5:$D$13*(1-'2. The tape'!$J$5:$J$13)^($A55/4)*(1+$AF$5)^($A55/4)*((1-'3. Assumptions'!$B$13)/($AF$6)-'2. The tape'!$H$5:$H$13/12-'3. Assumptions'!$B$16)-'2. The tape'!$C$5:$C$13*'2. The tape'!$I$5:$I$13*(1+$AF$5)^($A55/4))&gt;0)*('2. The tape'!$C$5:$C$13*'2. The tape'!$D$5:$D$13*(1-'2. The tape'!$J$5:$J$13)^($A55/4)*(1+$AF$5)^($A55/4)*((1-'3. Assumptions'!$B$13)/($AF$6)-'2. The tape'!$H$5:$H$13/12-'3. Assumptions'!$B$16)-'2. The tape'!$C$5:$C$13*'2. The tape'!$I$5:$I$13*(1+$AF$5)^($A55/4)))</f>
        <v>48209121.5691013</v>
      </c>
      <c r="AH55" s="33" t="n">
        <f aca="false">'2. The tape'!$C$17*(1+MIN(MAX($AH$5,'3. Assumptions'!$B$11),'3. Assumptions'!$B$10))^INT(($A55-1)/4)/4*(1-'3. Assumptions'!$B$13)</f>
        <v>3646724.11627946</v>
      </c>
      <c r="AI55" s="33" t="n">
        <f aca="false">(1-'3. Assumptions'!$B$15)*SUMPRODUCT((('2. The tape'!$C$5:$C$13*'2. The tape'!$D$5:$D$13*(1-'2. The tape'!$J$5:$J$13)^($A55/4)*(1+$AH$5)^($A55/4)*((1-'3. Assumptions'!$B$13)/($AH$6)-'2. The tape'!$H$5:$H$13/12-'3. Assumptions'!$B$16)-'2. The tape'!$C$5:$C$13*'2. The tape'!$I$5:$I$13*(1+$AH$5)^($A55/4))&gt;0)*('2. The tape'!$C$5:$C$13*'2. The tape'!$D$5:$D$13*(1-'2. The tape'!$J$5:$J$13)^($A55/4)*(1+$AH$5)^($A55/4)*((1-'3. Assumptions'!$B$13)/($AH$6)-'2. The tape'!$H$5:$H$13/12-'3. Assumptions'!$B$16)-'2. The tape'!$C$5:$C$13*'2. The tape'!$I$5:$I$13*(1+$AH$5)^($A55/4)))</f>
        <v>154924288.785176</v>
      </c>
      <c r="AJ55" s="33" t="n">
        <f aca="false">'2. The tape'!$C$17*(1+MIN(MAX($AJ$5,'3. Assumptions'!$B$11),'3. Assumptions'!$B$10))^INT(($A55-1)/4)/4*(1-'3. Assumptions'!$B$13)</f>
        <v>3646724.11627946</v>
      </c>
      <c r="AK55" s="33" t="n">
        <f aca="false">(1-'3. Assumptions'!$B$15)*SUMPRODUCT((('2. The tape'!$C$5:$C$13*'2. The tape'!$D$5:$D$13*(1-'2. The tape'!$J$5:$J$13)^($A55/4)*(1+$AJ$5)^($A55/4)*((1-'3. Assumptions'!$B$13)/($AJ$6)-'2. The tape'!$H$5:$H$13/12-'3. Assumptions'!$B$16)-'2. The tape'!$C$5:$C$13*'2. The tape'!$I$5:$I$13*(1+$AJ$5)^($A55/4))&gt;0)*('2. The tape'!$C$5:$C$13*'2. The tape'!$D$5:$D$13*(1-'2. The tape'!$J$5:$J$13)^($A55/4)*(1+$AJ$5)^($A55/4)*((1-'3. Assumptions'!$B$13)/($AJ$6)-'2. The tape'!$H$5:$H$13/12-'3. Assumptions'!$B$16)-'2. The tape'!$C$5:$C$13*'2. The tape'!$I$5:$I$13*(1+$AJ$5)^($A55/4)))</f>
        <v>111903096.366914</v>
      </c>
      <c r="AL55" s="33" t="n">
        <f aca="false">'2. The tape'!$C$17*(1+MIN(MAX($AL$5,'3. Assumptions'!$B$11),'3. Assumptions'!$B$10))^INT(($A55-1)/4)/4*(1-'3. Assumptions'!$B$13)</f>
        <v>3646724.11627946</v>
      </c>
      <c r="AM55" s="33" t="n">
        <f aca="false">(1-'3. Assumptions'!$B$15)*SUMPRODUCT((('2. The tape'!$C$5:$C$13*'2. The tape'!$D$5:$D$13*(1-'2. The tape'!$J$5:$J$13)^($A55/4)*(1+$AL$5)^($A55/4)*((1-'3. Assumptions'!$B$13)/($AL$6)-'2. The tape'!$H$5:$H$13/12-'3. Assumptions'!$B$16)-'2. The tape'!$C$5:$C$13*'2. The tape'!$I$5:$I$13*(1+$AL$5)^($A55/4))&gt;0)*('2. The tape'!$C$5:$C$13*'2. The tape'!$D$5:$D$13*(1-'2. The tape'!$J$5:$J$13)^($A55/4)*(1+$AL$5)^($A55/4)*((1-'3. Assumptions'!$B$13)/($AL$6)-'2. The tape'!$H$5:$H$13/12-'3. Assumptions'!$B$16)-'2. The tape'!$C$5:$C$13*'2. The tape'!$I$5:$I$13*(1+$AL$5)^($A55/4)))</f>
        <v>128588584.055408</v>
      </c>
      <c r="AN55" s="33" t="n">
        <f aca="false">'2. The tape'!$C$17*(1+MIN(MAX($AN$5,'3. Assumptions'!$B$11),'3. Assumptions'!$B$10))^INT(($A55-1)/4)/4*(1-'3. Assumptions'!$B$13)</f>
        <v>3646724.11627946</v>
      </c>
      <c r="AO55" s="33" t="n">
        <f aca="false">(1-'3. Assumptions'!$B$15)*SUMPRODUCT((('2. The tape'!$C$5:$C$13*'2. The tape'!$D$5:$D$13*(1-'2. The tape'!$J$5:$J$13)^($A55/4)*(1+$AN$5)^($A55/4)*((1-'3. Assumptions'!$B$13)/($AN$6)-'2. The tape'!$H$5:$H$13/12-'3. Assumptions'!$B$16)-'2. The tape'!$C$5:$C$13*'2. The tape'!$I$5:$I$13*(1+$AN$5)^($A55/4))&gt;0)*('2. The tape'!$C$5:$C$13*'2. The tape'!$D$5:$D$13*(1-'2. The tape'!$J$5:$J$13)^($A55/4)*(1+$AN$5)^($A55/4)*((1-'3. Assumptions'!$B$13)/($AN$6)-'2. The tape'!$H$5:$H$13/12-'3. Assumptions'!$B$16)-'2. The tape'!$C$5:$C$13*'2. The tape'!$I$5:$I$13*(1+$AN$5)^($A55/4)))</f>
        <v>131712619.747994</v>
      </c>
      <c r="AP55" s="33" t="n">
        <f aca="false">'2. The tape'!$C$17*(1+MIN(MAX($AP$5,'3. Assumptions'!$B$11),'3. Assumptions'!$B$10))^INT(($A55-1)/4)/4*(1-'3. Assumptions'!$B$13)</f>
        <v>3646724.11627946</v>
      </c>
      <c r="AQ55" s="33" t="n">
        <f aca="false">(1-'3. Assumptions'!$B$15)*SUMPRODUCT((('2. The tape'!$C$5:$C$13*'2. The tape'!$D$5:$D$13*(1-'2. The tape'!$J$5:$J$13)^($A55/4)*(1+$AP$5)^($A55/4)*((1-'3. Assumptions'!$B$13)/($AP$6)-'2. The tape'!$H$5:$H$13/12-'3. Assumptions'!$B$16)-'2. The tape'!$C$5:$C$13*'2. The tape'!$I$5:$I$13*(1+$AP$5)^($A55/4))&gt;0)*('2. The tape'!$C$5:$C$13*'2. The tape'!$D$5:$D$13*(1-'2. The tape'!$J$5:$J$13)^($A55/4)*(1+$AP$5)^($A55/4)*((1-'3. Assumptions'!$B$13)/($AP$6)-'2. The tape'!$H$5:$H$13/12-'3. Assumptions'!$B$16)-'2. The tape'!$C$5:$C$13*'2. The tape'!$I$5:$I$13*(1+$AP$5)^($A55/4)))</f>
        <v>131326963.952383</v>
      </c>
      <c r="AR55" s="33" t="n">
        <f aca="false">'2. The tape'!$C$17*(1+MIN(MAX($AR$5,'3. Assumptions'!$B$11),'3. Assumptions'!$B$10))^INT(($A55-1)/4)/4*(1-'3. Assumptions'!$B$13)</f>
        <v>3646724.11627946</v>
      </c>
      <c r="AS55" s="33" t="n">
        <f aca="false">(1-'3. Assumptions'!$B$15)*SUMPRODUCT((('2. The tape'!$C$5:$C$13*'2. The tape'!$D$5:$D$13*(1-'2. The tape'!$J$5:$J$13)^($A55/4)*(1+$AR$5)^($A55/4)*((1-'3. Assumptions'!$B$13)/($AR$6)-'2. The tape'!$H$5:$H$13/12-'3. Assumptions'!$B$16)-'2. The tape'!$C$5:$C$13*'2. The tape'!$I$5:$I$13*(1+$AR$5)^($A55/4))&gt;0)*('2. The tape'!$C$5:$C$13*'2. The tape'!$D$5:$D$13*(1-'2. The tape'!$J$5:$J$13)^($A55/4)*(1+$AR$5)^($A55/4)*((1-'3. Assumptions'!$B$13)/($AR$6)-'2. The tape'!$H$5:$H$13/12-'3. Assumptions'!$B$16)-'2. The tape'!$C$5:$C$13*'2. The tape'!$I$5:$I$13*(1+$AR$5)^($A55/4)))</f>
        <v>131333434.704241</v>
      </c>
      <c r="AT55" s="33" t="n">
        <f aca="false">'2. The tape'!$C$17*(1+MIN(MAX($AT$5,'3. Assumptions'!$B$11),'3. Assumptions'!$B$10))^INT(($A55-1)/4)/4*(1-'3. Assumptions'!$B$13)</f>
        <v>3646724.11627946</v>
      </c>
      <c r="AU55" s="33" t="n">
        <f aca="false">(1-'3. Assumptions'!$B$15)*SUMPRODUCT((('2. The tape'!$C$5:$C$13*'2. The tape'!$D$5:$D$13*(1-'2. The tape'!$J$5:$J$13)^($A55/4)*(1+$AT$5)^($A55/4)*((1-'3. Assumptions'!$B$13)/($AT$6)-'2. The tape'!$H$5:$H$13/12-'3. Assumptions'!$B$16)-'2. The tape'!$C$5:$C$13*'2. The tape'!$I$5:$I$13*(1+$AT$5)^($A55/4))&gt;0)*('2. The tape'!$C$5:$C$13*'2. The tape'!$D$5:$D$13*(1-'2. The tape'!$J$5:$J$13)^($A55/4)*(1+$AT$5)^($A55/4)*((1-'3. Assumptions'!$B$13)/($AT$6)-'2. The tape'!$H$5:$H$13/12-'3. Assumptions'!$B$16)-'2. The tape'!$C$5:$C$13*'2. The tape'!$I$5:$I$13*(1+$AT$5)^($A55/4)))</f>
        <v>131333449.772994</v>
      </c>
      <c r="AV55" s="33" t="n">
        <f aca="false">'2. The tape'!$C$17*(1+MIN(MAX($AV$5,'3. Assumptions'!$B$11),'3. Assumptions'!$B$10))^INT(($A55-1)/4)/4*(1-'3. Assumptions'!$B$13)</f>
        <v>3646724.11627946</v>
      </c>
      <c r="AW55" s="33" t="n">
        <f aca="false">(1-'3. Assumptions'!$B$15)*SUMPRODUCT((('2. The tape'!$C$5:$C$13*'2. The tape'!$D$5:$D$13*(1-'2. The tape'!$J$5:$J$13)^($A55/4)*(1+$AV$5)^($A55/4)*((1-'3. Assumptions'!$B$13)/($AV$6)-'2. The tape'!$H$5:$H$13/12-'3. Assumptions'!$B$16)-'2. The tape'!$C$5:$C$13*'2. The tape'!$I$5:$I$13*(1+$AV$5)^($A55/4))&gt;0)*('2. The tape'!$C$5:$C$13*'2. The tape'!$D$5:$D$13*(1-'2. The tape'!$J$5:$J$13)^($A55/4)*(1+$AV$5)^($A55/4)*((1-'3. Assumptions'!$B$13)/($AV$6)-'2. The tape'!$H$5:$H$13/12-'3. Assumptions'!$B$16)-'2. The tape'!$C$5:$C$13*'2. The tape'!$I$5:$I$13*(1+$AV$5)^($A55/4)))</f>
        <v>131333449.772393</v>
      </c>
      <c r="AX55" s="33" t="n">
        <f aca="false">'2. The tape'!$C$17*(1+MIN(MAX($AX$5,'3. Assumptions'!$B$11),'3. Assumptions'!$B$10))^INT(($A55-1)/4)/4*(1-'3. Assumptions'!$B$13)</f>
        <v>3646724.11627946</v>
      </c>
      <c r="AY55" s="33" t="n">
        <f aca="false">(1-'3. Assumptions'!$B$15)*SUMPRODUCT((('2. The tape'!$C$5:$C$13*'2. The tape'!$D$5:$D$13*(1-'2. The tape'!$J$5:$J$13)^($A55/4)*(1+$AX$5)^($A55/4)*((1-'3. Assumptions'!$B$13)/($AX$6)-'2. The tape'!$H$5:$H$13/12-'3. Assumptions'!$B$16)-'2. The tape'!$C$5:$C$13*'2. The tape'!$I$5:$I$13*(1+$AX$5)^($A55/4))&gt;0)*('2. The tape'!$C$5:$C$13*'2. The tape'!$D$5:$D$13*(1-'2. The tape'!$J$5:$J$13)^($A55/4)*(1+$AX$5)^($A55/4)*((1-'3. Assumptions'!$B$13)/($AX$6)-'2. The tape'!$H$5:$H$13/12-'3. Assumptions'!$B$16)-'2. The tape'!$C$5:$C$13*'2. The tape'!$I$5:$I$13*(1+$AX$5)^($A55/4)))</f>
        <v>131333449.772393</v>
      </c>
      <c r="AZ55" s="33" t="n">
        <f aca="false">'2. The tape'!$C$17*(1+MIN(MAX($AZ$5,'3. Assumptions'!$B$11),'3. Assumptions'!$B$10))^INT(($A55-1)/4)/4*(1-'3. Assumptions'!$B$13)</f>
        <v>3646724.11627946</v>
      </c>
      <c r="BA55" s="33" t="n">
        <f aca="false">(1-'3. Assumptions'!$B$15)*SUMPRODUCT((('2. The tape'!$C$5:$C$13*'2. The tape'!$D$5:$D$13*(1-'2. The tape'!$J$5:$J$13)^($A55/4)*(1+$AZ$5)^($A55/4)*((1-'3. Assumptions'!$B$13)/($AZ$6)-'2. The tape'!$H$5:$H$13/12-'3. Assumptions'!$B$16)-'2. The tape'!$C$5:$C$13*'2. The tape'!$I$5:$I$13*(1+$AZ$5)^($A55/4))&gt;0)*('2. The tape'!$C$5:$C$13*'2. The tape'!$D$5:$D$13*(1-'2. The tape'!$J$5:$J$13)^($A55/4)*(1+$AZ$5)^($A55/4)*((1-'3. Assumptions'!$B$13)/($AZ$6)-'2. The tape'!$H$5:$H$13/12-'3. Assumptions'!$B$16)-'2. The tape'!$C$5:$C$13*'2. The tape'!$I$5:$I$13*(1+$AZ$5)^($A55/4)))</f>
        <v>131333449.772393</v>
      </c>
    </row>
    <row r="56" customFormat="false" ht="15" hidden="false" customHeight="false" outlineLevel="0" collapsed="false">
      <c r="A56" s="20" t="n">
        <v>41</v>
      </c>
      <c r="B56" s="33" t="n">
        <f aca="false">'2. The tape'!$C$17*(1+MIN(MAX($B$5,'3. Assumptions'!$B$11),'3. Assumptions'!$B$10))^INT(($A56-1)/4)/4*(1-'3. Assumptions'!$B$13)</f>
        <v>3726952.04683761</v>
      </c>
      <c r="C56" s="33" t="n">
        <f aca="false">(1-'3. Assumptions'!$B$15)*SUMPRODUCT((('2. The tape'!$C$5:$C$13*'2. The tape'!$D$5:$D$13*(1-'2. The tape'!$J$5:$J$13)^($A56/4)*(1+$B$5)^($A56/4)*((1-'3. Assumptions'!$B$13)/($B$6)-'2. The tape'!$H$5:$H$13/12-'3. Assumptions'!$B$16)-'2. The tape'!$C$5:$C$13*'2. The tape'!$I$5:$I$13*(1+$B$5)^($A56/4))&gt;0)*('2. The tape'!$C$5:$C$13*'2. The tape'!$D$5:$D$13*(1-'2. The tape'!$J$5:$J$13)^($A56/4)*(1+$B$5)^($A56/4)*((1-'3. Assumptions'!$B$13)/($B$6)-'2. The tape'!$H$5:$H$13/12-'3. Assumptions'!$B$16)-'2. The tape'!$C$5:$C$13*'2. The tape'!$I$5:$I$13*(1+$B$5)^($A56/4)))</f>
        <v>78062521.5388264</v>
      </c>
      <c r="D56" s="33" t="n">
        <f aca="false">'2. The tape'!$C$17*(1+MIN(MAX($D$5,'3. Assumptions'!$B$11),'3. Assumptions'!$B$10))^INT(($A56-1)/4)/4*(1-'3. Assumptions'!$B$13)</f>
        <v>4029183.93764329</v>
      </c>
      <c r="E56" s="33" t="n">
        <f aca="false">(1-'3. Assumptions'!$B$15)*SUMPRODUCT((('2. The tape'!$C$5:$C$13*'2. The tape'!$D$5:$D$13*(1-'2. The tape'!$J$5:$J$13)^($A56/4)*(1+$D$5)^($A56/4)*((1-'3. Assumptions'!$B$13)/($D$6)-'2. The tape'!$H$5:$H$13/12-'3. Assumptions'!$B$16)-'2. The tape'!$C$5:$C$13*'2. The tape'!$I$5:$I$13*(1+$D$5)^($A56/4))&gt;0)*('2. The tape'!$C$5:$C$13*'2. The tape'!$D$5:$D$13*(1-'2. The tape'!$J$5:$J$13)^($A56/4)*(1+$D$5)^($A56/4)*((1-'3. Assumptions'!$B$13)/($D$6)-'2. The tape'!$H$5:$H$13/12-'3. Assumptions'!$B$16)-'2. The tape'!$C$5:$C$13*'2. The tape'!$I$5:$I$13*(1+$D$5)^($A56/4)))</f>
        <v>88860648.6259725</v>
      </c>
      <c r="F56" s="33" t="n">
        <f aca="false">'2. The tape'!$C$17*(1+MIN(MAX($F$5,'3. Assumptions'!$B$11),'3. Assumptions'!$B$10))^INT(($A56-1)/4)/4*(1-'3. Assumptions'!$B$13)</f>
        <v>3311757.92875174</v>
      </c>
      <c r="G56" s="33" t="n">
        <f aca="false">(1-'3. Assumptions'!$B$15)*SUMPRODUCT((('2. The tape'!$C$5:$C$13*'2. The tape'!$D$5:$D$13*(1-'2. The tape'!$J$5:$J$13)^($A56/4)*(1+$F$5)^($A56/4)*((1-'3. Assumptions'!$B$13)/($F$6)-'2. The tape'!$H$5:$H$13/12-'3. Assumptions'!$B$16)-'2. The tape'!$C$5:$C$13*'2. The tape'!$I$5:$I$13*(1+$F$5)^($A56/4))&gt;0)*('2. The tape'!$C$5:$C$13*'2. The tape'!$D$5:$D$13*(1-'2. The tape'!$J$5:$J$13)^($A56/4)*(1+$F$5)^($A56/4)*((1-'3. Assumptions'!$B$13)/($F$6)-'2. The tape'!$H$5:$H$13/12-'3. Assumptions'!$B$16)-'2. The tape'!$C$5:$C$13*'2. The tape'!$I$5:$I$13*(1+$F$5)^($A56/4)))</f>
        <v>69161590.9384807</v>
      </c>
      <c r="H56" s="33" t="n">
        <f aca="false">'2. The tape'!$C$17*(1+MIN(MAX($H$5,'3. Assumptions'!$B$11),'3. Assumptions'!$B$10))^INT(($A56-1)/4)/4*(1-'3. Assumptions'!$B$13)</f>
        <v>4029183.93764329</v>
      </c>
      <c r="I56" s="33" t="n">
        <f aca="false">(1-'3. Assumptions'!$B$15)*SUMPRODUCT((('2. The tape'!$C$5:$C$13*'2. The tape'!$D$5:$D$13*(1-'2. The tape'!$J$5:$J$13)^($A56/4)*(1+$H$5)^($A56/4)*((1-'3. Assumptions'!$B$13)/($H$6)-'2. The tape'!$H$5:$H$13/12-'3. Assumptions'!$B$16)-'2. The tape'!$C$5:$C$13*'2. The tape'!$I$5:$I$13*(1+$H$5)^($A56/4))&gt;0)*('2. The tape'!$C$5:$C$13*'2. The tape'!$D$5:$D$13*(1-'2. The tape'!$J$5:$J$13)^($A56/4)*(1+$H$5)^($A56/4)*((1-'3. Assumptions'!$B$13)/($H$6)-'2. The tape'!$H$5:$H$13/12-'3. Assumptions'!$B$16)-'2. The tape'!$C$5:$C$13*'2. The tape'!$I$5:$I$13*(1+$H$5)^($A56/4)))</f>
        <v>88860648.6259725</v>
      </c>
      <c r="J56" s="33" t="n">
        <f aca="false">'2. The tape'!$C$17*(1+MIN(MAX($J$5,'3. Assumptions'!$B$11),'3. Assumptions'!$B$10))^INT(($A56-1)/4)/4*(1-'3. Assumptions'!$B$13)</f>
        <v>3726952.04683761</v>
      </c>
      <c r="K56" s="33" t="n">
        <f aca="false">(1-'3. Assumptions'!$B$15)*SUMPRODUCT((('2. The tape'!$C$5:$C$13*'2. The tape'!$D$5:$D$13*(1-'2. The tape'!$J$5:$J$13)^($A56/4)*(1+$J$5)^($A56/4)*((1-'3. Assumptions'!$B$13)/($J$6)-'2. The tape'!$H$5:$H$13/12-'3. Assumptions'!$B$16)-'2. The tape'!$C$5:$C$13*'2. The tape'!$I$5:$I$13*(1+$J$5)^($A56/4))&gt;0)*('2. The tape'!$C$5:$C$13*'2. The tape'!$D$5:$D$13*(1-'2. The tape'!$J$5:$J$13)^($A56/4)*(1+$J$5)^($A56/4)*((1-'3. Assumptions'!$B$13)/($J$6)-'2. The tape'!$H$5:$H$13/12-'3. Assumptions'!$B$16)-'2. The tape'!$C$5:$C$13*'2. The tape'!$I$5:$I$13*(1+$J$5)^($A56/4)))</f>
        <v>64004216.5980628</v>
      </c>
      <c r="L56" s="33" t="n">
        <f aca="false">'2. The tape'!$C$17*(1+MIN(MAX($L$5,'3. Assumptions'!$B$11),'3. Assumptions'!$B$10))^INT(($A56-1)/4)/4*(1-'3. Assumptions'!$B$13)</f>
        <v>4029183.93764329</v>
      </c>
      <c r="M56" s="33" t="n">
        <f aca="false">(1-'3. Assumptions'!$B$15)*SUMPRODUCT((('2. The tape'!$C$5:$C$13*'2. The tape'!$D$5:$D$13*(1-'2. The tape'!$J$5:$J$13)^($A56/4)*(1+$L$5)^($A56/4)*((1-'3. Assumptions'!$B$13)/($L$6)-'2. The tape'!$H$5:$H$13/12-'3. Assumptions'!$B$16)-'2. The tape'!$C$5:$C$13*'2. The tape'!$I$5:$I$13*(1+$L$5)^($A56/4))&gt;0)*('2. The tape'!$C$5:$C$13*'2. The tape'!$D$5:$D$13*(1-'2. The tape'!$J$5:$J$13)^($A56/4)*(1+$L$5)^($A56/4)*((1-'3. Assumptions'!$B$13)/($L$6)-'2. The tape'!$H$5:$H$13/12-'3. Assumptions'!$B$16)-'2. The tape'!$C$5:$C$13*'2. The tape'!$I$5:$I$13*(1+$L$5)^($A56/4)))</f>
        <v>919369844.599879</v>
      </c>
      <c r="N56" s="33" t="n">
        <f aca="false">'2. The tape'!$C$17*(1+MIN(MAX($N$5,'3. Assumptions'!$B$11),'3. Assumptions'!$B$10))^INT(($A56-1)/4)/4*(1-'3. Assumptions'!$B$13)</f>
        <v>2998091.25</v>
      </c>
      <c r="O56" s="33" t="n">
        <f aca="false">(1-'3. Assumptions'!$B$15)*SUMPRODUCT((('2. The tape'!$C$5:$C$13*'2. The tape'!$D$5:$D$13*(1-'2. The tape'!$J$5:$J$13)^($A56/4)*(1+$N$5)^($A56/4)*((1-'3. Assumptions'!$B$13)/($N$6)-'2. The tape'!$H$5:$H$13/12-'3. Assumptions'!$B$16)-'2. The tape'!$C$5:$C$13*'2. The tape'!$I$5:$I$13*(1+$N$5)^($A56/4))&gt;0)*('2. The tape'!$C$5:$C$13*'2. The tape'!$D$5:$D$13*(1-'2. The tape'!$J$5:$J$13)^($A56/4)*(1+$N$5)^($A56/4)*((1-'3. Assumptions'!$B$13)/($N$6)-'2. The tape'!$H$5:$H$13/12-'3. Assumptions'!$B$16)-'2. The tape'!$C$5:$C$13*'2. The tape'!$I$5:$I$13*(1+$N$5)^($A56/4)))</f>
        <v>45706837.1594031</v>
      </c>
      <c r="P56" s="33" t="n">
        <f aca="false">'2. The tape'!$C$17*(1+MIN(MAX($P$5,'3. Assumptions'!$B$11),'3. Assumptions'!$B$10))^INT(($A56-1)/4)/4*(1-'3. Assumptions'!$B$13)</f>
        <v>2998091.25</v>
      </c>
      <c r="Q56" s="33" t="n">
        <f aca="false">(1-'3. Assumptions'!$B$15)*SUMPRODUCT((('2. The tape'!$C$5:$C$13*'2. The tape'!$D$5:$D$13*(1-'2. The tape'!$J$5:$J$13)^($A56/4)*(1+$P$5)^($A56/4)*((1-'3. Assumptions'!$B$13)/($P$6)-'2. The tape'!$H$5:$H$13/12-'3. Assumptions'!$B$16)-'2. The tape'!$C$5:$C$13*'2. The tape'!$I$5:$I$13*(1+$P$5)^($A56/4))&gt;0)*('2. The tape'!$C$5:$C$13*'2. The tape'!$D$5:$D$13*(1-'2. The tape'!$J$5:$J$13)^($A56/4)*(1+$P$5)^($A56/4)*((1-'3. Assumptions'!$B$13)/($P$6)-'2. The tape'!$H$5:$H$13/12-'3. Assumptions'!$B$16)-'2. The tape'!$C$5:$C$13*'2. The tape'!$I$5:$I$13*(1+$P$5)^($A56/4)))</f>
        <v>50773624.8067886</v>
      </c>
      <c r="R56" s="33" t="n">
        <f aca="false">'2. The tape'!$C$17*(1+MIN(MAX($R$5,'3. Assumptions'!$B$11),'3. Assumptions'!$B$10))^INT(($A56-1)/4)/4*(1-'3. Assumptions'!$B$13)</f>
        <v>2998091.25</v>
      </c>
      <c r="S56" s="33" t="n">
        <f aca="false">(1-'3. Assumptions'!$B$15)*SUMPRODUCT((('2. The tape'!$C$5:$C$13*'2. The tape'!$D$5:$D$13*(1-'2. The tape'!$J$5:$J$13)^($A56/4)*(1+$R$5)^($A56/4)*((1-'3. Assumptions'!$B$13)/($R$6)-'2. The tape'!$H$5:$H$13/12-'3. Assumptions'!$B$16)-'2. The tape'!$C$5:$C$13*'2. The tape'!$I$5:$I$13*(1+$R$5)^($A56/4))&gt;0)*('2. The tape'!$C$5:$C$13*'2. The tape'!$D$5:$D$13*(1-'2. The tape'!$J$5:$J$13)^($A56/4)*(1+$R$5)^($A56/4)*((1-'3. Assumptions'!$B$13)/($R$6)-'2. The tape'!$H$5:$H$13/12-'3. Assumptions'!$B$16)-'2. The tape'!$C$5:$C$13*'2. The tape'!$I$5:$I$13*(1+$R$5)^($A56/4)))</f>
        <v>47649204.9830005</v>
      </c>
      <c r="T56" s="33" t="n">
        <f aca="false">'2. The tape'!$C$17*(1+MIN(MAX($T$5,'3. Assumptions'!$B$11),'3. Assumptions'!$B$10))^INT(($A56-1)/4)/4*(1-'3. Assumptions'!$B$13)</f>
        <v>2998091.25</v>
      </c>
      <c r="U56" s="33" t="n">
        <f aca="false">(1-'3. Assumptions'!$B$15)*SUMPRODUCT((('2. The tape'!$C$5:$C$13*'2. The tape'!$D$5:$D$13*(1-'2. The tape'!$J$5:$J$13)^($A56/4)*(1+$T$5)^($A56/4)*((1-'3. Assumptions'!$B$13)/($T$6)-'2. The tape'!$H$5:$H$13/12-'3. Assumptions'!$B$16)-'2. The tape'!$C$5:$C$13*'2. The tape'!$I$5:$I$13*(1+$T$5)^($A56/4))&gt;0)*('2. The tape'!$C$5:$C$13*'2. The tape'!$D$5:$D$13*(1-'2. The tape'!$J$5:$J$13)^($A56/4)*(1+$T$5)^($A56/4)*((1-'3. Assumptions'!$B$13)/($T$6)-'2. The tape'!$H$5:$H$13/12-'3. Assumptions'!$B$16)-'2. The tape'!$C$5:$C$13*'2. The tape'!$I$5:$I$13*(1+$T$5)^($A56/4)))</f>
        <v>47566930.2771061</v>
      </c>
      <c r="V56" s="33" t="n">
        <f aca="false">'2. The tape'!$C$17*(1+MIN(MAX($V$5,'3. Assumptions'!$B$11),'3. Assumptions'!$B$10))^INT(($A56-1)/4)/4*(1-'3. Assumptions'!$B$13)</f>
        <v>2998091.25</v>
      </c>
      <c r="W56" s="33" t="n">
        <f aca="false">(1-'3. Assumptions'!$B$15)*SUMPRODUCT((('2. The tape'!$C$5:$C$13*'2. The tape'!$D$5:$D$13*(1-'2. The tape'!$J$5:$J$13)^($A56/4)*(1+$V$5)^($A56/4)*((1-'3. Assumptions'!$B$13)/($V$6)-'2. The tape'!$H$5:$H$13/12-'3. Assumptions'!$B$16)-'2. The tape'!$C$5:$C$13*'2. The tape'!$I$5:$I$13*(1+$V$5)^($A56/4))&gt;0)*('2. The tape'!$C$5:$C$13*'2. The tape'!$D$5:$D$13*(1-'2. The tape'!$J$5:$J$13)^($A56/4)*(1+$V$5)^($A56/4)*((1-'3. Assumptions'!$B$13)/($V$6)-'2. The tape'!$H$5:$H$13/12-'3. Assumptions'!$B$16)-'2. The tape'!$C$5:$C$13*'2. The tape'!$I$5:$I$13*(1+$V$5)^($A56/4)))</f>
        <v>47570233.5221043</v>
      </c>
      <c r="X56" s="33" t="n">
        <f aca="false">'2. The tape'!$C$17*(1+MIN(MAX($X$5,'3. Assumptions'!$B$11),'3. Assumptions'!$B$10))^INT(($A56-1)/4)/4*(1-'3. Assumptions'!$B$13)</f>
        <v>2998091.25</v>
      </c>
      <c r="Y56" s="33" t="n">
        <f aca="false">(1-'3. Assumptions'!$B$15)*SUMPRODUCT((('2. The tape'!$C$5:$C$13*'2. The tape'!$D$5:$D$13*(1-'2. The tape'!$J$5:$J$13)^($A56/4)*(1+$X$5)^($A56/4)*((1-'3. Assumptions'!$B$13)/($X$6)-'2. The tape'!$H$5:$H$13/12-'3. Assumptions'!$B$16)-'2. The tape'!$C$5:$C$13*'2. The tape'!$I$5:$I$13*(1+$X$5)^($A56/4))&gt;0)*('2. The tape'!$C$5:$C$13*'2. The tape'!$D$5:$D$13*(1-'2. The tape'!$J$5:$J$13)^($A56/4)*(1+$X$5)^($A56/4)*((1-'3. Assumptions'!$B$13)/($X$6)-'2. The tape'!$H$5:$H$13/12-'3. Assumptions'!$B$16)-'2. The tape'!$C$5:$C$13*'2. The tape'!$I$5:$I$13*(1+$X$5)^($A56/4)))</f>
        <v>47570230.0484279</v>
      </c>
      <c r="Z56" s="33" t="n">
        <f aca="false">'2. The tape'!$C$17*(1+MIN(MAX($Z$5,'3. Assumptions'!$B$11),'3. Assumptions'!$B$10))^INT(($A56-1)/4)/4*(1-'3. Assumptions'!$B$13)</f>
        <v>2998091.25</v>
      </c>
      <c r="AA56" s="33" t="n">
        <f aca="false">(1-'3. Assumptions'!$B$15)*SUMPRODUCT((('2. The tape'!$C$5:$C$13*'2. The tape'!$D$5:$D$13*(1-'2. The tape'!$J$5:$J$13)^($A56/4)*(1+$Z$5)^($A56/4)*((1-'3. Assumptions'!$B$13)/($Z$6)-'2. The tape'!$H$5:$H$13/12-'3. Assumptions'!$B$16)-'2. The tape'!$C$5:$C$13*'2. The tape'!$I$5:$I$13*(1+$Z$5)^($A56/4))&gt;0)*('2. The tape'!$C$5:$C$13*'2. The tape'!$D$5:$D$13*(1-'2. The tape'!$J$5:$J$13)^($A56/4)*(1+$Z$5)^($A56/4)*((1-'3. Assumptions'!$B$13)/($Z$6)-'2. The tape'!$H$5:$H$13/12-'3. Assumptions'!$B$16)-'2. The tape'!$C$5:$C$13*'2. The tape'!$I$5:$I$13*(1+$Z$5)^($A56/4)))</f>
        <v>47570230.048275</v>
      </c>
      <c r="AB56" s="33" t="n">
        <f aca="false">'2. The tape'!$C$17*(1+MIN(MAX($AB$5,'3. Assumptions'!$B$11),'3. Assumptions'!$B$10))^INT(($A56-1)/4)/4*(1-'3. Assumptions'!$B$13)</f>
        <v>2998091.25</v>
      </c>
      <c r="AC56" s="33" t="n">
        <f aca="false">(1-'3. Assumptions'!$B$15)*SUMPRODUCT((('2. The tape'!$C$5:$C$13*'2. The tape'!$D$5:$D$13*(1-'2. The tape'!$J$5:$J$13)^($A56/4)*(1+$AB$5)^($A56/4)*((1-'3. Assumptions'!$B$13)/($AB$6)-'2. The tape'!$H$5:$H$13/12-'3. Assumptions'!$B$16)-'2. The tape'!$C$5:$C$13*'2. The tape'!$I$5:$I$13*(1+$AB$5)^($A56/4))&gt;0)*('2. The tape'!$C$5:$C$13*'2. The tape'!$D$5:$D$13*(1-'2. The tape'!$J$5:$J$13)^($A56/4)*(1+$AB$5)^($A56/4)*((1-'3. Assumptions'!$B$13)/($AB$6)-'2. The tape'!$H$5:$H$13/12-'3. Assumptions'!$B$16)-'2. The tape'!$C$5:$C$13*'2. The tape'!$I$5:$I$13*(1+$AB$5)^($A56/4)))</f>
        <v>47570230.048275</v>
      </c>
      <c r="AD56" s="33" t="n">
        <f aca="false">'2. The tape'!$C$17*(1+MIN(MAX($AD$5,'3. Assumptions'!$B$11),'3. Assumptions'!$B$10))^INT(($A56-1)/4)/4*(1-'3. Assumptions'!$B$13)</f>
        <v>2998091.25</v>
      </c>
      <c r="AE56" s="33" t="n">
        <f aca="false">(1-'3. Assumptions'!$B$15)*SUMPRODUCT((('2. The tape'!$C$5:$C$13*'2. The tape'!$D$5:$D$13*(1-'2. The tape'!$J$5:$J$13)^($A56/4)*(1+$AD$5)^($A56/4)*((1-'3. Assumptions'!$B$13)/($AD$6)-'2. The tape'!$H$5:$H$13/12-'3. Assumptions'!$B$16)-'2. The tape'!$C$5:$C$13*'2. The tape'!$I$5:$I$13*(1+$AD$5)^($A56/4))&gt;0)*('2. The tape'!$C$5:$C$13*'2. The tape'!$D$5:$D$13*(1-'2. The tape'!$J$5:$J$13)^($A56/4)*(1+$AD$5)^($A56/4)*((1-'3. Assumptions'!$B$13)/($AD$6)-'2. The tape'!$H$5:$H$13/12-'3. Assumptions'!$B$16)-'2. The tape'!$C$5:$C$13*'2. The tape'!$I$5:$I$13*(1+$AD$5)^($A56/4)))</f>
        <v>47570230.048275</v>
      </c>
      <c r="AF56" s="33" t="n">
        <f aca="false">'2. The tape'!$C$17*(1+MIN(MAX($AF$5,'3. Assumptions'!$B$11),'3. Assumptions'!$B$10))^INT(($A56-1)/4)/4*(1-'3. Assumptions'!$B$13)</f>
        <v>2998091.25</v>
      </c>
      <c r="AG56" s="33" t="n">
        <f aca="false">(1-'3. Assumptions'!$B$15)*SUMPRODUCT((('2. The tape'!$C$5:$C$13*'2. The tape'!$D$5:$D$13*(1-'2. The tape'!$J$5:$J$13)^($A56/4)*(1+$AF$5)^($A56/4)*((1-'3. Assumptions'!$B$13)/($AF$6)-'2. The tape'!$H$5:$H$13/12-'3. Assumptions'!$B$16)-'2. The tape'!$C$5:$C$13*'2. The tape'!$I$5:$I$13*(1+$AF$5)^($A56/4))&gt;0)*('2. The tape'!$C$5:$C$13*'2. The tape'!$D$5:$D$13*(1-'2. The tape'!$J$5:$J$13)^($A56/4)*(1+$AF$5)^($A56/4)*((1-'3. Assumptions'!$B$13)/($AF$6)-'2. The tape'!$H$5:$H$13/12-'3. Assumptions'!$B$16)-'2. The tape'!$C$5:$C$13*'2. The tape'!$I$5:$I$13*(1+$AF$5)^($A56/4)))</f>
        <v>47570230.048275</v>
      </c>
      <c r="AH56" s="33" t="n">
        <f aca="false">'2. The tape'!$C$17*(1+MIN(MAX($AH$5,'3. Assumptions'!$B$11),'3. Assumptions'!$B$10))^INT(($A56-1)/4)/4*(1-'3. Assumptions'!$B$13)</f>
        <v>3726952.04683761</v>
      </c>
      <c r="AI56" s="33" t="n">
        <f aca="false">(1-'3. Assumptions'!$B$15)*SUMPRODUCT((('2. The tape'!$C$5:$C$13*'2. The tape'!$D$5:$D$13*(1-'2. The tape'!$J$5:$J$13)^($A56/4)*(1+$AH$5)^($A56/4)*((1-'3. Assumptions'!$B$13)/($AH$6)-'2. The tape'!$H$5:$H$13/12-'3. Assumptions'!$B$16)-'2. The tape'!$C$5:$C$13*'2. The tape'!$I$5:$I$13*(1+$AH$5)^($A56/4))&gt;0)*('2. The tape'!$C$5:$C$13*'2. The tape'!$D$5:$D$13*(1-'2. The tape'!$J$5:$J$13)^($A56/4)*(1+$AH$5)^($A56/4)*((1-'3. Assumptions'!$B$13)/($AH$6)-'2. The tape'!$H$5:$H$13/12-'3. Assumptions'!$B$16)-'2. The tape'!$C$5:$C$13*'2. The tape'!$I$5:$I$13*(1+$AH$5)^($A56/4)))</f>
        <v>154820866.515396</v>
      </c>
      <c r="AJ56" s="33" t="n">
        <f aca="false">'2. The tape'!$C$17*(1+MIN(MAX($AJ$5,'3. Assumptions'!$B$11),'3. Assumptions'!$B$10))^INT(($A56-1)/4)/4*(1-'3. Assumptions'!$B$13)</f>
        <v>3726952.04683761</v>
      </c>
      <c r="AK56" s="33" t="n">
        <f aca="false">(1-'3. Assumptions'!$B$15)*SUMPRODUCT((('2. The tape'!$C$5:$C$13*'2. The tape'!$D$5:$D$13*(1-'2. The tape'!$J$5:$J$13)^($A56/4)*(1+$AJ$5)^($A56/4)*((1-'3. Assumptions'!$B$13)/($AJ$6)-'2. The tape'!$H$5:$H$13/12-'3. Assumptions'!$B$16)-'2. The tape'!$C$5:$C$13*'2. The tape'!$I$5:$I$13*(1+$AJ$5)^($A56/4))&gt;0)*('2. The tape'!$C$5:$C$13*'2. The tape'!$D$5:$D$13*(1-'2. The tape'!$J$5:$J$13)^($A56/4)*(1+$AJ$5)^($A56/4)*((1-'3. Assumptions'!$B$13)/($AJ$6)-'2. The tape'!$H$5:$H$13/12-'3. Assumptions'!$B$16)-'2. The tape'!$C$5:$C$13*'2. The tape'!$I$5:$I$13*(1+$AJ$5)^($A56/4)))</f>
        <v>111802453.396659</v>
      </c>
      <c r="AL56" s="33" t="n">
        <f aca="false">'2. The tape'!$C$17*(1+MIN(MAX($AL$5,'3. Assumptions'!$B$11),'3. Assumptions'!$B$10))^INT(($A56-1)/4)/4*(1-'3. Assumptions'!$B$13)</f>
        <v>3726952.04683761</v>
      </c>
      <c r="AM56" s="33" t="n">
        <f aca="false">(1-'3. Assumptions'!$B$15)*SUMPRODUCT((('2. The tape'!$C$5:$C$13*'2. The tape'!$D$5:$D$13*(1-'2. The tape'!$J$5:$J$13)^($A56/4)*(1+$AL$5)^($A56/4)*((1-'3. Assumptions'!$B$13)/($AL$6)-'2. The tape'!$H$5:$H$13/12-'3. Assumptions'!$B$16)-'2. The tape'!$C$5:$C$13*'2. The tape'!$I$5:$I$13*(1+$AL$5)^($A56/4))&gt;0)*('2. The tape'!$C$5:$C$13*'2. The tape'!$D$5:$D$13*(1-'2. The tape'!$J$5:$J$13)^($A56/4)*(1+$AL$5)^($A56/4)*((1-'3. Assumptions'!$B$13)/($AL$6)-'2. The tape'!$H$5:$H$13/12-'3. Assumptions'!$B$16)-'2. The tape'!$C$5:$C$13*'2. The tape'!$I$5:$I$13*(1+$AL$5)^($A56/4)))</f>
        <v>128486863.152037</v>
      </c>
      <c r="AN56" s="33" t="n">
        <f aca="false">'2. The tape'!$C$17*(1+MIN(MAX($AN$5,'3. Assumptions'!$B$11),'3. Assumptions'!$B$10))^INT(($A56-1)/4)/4*(1-'3. Assumptions'!$B$13)</f>
        <v>3726952.04683761</v>
      </c>
      <c r="AO56" s="33" t="n">
        <f aca="false">(1-'3. Assumptions'!$B$15)*SUMPRODUCT((('2. The tape'!$C$5:$C$13*'2. The tape'!$D$5:$D$13*(1-'2. The tape'!$J$5:$J$13)^($A56/4)*(1+$AN$5)^($A56/4)*((1-'3. Assumptions'!$B$13)/($AN$6)-'2. The tape'!$H$5:$H$13/12-'3. Assumptions'!$B$16)-'2. The tape'!$C$5:$C$13*'2. The tape'!$I$5:$I$13*(1+$AN$5)^($A56/4))&gt;0)*('2. The tape'!$C$5:$C$13*'2. The tape'!$D$5:$D$13*(1-'2. The tape'!$J$5:$J$13)^($A56/4)*(1+$AN$5)^($A56/4)*((1-'3. Assumptions'!$B$13)/($AN$6)-'2. The tape'!$H$5:$H$13/12-'3. Assumptions'!$B$16)-'2. The tape'!$C$5:$C$13*'2. The tape'!$I$5:$I$13*(1+$AN$5)^($A56/4)))</f>
        <v>131610697.022441</v>
      </c>
      <c r="AP56" s="33" t="n">
        <f aca="false">'2. The tape'!$C$17*(1+MIN(MAX($AP$5,'3. Assumptions'!$B$11),'3. Assumptions'!$B$10))^INT(($A56-1)/4)/4*(1-'3. Assumptions'!$B$13)</f>
        <v>3726952.04683761</v>
      </c>
      <c r="AQ56" s="33" t="n">
        <f aca="false">(1-'3. Assumptions'!$B$15)*SUMPRODUCT((('2. The tape'!$C$5:$C$13*'2. The tape'!$D$5:$D$13*(1-'2. The tape'!$J$5:$J$13)^($A56/4)*(1+$AP$5)^($A56/4)*((1-'3. Assumptions'!$B$13)/($AP$6)-'2. The tape'!$H$5:$H$13/12-'3. Assumptions'!$B$16)-'2. The tape'!$C$5:$C$13*'2. The tape'!$I$5:$I$13*(1+$AP$5)^($A56/4))&gt;0)*('2. The tape'!$C$5:$C$13*'2. The tape'!$D$5:$D$13*(1-'2. The tape'!$J$5:$J$13)^($A56/4)*(1+$AP$5)^($A56/4)*((1-'3. Assumptions'!$B$13)/($AP$6)-'2. The tape'!$H$5:$H$13/12-'3. Assumptions'!$B$16)-'2. The tape'!$C$5:$C$13*'2. The tape'!$I$5:$I$13*(1+$AP$5)^($A56/4)))</f>
        <v>131225066.141365</v>
      </c>
      <c r="AR56" s="33" t="n">
        <f aca="false">'2. The tape'!$C$17*(1+MIN(MAX($AR$5,'3. Assumptions'!$B$11),'3. Assumptions'!$B$10))^INT(($A56-1)/4)/4*(1-'3. Assumptions'!$B$13)</f>
        <v>3726952.04683761</v>
      </c>
      <c r="AS56" s="33" t="n">
        <f aca="false">(1-'3. Assumptions'!$B$15)*SUMPRODUCT((('2. The tape'!$C$5:$C$13*'2. The tape'!$D$5:$D$13*(1-'2. The tape'!$J$5:$J$13)^($A56/4)*(1+$AR$5)^($A56/4)*((1-'3. Assumptions'!$B$13)/($AR$6)-'2. The tape'!$H$5:$H$13/12-'3. Assumptions'!$B$16)-'2. The tape'!$C$5:$C$13*'2. The tape'!$I$5:$I$13*(1+$AR$5)^($A56/4))&gt;0)*('2. The tape'!$C$5:$C$13*'2. The tape'!$D$5:$D$13*(1-'2. The tape'!$J$5:$J$13)^($A56/4)*(1+$AR$5)^($A56/4)*((1-'3. Assumptions'!$B$13)/($AR$6)-'2. The tape'!$H$5:$H$13/12-'3. Assumptions'!$B$16)-'2. The tape'!$C$5:$C$13*'2. The tape'!$I$5:$I$13*(1+$AR$5)^($A56/4)))</f>
        <v>131231536.475192</v>
      </c>
      <c r="AT56" s="33" t="n">
        <f aca="false">'2. The tape'!$C$17*(1+MIN(MAX($AT$5,'3. Assumptions'!$B$11),'3. Assumptions'!$B$10))^INT(($A56-1)/4)/4*(1-'3. Assumptions'!$B$13)</f>
        <v>3726952.04683761</v>
      </c>
      <c r="AU56" s="33" t="n">
        <f aca="false">(1-'3. Assumptions'!$B$15)*SUMPRODUCT((('2. The tape'!$C$5:$C$13*'2. The tape'!$D$5:$D$13*(1-'2. The tape'!$J$5:$J$13)^($A56/4)*(1+$AT$5)^($A56/4)*((1-'3. Assumptions'!$B$13)/($AT$6)-'2. The tape'!$H$5:$H$13/12-'3. Assumptions'!$B$16)-'2. The tape'!$C$5:$C$13*'2. The tape'!$I$5:$I$13*(1+$AT$5)^($A56/4))&gt;0)*('2. The tape'!$C$5:$C$13*'2. The tape'!$D$5:$D$13*(1-'2. The tape'!$J$5:$J$13)^($A56/4)*(1+$AT$5)^($A56/4)*((1-'3. Assumptions'!$B$13)/($AT$6)-'2. The tape'!$H$5:$H$13/12-'3. Assumptions'!$B$16)-'2. The tape'!$C$5:$C$13*'2. The tape'!$I$5:$I$13*(1+$AT$5)^($A56/4)))</f>
        <v>131231551.542971</v>
      </c>
      <c r="AV56" s="33" t="n">
        <f aca="false">'2. The tape'!$C$17*(1+MIN(MAX($AV$5,'3. Assumptions'!$B$11),'3. Assumptions'!$B$10))^INT(($A56-1)/4)/4*(1-'3. Assumptions'!$B$13)</f>
        <v>3726952.04683761</v>
      </c>
      <c r="AW56" s="33" t="n">
        <f aca="false">(1-'3. Assumptions'!$B$15)*SUMPRODUCT((('2. The tape'!$C$5:$C$13*'2. The tape'!$D$5:$D$13*(1-'2. The tape'!$J$5:$J$13)^($A56/4)*(1+$AV$5)^($A56/4)*((1-'3. Assumptions'!$B$13)/($AV$6)-'2. The tape'!$H$5:$H$13/12-'3. Assumptions'!$B$16)-'2. The tape'!$C$5:$C$13*'2. The tape'!$I$5:$I$13*(1+$AV$5)^($A56/4))&gt;0)*('2. The tape'!$C$5:$C$13*'2. The tape'!$D$5:$D$13*(1-'2. The tape'!$J$5:$J$13)^($A56/4)*(1+$AV$5)^($A56/4)*((1-'3. Assumptions'!$B$13)/($AV$6)-'2. The tape'!$H$5:$H$13/12-'3. Assumptions'!$B$16)-'2. The tape'!$C$5:$C$13*'2. The tape'!$I$5:$I$13*(1+$AV$5)^($A56/4)))</f>
        <v>131231551.542371</v>
      </c>
      <c r="AX56" s="33" t="n">
        <f aca="false">'2. The tape'!$C$17*(1+MIN(MAX($AX$5,'3. Assumptions'!$B$11),'3. Assumptions'!$B$10))^INT(($A56-1)/4)/4*(1-'3. Assumptions'!$B$13)</f>
        <v>3726952.04683761</v>
      </c>
      <c r="AY56" s="33" t="n">
        <f aca="false">(1-'3. Assumptions'!$B$15)*SUMPRODUCT((('2. The tape'!$C$5:$C$13*'2. The tape'!$D$5:$D$13*(1-'2. The tape'!$J$5:$J$13)^($A56/4)*(1+$AX$5)^($A56/4)*((1-'3. Assumptions'!$B$13)/($AX$6)-'2. The tape'!$H$5:$H$13/12-'3. Assumptions'!$B$16)-'2. The tape'!$C$5:$C$13*'2. The tape'!$I$5:$I$13*(1+$AX$5)^($A56/4))&gt;0)*('2. The tape'!$C$5:$C$13*'2. The tape'!$D$5:$D$13*(1-'2. The tape'!$J$5:$J$13)^($A56/4)*(1+$AX$5)^($A56/4)*((1-'3. Assumptions'!$B$13)/($AX$6)-'2. The tape'!$H$5:$H$13/12-'3. Assumptions'!$B$16)-'2. The tape'!$C$5:$C$13*'2. The tape'!$I$5:$I$13*(1+$AX$5)^($A56/4)))</f>
        <v>131231551.542371</v>
      </c>
      <c r="AZ56" s="33" t="n">
        <f aca="false">'2. The tape'!$C$17*(1+MIN(MAX($AZ$5,'3. Assumptions'!$B$11),'3. Assumptions'!$B$10))^INT(($A56-1)/4)/4*(1-'3. Assumptions'!$B$13)</f>
        <v>3726952.04683761</v>
      </c>
      <c r="BA56" s="33" t="n">
        <f aca="false">(1-'3. Assumptions'!$B$15)*SUMPRODUCT((('2. The tape'!$C$5:$C$13*'2. The tape'!$D$5:$D$13*(1-'2. The tape'!$J$5:$J$13)^($A56/4)*(1+$AZ$5)^($A56/4)*((1-'3. Assumptions'!$B$13)/($AZ$6)-'2. The tape'!$H$5:$H$13/12-'3. Assumptions'!$B$16)-'2. The tape'!$C$5:$C$13*'2. The tape'!$I$5:$I$13*(1+$AZ$5)^($A56/4))&gt;0)*('2. The tape'!$C$5:$C$13*'2. The tape'!$D$5:$D$13*(1-'2. The tape'!$J$5:$J$13)^($A56/4)*(1+$AZ$5)^($A56/4)*((1-'3. Assumptions'!$B$13)/($AZ$6)-'2. The tape'!$H$5:$H$13/12-'3. Assumptions'!$B$16)-'2. The tape'!$C$5:$C$13*'2. The tape'!$I$5:$I$13*(1+$AZ$5)^($A56/4)))</f>
        <v>131231551.542371</v>
      </c>
    </row>
    <row r="57" customFormat="false" ht="15" hidden="false" customHeight="false" outlineLevel="0" collapsed="false">
      <c r="A57" s="20" t="n">
        <v>42</v>
      </c>
      <c r="B57" s="33" t="n">
        <f aca="false">'2. The tape'!$C$17*(1+MIN(MAX($B$5,'3. Assumptions'!$B$11),'3. Assumptions'!$B$10))^INT(($A57-1)/4)/4*(1-'3. Assumptions'!$B$13)</f>
        <v>3726952.04683761</v>
      </c>
      <c r="C57" s="33" t="n">
        <f aca="false">(1-'3. Assumptions'!$B$15)*SUMPRODUCT((('2. The tape'!$C$5:$C$13*'2. The tape'!$D$5:$D$13*(1-'2. The tape'!$J$5:$J$13)^($A57/4)*(1+$B$5)^($A57/4)*((1-'3. Assumptions'!$B$13)/($B$6)-'2. The tape'!$H$5:$H$13/12-'3. Assumptions'!$B$16)-'2. The tape'!$C$5:$C$13*'2. The tape'!$I$5:$I$13*(1+$B$5)^($A57/4))&gt;0)*('2. The tape'!$C$5:$C$13*'2. The tape'!$D$5:$D$13*(1-'2. The tape'!$J$5:$J$13)^($A57/4)*(1+$B$5)^($A57/4)*((1-'3. Assumptions'!$B$13)/($B$6)-'2. The tape'!$H$5:$H$13/12-'3. Assumptions'!$B$16)-'2. The tape'!$C$5:$C$13*'2. The tape'!$I$5:$I$13*(1+$B$5)^($A57/4)))</f>
        <v>77963779.4147252</v>
      </c>
      <c r="D57" s="33" t="n">
        <f aca="false">'2. The tape'!$C$17*(1+MIN(MAX($D$5,'3. Assumptions'!$B$11),'3. Assumptions'!$B$10))^INT(($A57-1)/4)/4*(1-'3. Assumptions'!$B$13)</f>
        <v>4029183.93764329</v>
      </c>
      <c r="E57" s="33" t="n">
        <f aca="false">(1-'3. Assumptions'!$B$15)*SUMPRODUCT((('2. The tape'!$C$5:$C$13*'2. The tape'!$D$5:$D$13*(1-'2. The tape'!$J$5:$J$13)^($A57/4)*(1+$D$5)^($A57/4)*((1-'3. Assumptions'!$B$13)/($D$6)-'2. The tape'!$H$5:$H$13/12-'3. Assumptions'!$B$16)-'2. The tape'!$C$5:$C$13*'2. The tape'!$I$5:$I$13*(1+$D$5)^($A57/4))&gt;0)*('2. The tape'!$C$5:$C$13*'2. The tape'!$D$5:$D$13*(1-'2. The tape'!$J$5:$J$13)^($A57/4)*(1+$D$5)^($A57/4)*((1-'3. Assumptions'!$B$13)/($D$6)-'2. The tape'!$H$5:$H$13/12-'3. Assumptions'!$B$16)-'2. The tape'!$C$5:$C$13*'2. The tape'!$I$5:$I$13*(1+$D$5)^($A57/4)))</f>
        <v>89029134.419001</v>
      </c>
      <c r="F57" s="33" t="n">
        <f aca="false">'2. The tape'!$C$17*(1+MIN(MAX($F$5,'3. Assumptions'!$B$11),'3. Assumptions'!$B$10))^INT(($A57-1)/4)/4*(1-'3. Assumptions'!$B$13)</f>
        <v>3311757.92875174</v>
      </c>
      <c r="G57" s="33" t="n">
        <f aca="false">(1-'3. Assumptions'!$B$15)*SUMPRODUCT((('2. The tape'!$C$5:$C$13*'2. The tape'!$D$5:$D$13*(1-'2. The tape'!$J$5:$J$13)^($A57/4)*(1+$F$5)^($A57/4)*((1-'3. Assumptions'!$B$13)/($F$6)-'2. The tape'!$H$5:$H$13/12-'3. Assumptions'!$B$16)-'2. The tape'!$C$5:$C$13*'2. The tape'!$I$5:$I$13*(1+$F$5)^($A57/4))&gt;0)*('2. The tape'!$C$5:$C$13*'2. The tape'!$D$5:$D$13*(1-'2. The tape'!$J$5:$J$13)^($A57/4)*(1+$F$5)^($A57/4)*((1-'3. Assumptions'!$B$13)/($F$6)-'2. The tape'!$H$5:$H$13/12-'3. Assumptions'!$B$16)-'2. The tape'!$C$5:$C$13*'2. The tape'!$I$5:$I$13*(1+$F$5)^($A57/4)))</f>
        <v>68870447.1782172</v>
      </c>
      <c r="H57" s="33" t="n">
        <f aca="false">'2. The tape'!$C$17*(1+MIN(MAX($H$5,'3. Assumptions'!$B$11),'3. Assumptions'!$B$10))^INT(($A57-1)/4)/4*(1-'3. Assumptions'!$B$13)</f>
        <v>4029183.93764329</v>
      </c>
      <c r="I57" s="33" t="n">
        <f aca="false">(1-'3. Assumptions'!$B$15)*SUMPRODUCT((('2. The tape'!$C$5:$C$13*'2. The tape'!$D$5:$D$13*(1-'2. The tape'!$J$5:$J$13)^($A57/4)*(1+$H$5)^($A57/4)*((1-'3. Assumptions'!$B$13)/($H$6)-'2. The tape'!$H$5:$H$13/12-'3. Assumptions'!$B$16)-'2. The tape'!$C$5:$C$13*'2. The tape'!$I$5:$I$13*(1+$H$5)^($A57/4))&gt;0)*('2. The tape'!$C$5:$C$13*'2. The tape'!$D$5:$D$13*(1-'2. The tape'!$J$5:$J$13)^($A57/4)*(1+$H$5)^($A57/4)*((1-'3. Assumptions'!$B$13)/($H$6)-'2. The tape'!$H$5:$H$13/12-'3. Assumptions'!$B$16)-'2. The tape'!$C$5:$C$13*'2. The tape'!$I$5:$I$13*(1+$H$5)^($A57/4)))</f>
        <v>89029134.419001</v>
      </c>
      <c r="J57" s="33" t="n">
        <f aca="false">'2. The tape'!$C$17*(1+MIN(MAX($J$5,'3. Assumptions'!$B$11),'3. Assumptions'!$B$10))^INT(($A57-1)/4)/4*(1-'3. Assumptions'!$B$13)</f>
        <v>3726952.04683761</v>
      </c>
      <c r="K57" s="33" t="n">
        <f aca="false">(1-'3. Assumptions'!$B$15)*SUMPRODUCT((('2. The tape'!$C$5:$C$13*'2. The tape'!$D$5:$D$13*(1-'2. The tape'!$J$5:$J$13)^($A57/4)*(1+$J$5)^($A57/4)*((1-'3. Assumptions'!$B$13)/($J$6)-'2. The tape'!$H$5:$H$13/12-'3. Assumptions'!$B$16)-'2. The tape'!$C$5:$C$13*'2. The tape'!$I$5:$I$13*(1+$J$5)^($A57/4))&gt;0)*('2. The tape'!$C$5:$C$13*'2. The tape'!$D$5:$D$13*(1-'2. The tape'!$J$5:$J$13)^($A57/4)*(1+$J$5)^($A57/4)*((1-'3. Assumptions'!$B$13)/($J$6)-'2. The tape'!$H$5:$H$13/12-'3. Assumptions'!$B$16)-'2. The tape'!$C$5:$C$13*'2. The tape'!$I$5:$I$13*(1+$J$5)^($A57/4)))</f>
        <v>63906342.6714783</v>
      </c>
      <c r="L57" s="33" t="n">
        <f aca="false">'2. The tape'!$C$17*(1+MIN(MAX($L$5,'3. Assumptions'!$B$11),'3. Assumptions'!$B$10))^INT(($A57-1)/4)/4*(1-'3. Assumptions'!$B$13)</f>
        <v>4029183.93764329</v>
      </c>
      <c r="M57" s="33" t="n">
        <f aca="false">(1-'3. Assumptions'!$B$15)*SUMPRODUCT((('2. The tape'!$C$5:$C$13*'2. The tape'!$D$5:$D$13*(1-'2. The tape'!$J$5:$J$13)^($A57/4)*(1+$L$5)^($A57/4)*((1-'3. Assumptions'!$B$13)/($L$6)-'2. The tape'!$H$5:$H$13/12-'3. Assumptions'!$B$16)-'2. The tape'!$C$5:$C$13*'2. The tape'!$I$5:$I$13*(1+$L$5)^($A57/4))&gt;0)*('2. The tape'!$C$5:$C$13*'2. The tape'!$D$5:$D$13*(1-'2. The tape'!$J$5:$J$13)^($A57/4)*(1+$L$5)^($A57/4)*((1-'3. Assumptions'!$B$13)/($L$6)-'2. The tape'!$H$5:$H$13/12-'3. Assumptions'!$B$16)-'2. The tape'!$C$5:$C$13*'2. The tape'!$I$5:$I$13*(1+$L$5)^($A57/4)))</f>
        <v>975132603.717492</v>
      </c>
      <c r="N57" s="33" t="n">
        <f aca="false">'2. The tape'!$C$17*(1+MIN(MAX($N$5,'3. Assumptions'!$B$11),'3. Assumptions'!$B$10))^INT(($A57-1)/4)/4*(1-'3. Assumptions'!$B$13)</f>
        <v>2998091.25</v>
      </c>
      <c r="O57" s="33" t="n">
        <f aca="false">(1-'3. Assumptions'!$B$15)*SUMPRODUCT((('2. The tape'!$C$5:$C$13*'2. The tape'!$D$5:$D$13*(1-'2. The tape'!$J$5:$J$13)^($A57/4)*(1+$N$5)^($A57/4)*((1-'3. Assumptions'!$B$13)/($N$6)-'2. The tape'!$H$5:$H$13/12-'3. Assumptions'!$B$16)-'2. The tape'!$C$5:$C$13*'2. The tape'!$I$5:$I$13*(1+$N$5)^($A57/4))&gt;0)*('2. The tape'!$C$5:$C$13*'2. The tape'!$D$5:$D$13*(1-'2. The tape'!$J$5:$J$13)^($A57/4)*(1+$N$5)^($A57/4)*((1-'3. Assumptions'!$B$13)/($N$6)-'2. The tape'!$H$5:$H$13/12-'3. Assumptions'!$B$16)-'2. The tape'!$C$5:$C$13*'2. The tape'!$I$5:$I$13*(1+$N$5)^($A57/4)))</f>
        <v>45056939.4061855</v>
      </c>
      <c r="P57" s="33" t="n">
        <f aca="false">'2. The tape'!$C$17*(1+MIN(MAX($P$5,'3. Assumptions'!$B$11),'3. Assumptions'!$B$10))^INT(($A57-1)/4)/4*(1-'3. Assumptions'!$B$13)</f>
        <v>2998091.25</v>
      </c>
      <c r="Q57" s="33" t="n">
        <f aca="false">(1-'3. Assumptions'!$B$15)*SUMPRODUCT((('2. The tape'!$C$5:$C$13*'2. The tape'!$D$5:$D$13*(1-'2. The tape'!$J$5:$J$13)^($A57/4)*(1+$P$5)^($A57/4)*((1-'3. Assumptions'!$B$13)/($P$6)-'2. The tape'!$H$5:$H$13/12-'3. Assumptions'!$B$16)-'2. The tape'!$C$5:$C$13*'2. The tape'!$I$5:$I$13*(1+$P$5)^($A57/4))&gt;0)*('2. The tape'!$C$5:$C$13*'2. The tape'!$D$5:$D$13*(1-'2. The tape'!$J$5:$J$13)^($A57/4)*(1+$P$5)^($A57/4)*((1-'3. Assumptions'!$B$13)/($P$6)-'2. The tape'!$H$5:$H$13/12-'3. Assumptions'!$B$16)-'2. The tape'!$C$5:$C$13*'2. The tape'!$I$5:$I$13*(1+$P$5)^($A57/4)))</f>
        <v>50180186.7142108</v>
      </c>
      <c r="R57" s="33" t="n">
        <f aca="false">'2. The tape'!$C$17*(1+MIN(MAX($R$5,'3. Assumptions'!$B$11),'3. Assumptions'!$B$10))^INT(($A57-1)/4)/4*(1-'3. Assumptions'!$B$13)</f>
        <v>2998091.25</v>
      </c>
      <c r="S57" s="33" t="n">
        <f aca="false">(1-'3. Assumptions'!$B$15)*SUMPRODUCT((('2. The tape'!$C$5:$C$13*'2. The tape'!$D$5:$D$13*(1-'2. The tape'!$J$5:$J$13)^($A57/4)*(1+$R$5)^($A57/4)*((1-'3. Assumptions'!$B$13)/($R$6)-'2. The tape'!$H$5:$H$13/12-'3. Assumptions'!$B$16)-'2. The tape'!$C$5:$C$13*'2. The tape'!$I$5:$I$13*(1+$R$5)^($A57/4))&gt;0)*('2. The tape'!$C$5:$C$13*'2. The tape'!$D$5:$D$13*(1-'2. The tape'!$J$5:$J$13)^($A57/4)*(1+$R$5)^($A57/4)*((1-'3. Assumptions'!$B$13)/($R$6)-'2. The tape'!$H$5:$H$13/12-'3. Assumptions'!$B$16)-'2. The tape'!$C$5:$C$13*'2. The tape'!$I$5:$I$13*(1+$R$5)^($A57/4)))</f>
        <v>47019392.9966941</v>
      </c>
      <c r="T57" s="33" t="n">
        <f aca="false">'2. The tape'!$C$17*(1+MIN(MAX($T$5,'3. Assumptions'!$B$11),'3. Assumptions'!$B$10))^INT(($A57-1)/4)/4*(1-'3. Assumptions'!$B$13)</f>
        <v>2998091.25</v>
      </c>
      <c r="U57" s="33" t="n">
        <f aca="false">(1-'3. Assumptions'!$B$15)*SUMPRODUCT((('2. The tape'!$C$5:$C$13*'2. The tape'!$D$5:$D$13*(1-'2. The tape'!$J$5:$J$13)^($A57/4)*(1+$T$5)^($A57/4)*((1-'3. Assumptions'!$B$13)/($T$6)-'2. The tape'!$H$5:$H$13/12-'3. Assumptions'!$B$16)-'2. The tape'!$C$5:$C$13*'2. The tape'!$I$5:$I$13*(1+$T$5)^($A57/4))&gt;0)*('2. The tape'!$C$5:$C$13*'2. The tape'!$D$5:$D$13*(1-'2. The tape'!$J$5:$J$13)^($A57/4)*(1+$T$5)^($A57/4)*((1-'3. Assumptions'!$B$13)/($T$6)-'2. The tape'!$H$5:$H$13/12-'3. Assumptions'!$B$16)-'2. The tape'!$C$5:$C$13*'2. The tape'!$I$5:$I$13*(1+$T$5)^($A57/4)))</f>
        <v>46936227.3476277</v>
      </c>
      <c r="V57" s="33" t="n">
        <f aca="false">'2. The tape'!$C$17*(1+MIN(MAX($V$5,'3. Assumptions'!$B$11),'3. Assumptions'!$B$10))^INT(($A57-1)/4)/4*(1-'3. Assumptions'!$B$13)</f>
        <v>2998091.25</v>
      </c>
      <c r="W57" s="33" t="n">
        <f aca="false">(1-'3. Assumptions'!$B$15)*SUMPRODUCT((('2. The tape'!$C$5:$C$13*'2. The tape'!$D$5:$D$13*(1-'2. The tape'!$J$5:$J$13)^($A57/4)*(1+$V$5)^($A57/4)*((1-'3. Assumptions'!$B$13)/($V$6)-'2. The tape'!$H$5:$H$13/12-'3. Assumptions'!$B$16)-'2. The tape'!$C$5:$C$13*'2. The tape'!$I$5:$I$13*(1+$V$5)^($A57/4))&gt;0)*('2. The tape'!$C$5:$C$13*'2. The tape'!$D$5:$D$13*(1-'2. The tape'!$J$5:$J$13)^($A57/4)*(1+$V$5)^($A57/4)*((1-'3. Assumptions'!$B$13)/($V$6)-'2. The tape'!$H$5:$H$13/12-'3. Assumptions'!$B$16)-'2. The tape'!$C$5:$C$13*'2. The tape'!$I$5:$I$13*(1+$V$5)^($A57/4)))</f>
        <v>46939566.2955172</v>
      </c>
      <c r="X57" s="33" t="n">
        <f aca="false">'2. The tape'!$C$17*(1+MIN(MAX($X$5,'3. Assumptions'!$B$11),'3. Assumptions'!$B$10))^INT(($A57-1)/4)/4*(1-'3. Assumptions'!$B$13)</f>
        <v>2998091.25</v>
      </c>
      <c r="Y57" s="33" t="n">
        <f aca="false">(1-'3. Assumptions'!$B$15)*SUMPRODUCT((('2. The tape'!$C$5:$C$13*'2. The tape'!$D$5:$D$13*(1-'2. The tape'!$J$5:$J$13)^($A57/4)*(1+$X$5)^($A57/4)*((1-'3. Assumptions'!$B$13)/($X$6)-'2. The tape'!$H$5:$H$13/12-'3. Assumptions'!$B$16)-'2. The tape'!$C$5:$C$13*'2. The tape'!$I$5:$I$13*(1+$X$5)^($A57/4))&gt;0)*('2. The tape'!$C$5:$C$13*'2. The tape'!$D$5:$D$13*(1-'2. The tape'!$J$5:$J$13)^($A57/4)*(1+$X$5)^($A57/4)*((1-'3. Assumptions'!$B$13)/($X$6)-'2. The tape'!$H$5:$H$13/12-'3. Assumptions'!$B$16)-'2. The tape'!$C$5:$C$13*'2. The tape'!$I$5:$I$13*(1+$X$5)^($A57/4)))</f>
        <v>46939562.7842929</v>
      </c>
      <c r="Z57" s="33" t="n">
        <f aca="false">'2. The tape'!$C$17*(1+MIN(MAX($Z$5,'3. Assumptions'!$B$11),'3. Assumptions'!$B$10))^INT(($A57-1)/4)/4*(1-'3. Assumptions'!$B$13)</f>
        <v>2998091.25</v>
      </c>
      <c r="AA57" s="33" t="n">
        <f aca="false">(1-'3. Assumptions'!$B$15)*SUMPRODUCT((('2. The tape'!$C$5:$C$13*'2. The tape'!$D$5:$D$13*(1-'2. The tape'!$J$5:$J$13)^($A57/4)*(1+$Z$5)^($A57/4)*((1-'3. Assumptions'!$B$13)/($Z$6)-'2. The tape'!$H$5:$H$13/12-'3. Assumptions'!$B$16)-'2. The tape'!$C$5:$C$13*'2. The tape'!$I$5:$I$13*(1+$Z$5)^($A57/4))&gt;0)*('2. The tape'!$C$5:$C$13*'2. The tape'!$D$5:$D$13*(1-'2. The tape'!$J$5:$J$13)^($A57/4)*(1+$Z$5)^($A57/4)*((1-'3. Assumptions'!$B$13)/($Z$6)-'2. The tape'!$H$5:$H$13/12-'3. Assumptions'!$B$16)-'2. The tape'!$C$5:$C$13*'2. The tape'!$I$5:$I$13*(1+$Z$5)^($A57/4)))</f>
        <v>46939562.7841383</v>
      </c>
      <c r="AB57" s="33" t="n">
        <f aca="false">'2. The tape'!$C$17*(1+MIN(MAX($AB$5,'3. Assumptions'!$B$11),'3. Assumptions'!$B$10))^INT(($A57-1)/4)/4*(1-'3. Assumptions'!$B$13)</f>
        <v>2998091.25</v>
      </c>
      <c r="AC57" s="33" t="n">
        <f aca="false">(1-'3. Assumptions'!$B$15)*SUMPRODUCT((('2. The tape'!$C$5:$C$13*'2. The tape'!$D$5:$D$13*(1-'2. The tape'!$J$5:$J$13)^($A57/4)*(1+$AB$5)^($A57/4)*((1-'3. Assumptions'!$B$13)/($AB$6)-'2. The tape'!$H$5:$H$13/12-'3. Assumptions'!$B$16)-'2. The tape'!$C$5:$C$13*'2. The tape'!$I$5:$I$13*(1+$AB$5)^($A57/4))&gt;0)*('2. The tape'!$C$5:$C$13*'2. The tape'!$D$5:$D$13*(1-'2. The tape'!$J$5:$J$13)^($A57/4)*(1+$AB$5)^($A57/4)*((1-'3. Assumptions'!$B$13)/($AB$6)-'2. The tape'!$H$5:$H$13/12-'3. Assumptions'!$B$16)-'2. The tape'!$C$5:$C$13*'2. The tape'!$I$5:$I$13*(1+$AB$5)^($A57/4)))</f>
        <v>46939562.7841383</v>
      </c>
      <c r="AD57" s="33" t="n">
        <f aca="false">'2. The tape'!$C$17*(1+MIN(MAX($AD$5,'3. Assumptions'!$B$11),'3. Assumptions'!$B$10))^INT(($A57-1)/4)/4*(1-'3. Assumptions'!$B$13)</f>
        <v>2998091.25</v>
      </c>
      <c r="AE57" s="33" t="n">
        <f aca="false">(1-'3. Assumptions'!$B$15)*SUMPRODUCT((('2. The tape'!$C$5:$C$13*'2. The tape'!$D$5:$D$13*(1-'2. The tape'!$J$5:$J$13)^($A57/4)*(1+$AD$5)^($A57/4)*((1-'3. Assumptions'!$B$13)/($AD$6)-'2. The tape'!$H$5:$H$13/12-'3. Assumptions'!$B$16)-'2. The tape'!$C$5:$C$13*'2. The tape'!$I$5:$I$13*(1+$AD$5)^($A57/4))&gt;0)*('2. The tape'!$C$5:$C$13*'2. The tape'!$D$5:$D$13*(1-'2. The tape'!$J$5:$J$13)^($A57/4)*(1+$AD$5)^($A57/4)*((1-'3. Assumptions'!$B$13)/($AD$6)-'2. The tape'!$H$5:$H$13/12-'3. Assumptions'!$B$16)-'2. The tape'!$C$5:$C$13*'2. The tape'!$I$5:$I$13*(1+$AD$5)^($A57/4)))</f>
        <v>46939562.7841383</v>
      </c>
      <c r="AF57" s="33" t="n">
        <f aca="false">'2. The tape'!$C$17*(1+MIN(MAX($AF$5,'3. Assumptions'!$B$11),'3. Assumptions'!$B$10))^INT(($A57-1)/4)/4*(1-'3. Assumptions'!$B$13)</f>
        <v>2998091.25</v>
      </c>
      <c r="AG57" s="33" t="n">
        <f aca="false">(1-'3. Assumptions'!$B$15)*SUMPRODUCT((('2. The tape'!$C$5:$C$13*'2. The tape'!$D$5:$D$13*(1-'2. The tape'!$J$5:$J$13)^($A57/4)*(1+$AF$5)^($A57/4)*((1-'3. Assumptions'!$B$13)/($AF$6)-'2. The tape'!$H$5:$H$13/12-'3. Assumptions'!$B$16)-'2. The tape'!$C$5:$C$13*'2. The tape'!$I$5:$I$13*(1+$AF$5)^($A57/4))&gt;0)*('2. The tape'!$C$5:$C$13*'2. The tape'!$D$5:$D$13*(1-'2. The tape'!$J$5:$J$13)^($A57/4)*(1+$AF$5)^($A57/4)*((1-'3. Assumptions'!$B$13)/($AF$6)-'2. The tape'!$H$5:$H$13/12-'3. Assumptions'!$B$16)-'2. The tape'!$C$5:$C$13*'2. The tape'!$I$5:$I$13*(1+$AF$5)^($A57/4)))</f>
        <v>46939562.7841383</v>
      </c>
      <c r="AH57" s="33" t="n">
        <f aca="false">'2. The tape'!$C$17*(1+MIN(MAX($AH$5,'3. Assumptions'!$B$11),'3. Assumptions'!$B$10))^INT(($A57-1)/4)/4*(1-'3. Assumptions'!$B$13)</f>
        <v>3726952.04683761</v>
      </c>
      <c r="AI57" s="33" t="n">
        <f aca="false">(1-'3. Assumptions'!$B$15)*SUMPRODUCT((('2. The tape'!$C$5:$C$13*'2. The tape'!$D$5:$D$13*(1-'2. The tape'!$J$5:$J$13)^($A57/4)*(1+$AH$5)^($A57/4)*((1-'3. Assumptions'!$B$13)/($AH$6)-'2. The tape'!$H$5:$H$13/12-'3. Assumptions'!$B$16)-'2. The tape'!$C$5:$C$13*'2. The tape'!$I$5:$I$13*(1+$AH$5)^($A57/4))&gt;0)*('2. The tape'!$C$5:$C$13*'2. The tape'!$D$5:$D$13*(1-'2. The tape'!$J$5:$J$13)^($A57/4)*(1+$AH$5)^($A57/4)*((1-'3. Assumptions'!$B$13)/($AH$6)-'2. The tape'!$H$5:$H$13/12-'3. Assumptions'!$B$16)-'2. The tape'!$C$5:$C$13*'2. The tape'!$I$5:$I$13*(1+$AH$5)^($A57/4)))</f>
        <v>154717384.032853</v>
      </c>
      <c r="AJ57" s="33" t="n">
        <f aca="false">'2. The tape'!$C$17*(1+MIN(MAX($AJ$5,'3. Assumptions'!$B$11),'3. Assumptions'!$B$10))^INT(($A57-1)/4)/4*(1-'3. Assumptions'!$B$13)</f>
        <v>3726952.04683761</v>
      </c>
      <c r="AK57" s="33" t="n">
        <f aca="false">(1-'3. Assumptions'!$B$15)*SUMPRODUCT((('2. The tape'!$C$5:$C$13*'2. The tape'!$D$5:$D$13*(1-'2. The tape'!$J$5:$J$13)^($A57/4)*(1+$AJ$5)^($A57/4)*((1-'3. Assumptions'!$B$13)/($AJ$6)-'2. The tape'!$H$5:$H$13/12-'3. Assumptions'!$B$16)-'2. The tape'!$C$5:$C$13*'2. The tape'!$I$5:$I$13*(1+$AJ$5)^($A57/4))&gt;0)*('2. The tape'!$C$5:$C$13*'2. The tape'!$D$5:$D$13*(1-'2. The tape'!$J$5:$J$13)^($A57/4)*(1+$AJ$5)^($A57/4)*((1-'3. Assumptions'!$B$13)/($AJ$6)-'2. The tape'!$H$5:$H$13/12-'3. Assumptions'!$B$16)-'2. The tape'!$C$5:$C$13*'2. The tape'!$I$5:$I$13*(1+$AJ$5)^($A57/4)))</f>
        <v>111701627.598518</v>
      </c>
      <c r="AL57" s="33" t="n">
        <f aca="false">'2. The tape'!$C$17*(1+MIN(MAX($AL$5,'3. Assumptions'!$B$11),'3. Assumptions'!$B$10))^INT(($A57-1)/4)/4*(1-'3. Assumptions'!$B$13)</f>
        <v>3726952.04683761</v>
      </c>
      <c r="AM57" s="33" t="n">
        <f aca="false">(1-'3. Assumptions'!$B$15)*SUMPRODUCT((('2. The tape'!$C$5:$C$13*'2. The tape'!$D$5:$D$13*(1-'2. The tape'!$J$5:$J$13)^($A57/4)*(1+$AL$5)^($A57/4)*((1-'3. Assumptions'!$B$13)/($AL$6)-'2. The tape'!$H$5:$H$13/12-'3. Assumptions'!$B$16)-'2. The tape'!$C$5:$C$13*'2. The tape'!$I$5:$I$13*(1+$AL$5)^($A57/4))&gt;0)*('2. The tape'!$C$5:$C$13*'2. The tape'!$D$5:$D$13*(1-'2. The tape'!$J$5:$J$13)^($A57/4)*(1+$AL$5)^($A57/4)*((1-'3. Assumptions'!$B$13)/($AL$6)-'2. The tape'!$H$5:$H$13/12-'3. Assumptions'!$B$16)-'2. The tape'!$C$5:$C$13*'2. The tape'!$I$5:$I$13*(1+$AL$5)^($A57/4)))</f>
        <v>128385006.976252</v>
      </c>
      <c r="AN57" s="33" t="n">
        <f aca="false">'2. The tape'!$C$17*(1+MIN(MAX($AN$5,'3. Assumptions'!$B$11),'3. Assumptions'!$B$10))^INT(($A57-1)/4)/4*(1-'3. Assumptions'!$B$13)</f>
        <v>3726952.04683761</v>
      </c>
      <c r="AO57" s="33" t="n">
        <f aca="false">(1-'3. Assumptions'!$B$15)*SUMPRODUCT((('2. The tape'!$C$5:$C$13*'2. The tape'!$D$5:$D$13*(1-'2. The tape'!$J$5:$J$13)^($A57/4)*(1+$AN$5)^($A57/4)*((1-'3. Assumptions'!$B$13)/($AN$6)-'2. The tape'!$H$5:$H$13/12-'3. Assumptions'!$B$16)-'2. The tape'!$C$5:$C$13*'2. The tape'!$I$5:$I$13*(1+$AN$5)^($A57/4))&gt;0)*('2. The tape'!$C$5:$C$13*'2. The tape'!$D$5:$D$13*(1-'2. The tape'!$J$5:$J$13)^($A57/4)*(1+$AN$5)^($A57/4)*((1-'3. Assumptions'!$B$13)/($AN$6)-'2. The tape'!$H$5:$H$13/12-'3. Assumptions'!$B$16)-'2. The tape'!$C$5:$C$13*'2. The tape'!$I$5:$I$13*(1+$AN$5)^($A57/4)))</f>
        <v>131508647.928319</v>
      </c>
      <c r="AP57" s="33" t="n">
        <f aca="false">'2. The tape'!$C$17*(1+MIN(MAX($AP$5,'3. Assumptions'!$B$11),'3. Assumptions'!$B$10))^INT(($A57-1)/4)/4*(1-'3. Assumptions'!$B$13)</f>
        <v>3726952.04683761</v>
      </c>
      <c r="AQ57" s="33" t="n">
        <f aca="false">(1-'3. Assumptions'!$B$15)*SUMPRODUCT((('2. The tape'!$C$5:$C$13*'2. The tape'!$D$5:$D$13*(1-'2. The tape'!$J$5:$J$13)^($A57/4)*(1+$AP$5)^($A57/4)*((1-'3. Assumptions'!$B$13)/($AP$6)-'2. The tape'!$H$5:$H$13/12-'3. Assumptions'!$B$16)-'2. The tape'!$C$5:$C$13*'2. The tape'!$I$5:$I$13*(1+$AP$5)^($A57/4))&gt;0)*('2. The tape'!$C$5:$C$13*'2. The tape'!$D$5:$D$13*(1-'2. The tape'!$J$5:$J$13)^($A57/4)*(1+$AP$5)^($A57/4)*((1-'3. Assumptions'!$B$13)/($AP$6)-'2. The tape'!$H$5:$H$13/12-'3. Assumptions'!$B$16)-'2. The tape'!$C$5:$C$13*'2. The tape'!$I$5:$I$13*(1+$AP$5)^($A57/4)))</f>
        <v>131123040.862615</v>
      </c>
      <c r="AR57" s="33" t="n">
        <f aca="false">'2. The tape'!$C$17*(1+MIN(MAX($AR$5,'3. Assumptions'!$B$11),'3. Assumptions'!$B$10))^INT(($A57-1)/4)/4*(1-'3. Assumptions'!$B$13)</f>
        <v>3726952.04683761</v>
      </c>
      <c r="AS57" s="33" t="n">
        <f aca="false">(1-'3. Assumptions'!$B$15)*SUMPRODUCT((('2. The tape'!$C$5:$C$13*'2. The tape'!$D$5:$D$13*(1-'2. The tape'!$J$5:$J$13)^($A57/4)*(1+$AR$5)^($A57/4)*((1-'3. Assumptions'!$B$13)/($AR$6)-'2. The tape'!$H$5:$H$13/12-'3. Assumptions'!$B$16)-'2. The tape'!$C$5:$C$13*'2. The tape'!$I$5:$I$13*(1+$AR$5)^($A57/4))&gt;0)*('2. The tape'!$C$5:$C$13*'2. The tape'!$D$5:$D$13*(1-'2. The tape'!$J$5:$J$13)^($A57/4)*(1+$AR$5)^($A57/4)*((1-'3. Assumptions'!$B$13)/($AR$6)-'2. The tape'!$H$5:$H$13/12-'3. Assumptions'!$B$16)-'2. The tape'!$C$5:$C$13*'2. The tape'!$I$5:$I$13*(1+$AR$5)^($A57/4)))</f>
        <v>131129510.796854</v>
      </c>
      <c r="AT57" s="33" t="n">
        <f aca="false">'2. The tape'!$C$17*(1+MIN(MAX($AT$5,'3. Assumptions'!$B$11),'3. Assumptions'!$B$10))^INT(($A57-1)/4)/4*(1-'3. Assumptions'!$B$13)</f>
        <v>3726952.04683761</v>
      </c>
      <c r="AU57" s="33" t="n">
        <f aca="false">(1-'3. Assumptions'!$B$15)*SUMPRODUCT((('2. The tape'!$C$5:$C$13*'2. The tape'!$D$5:$D$13*(1-'2. The tape'!$J$5:$J$13)^($A57/4)*(1+$AT$5)^($A57/4)*((1-'3. Assumptions'!$B$13)/($AT$6)-'2. The tape'!$H$5:$H$13/12-'3. Assumptions'!$B$16)-'2. The tape'!$C$5:$C$13*'2. The tape'!$I$5:$I$13*(1+$AT$5)^($A57/4))&gt;0)*('2. The tape'!$C$5:$C$13*'2. The tape'!$D$5:$D$13*(1-'2. The tape'!$J$5:$J$13)^($A57/4)*(1+$AT$5)^($A57/4)*((1-'3. Assumptions'!$B$13)/($AT$6)-'2. The tape'!$H$5:$H$13/12-'3. Assumptions'!$B$16)-'2. The tape'!$C$5:$C$13*'2. The tape'!$I$5:$I$13*(1+$AT$5)^($A57/4)))</f>
        <v>131129525.863703</v>
      </c>
      <c r="AV57" s="33" t="n">
        <f aca="false">'2. The tape'!$C$17*(1+MIN(MAX($AV$5,'3. Assumptions'!$B$11),'3. Assumptions'!$B$10))^INT(($A57-1)/4)/4*(1-'3. Assumptions'!$B$13)</f>
        <v>3726952.04683761</v>
      </c>
      <c r="AW57" s="33" t="n">
        <f aca="false">(1-'3. Assumptions'!$B$15)*SUMPRODUCT((('2. The tape'!$C$5:$C$13*'2. The tape'!$D$5:$D$13*(1-'2. The tape'!$J$5:$J$13)^($A57/4)*(1+$AV$5)^($A57/4)*((1-'3. Assumptions'!$B$13)/($AV$6)-'2. The tape'!$H$5:$H$13/12-'3. Assumptions'!$B$16)-'2. The tape'!$C$5:$C$13*'2. The tape'!$I$5:$I$13*(1+$AV$5)^($A57/4))&gt;0)*('2. The tape'!$C$5:$C$13*'2. The tape'!$D$5:$D$13*(1-'2. The tape'!$J$5:$J$13)^($A57/4)*(1+$AV$5)^($A57/4)*((1-'3. Assumptions'!$B$13)/($AV$6)-'2. The tape'!$H$5:$H$13/12-'3. Assumptions'!$B$16)-'2. The tape'!$C$5:$C$13*'2. The tape'!$I$5:$I$13*(1+$AV$5)^($A57/4)))</f>
        <v>131129525.863103</v>
      </c>
      <c r="AX57" s="33" t="n">
        <f aca="false">'2. The tape'!$C$17*(1+MIN(MAX($AX$5,'3. Assumptions'!$B$11),'3. Assumptions'!$B$10))^INT(($A57-1)/4)/4*(1-'3. Assumptions'!$B$13)</f>
        <v>3726952.04683761</v>
      </c>
      <c r="AY57" s="33" t="n">
        <f aca="false">(1-'3. Assumptions'!$B$15)*SUMPRODUCT((('2. The tape'!$C$5:$C$13*'2. The tape'!$D$5:$D$13*(1-'2. The tape'!$J$5:$J$13)^($A57/4)*(1+$AX$5)^($A57/4)*((1-'3. Assumptions'!$B$13)/($AX$6)-'2. The tape'!$H$5:$H$13/12-'3. Assumptions'!$B$16)-'2. The tape'!$C$5:$C$13*'2. The tape'!$I$5:$I$13*(1+$AX$5)^($A57/4))&gt;0)*('2. The tape'!$C$5:$C$13*'2. The tape'!$D$5:$D$13*(1-'2. The tape'!$J$5:$J$13)^($A57/4)*(1+$AX$5)^($A57/4)*((1-'3. Assumptions'!$B$13)/($AX$6)-'2. The tape'!$H$5:$H$13/12-'3. Assumptions'!$B$16)-'2. The tape'!$C$5:$C$13*'2. The tape'!$I$5:$I$13*(1+$AX$5)^($A57/4)))</f>
        <v>131129525.863103</v>
      </c>
      <c r="AZ57" s="33" t="n">
        <f aca="false">'2. The tape'!$C$17*(1+MIN(MAX($AZ$5,'3. Assumptions'!$B$11),'3. Assumptions'!$B$10))^INT(($A57-1)/4)/4*(1-'3. Assumptions'!$B$13)</f>
        <v>3726952.04683761</v>
      </c>
      <c r="BA57" s="33" t="n">
        <f aca="false">(1-'3. Assumptions'!$B$15)*SUMPRODUCT((('2. The tape'!$C$5:$C$13*'2. The tape'!$D$5:$D$13*(1-'2. The tape'!$J$5:$J$13)^($A57/4)*(1+$AZ$5)^($A57/4)*((1-'3. Assumptions'!$B$13)/($AZ$6)-'2. The tape'!$H$5:$H$13/12-'3. Assumptions'!$B$16)-'2. The tape'!$C$5:$C$13*'2. The tape'!$I$5:$I$13*(1+$AZ$5)^($A57/4))&gt;0)*('2. The tape'!$C$5:$C$13*'2. The tape'!$D$5:$D$13*(1-'2. The tape'!$J$5:$J$13)^($A57/4)*(1+$AZ$5)^($A57/4)*((1-'3. Assumptions'!$B$13)/($AZ$6)-'2. The tape'!$H$5:$H$13/12-'3. Assumptions'!$B$16)-'2. The tape'!$C$5:$C$13*'2. The tape'!$I$5:$I$13*(1+$AZ$5)^($A57/4)))</f>
        <v>131129525.863103</v>
      </c>
    </row>
    <row r="58" customFormat="false" ht="15" hidden="false" customHeight="false" outlineLevel="0" collapsed="false">
      <c r="A58" s="20" t="n">
        <v>43</v>
      </c>
      <c r="B58" s="33" t="n">
        <f aca="false">'2. The tape'!$C$17*(1+MIN(MAX($B$5,'3. Assumptions'!$B$11),'3. Assumptions'!$B$10))^INT(($A58-1)/4)/4*(1-'3. Assumptions'!$B$13)</f>
        <v>3726952.04683761</v>
      </c>
      <c r="C58" s="33" t="n">
        <f aca="false">(1-'3. Assumptions'!$B$15)*SUMPRODUCT((('2. The tape'!$C$5:$C$13*'2. The tape'!$D$5:$D$13*(1-'2. The tape'!$J$5:$J$13)^($A58/4)*(1+$B$5)^($A58/4)*((1-'3. Assumptions'!$B$13)/($B$6)-'2. The tape'!$H$5:$H$13/12-'3. Assumptions'!$B$16)-'2. The tape'!$C$5:$C$13*'2. The tape'!$I$5:$I$13*(1+$B$5)^($A58/4))&gt;0)*('2. The tape'!$C$5:$C$13*'2. The tape'!$D$5:$D$13*(1-'2. The tape'!$J$5:$J$13)^($A58/4)*(1+$B$5)^($A58/4)*((1-'3. Assumptions'!$B$13)/($B$6)-'2. The tape'!$H$5:$H$13/12-'3. Assumptions'!$B$16)-'2. The tape'!$C$5:$C$13*'2. The tape'!$I$5:$I$13*(1+$B$5)^($A58/4)))</f>
        <v>77864755.1906897</v>
      </c>
      <c r="D58" s="33" t="n">
        <f aca="false">'2. The tape'!$C$17*(1+MIN(MAX($D$5,'3. Assumptions'!$B$11),'3. Assumptions'!$B$10))^INT(($A58-1)/4)/4*(1-'3. Assumptions'!$B$13)</f>
        <v>4029183.93764329</v>
      </c>
      <c r="E58" s="33" t="n">
        <f aca="false">(1-'3. Assumptions'!$B$15)*SUMPRODUCT((('2. The tape'!$C$5:$C$13*'2. The tape'!$D$5:$D$13*(1-'2. The tape'!$J$5:$J$13)^($A58/4)*(1+$D$5)^($A58/4)*((1-'3. Assumptions'!$B$13)/($D$6)-'2. The tape'!$H$5:$H$13/12-'3. Assumptions'!$B$16)-'2. The tape'!$C$5:$C$13*'2. The tape'!$I$5:$I$13*(1+$D$5)^($A58/4))&gt;0)*('2. The tape'!$C$5:$C$13*'2. The tape'!$D$5:$D$13*(1-'2. The tape'!$J$5:$J$13)^($A58/4)*(1+$D$5)^($A58/4)*((1-'3. Assumptions'!$B$13)/($D$6)-'2. The tape'!$H$5:$H$13/12-'3. Assumptions'!$B$16)-'2. The tape'!$C$5:$C$13*'2. The tape'!$I$5:$I$13*(1+$D$5)^($A58/4)))</f>
        <v>89197473.4363256</v>
      </c>
      <c r="F58" s="33" t="n">
        <f aca="false">'2. The tape'!$C$17*(1+MIN(MAX($F$5,'3. Assumptions'!$B$11),'3. Assumptions'!$B$10))^INT(($A58-1)/4)/4*(1-'3. Assumptions'!$B$13)</f>
        <v>3311757.92875174</v>
      </c>
      <c r="G58" s="33" t="n">
        <f aca="false">(1-'3. Assumptions'!$B$15)*SUMPRODUCT((('2. The tape'!$C$5:$C$13*'2. The tape'!$D$5:$D$13*(1-'2. The tape'!$J$5:$J$13)^($A58/4)*(1+$F$5)^($A58/4)*((1-'3. Assumptions'!$B$13)/($F$6)-'2. The tape'!$H$5:$H$13/12-'3. Assumptions'!$B$16)-'2. The tape'!$C$5:$C$13*'2. The tape'!$I$5:$I$13*(1+$F$5)^($A58/4))&gt;0)*('2. The tape'!$C$5:$C$13*'2. The tape'!$D$5:$D$13*(1-'2. The tape'!$J$5:$J$13)^($A58/4)*(1+$F$5)^($A58/4)*((1-'3. Assumptions'!$B$13)/($F$6)-'2. The tape'!$H$5:$H$13/12-'3. Assumptions'!$B$16)-'2. The tape'!$C$5:$C$13*'2. The tape'!$I$5:$I$13*(1+$F$5)^($A58/4)))</f>
        <v>68580170.5521845</v>
      </c>
      <c r="H58" s="33" t="n">
        <f aca="false">'2. The tape'!$C$17*(1+MIN(MAX($H$5,'3. Assumptions'!$B$11),'3. Assumptions'!$B$10))^INT(($A58-1)/4)/4*(1-'3. Assumptions'!$B$13)</f>
        <v>4029183.93764329</v>
      </c>
      <c r="I58" s="33" t="n">
        <f aca="false">(1-'3. Assumptions'!$B$15)*SUMPRODUCT((('2. The tape'!$C$5:$C$13*'2. The tape'!$D$5:$D$13*(1-'2. The tape'!$J$5:$J$13)^($A58/4)*(1+$H$5)^($A58/4)*((1-'3. Assumptions'!$B$13)/($H$6)-'2. The tape'!$H$5:$H$13/12-'3. Assumptions'!$B$16)-'2. The tape'!$C$5:$C$13*'2. The tape'!$I$5:$I$13*(1+$H$5)^($A58/4))&gt;0)*('2. The tape'!$C$5:$C$13*'2. The tape'!$D$5:$D$13*(1-'2. The tape'!$J$5:$J$13)^($A58/4)*(1+$H$5)^($A58/4)*((1-'3. Assumptions'!$B$13)/($H$6)-'2. The tape'!$H$5:$H$13/12-'3. Assumptions'!$B$16)-'2. The tape'!$C$5:$C$13*'2. The tape'!$I$5:$I$13*(1+$H$5)^($A58/4)))</f>
        <v>89197473.4363256</v>
      </c>
      <c r="J58" s="33" t="n">
        <f aca="false">'2. The tape'!$C$17*(1+MIN(MAX($J$5,'3. Assumptions'!$B$11),'3. Assumptions'!$B$10))^INT(($A58-1)/4)/4*(1-'3. Assumptions'!$B$13)</f>
        <v>3726952.04683761</v>
      </c>
      <c r="K58" s="33" t="n">
        <f aca="false">(1-'3. Assumptions'!$B$15)*SUMPRODUCT((('2. The tape'!$C$5:$C$13*'2. The tape'!$D$5:$D$13*(1-'2. The tape'!$J$5:$J$13)^($A58/4)*(1+$J$5)^($A58/4)*((1-'3. Assumptions'!$B$13)/($J$6)-'2. The tape'!$H$5:$H$13/12-'3. Assumptions'!$B$16)-'2. The tape'!$C$5:$C$13*'2. The tape'!$I$5:$I$13*(1+$J$5)^($A58/4))&gt;0)*('2. The tape'!$C$5:$C$13*'2. The tape'!$D$5:$D$13*(1-'2. The tape'!$J$5:$J$13)^($A58/4)*(1+$J$5)^($A58/4)*((1-'3. Assumptions'!$B$13)/($J$6)-'2. The tape'!$H$5:$H$13/12-'3. Assumptions'!$B$16)-'2. The tape'!$C$5:$C$13*'2. The tape'!$I$5:$I$13*(1+$J$5)^($A58/4)))</f>
        <v>63808146.5941732</v>
      </c>
      <c r="L58" s="33" t="n">
        <f aca="false">'2. The tape'!$C$17*(1+MIN(MAX($L$5,'3. Assumptions'!$B$11),'3. Assumptions'!$B$10))^INT(($A58-1)/4)/4*(1-'3. Assumptions'!$B$13)</f>
        <v>4029183.93764329</v>
      </c>
      <c r="M58" s="33" t="n">
        <f aca="false">(1-'3. Assumptions'!$B$15)*SUMPRODUCT((('2. The tape'!$C$5:$C$13*'2. The tape'!$D$5:$D$13*(1-'2. The tape'!$J$5:$J$13)^($A58/4)*(1+$L$5)^($A58/4)*((1-'3. Assumptions'!$B$13)/($L$6)-'2. The tape'!$H$5:$H$13/12-'3. Assumptions'!$B$16)-'2. The tape'!$C$5:$C$13*'2. The tape'!$I$5:$I$13*(1+$L$5)^($A58/4))&gt;0)*('2. The tape'!$C$5:$C$13*'2. The tape'!$D$5:$D$13*(1-'2. The tape'!$J$5:$J$13)^($A58/4)*(1+$L$5)^($A58/4)*((1-'3. Assumptions'!$B$13)/($L$6)-'2. The tape'!$H$5:$H$13/12-'3. Assumptions'!$B$16)-'2. The tape'!$C$5:$C$13*'2. The tape'!$I$5:$I$13*(1+$L$5)^($A58/4)))</f>
        <v>1034272148.65191</v>
      </c>
      <c r="N58" s="33" t="n">
        <f aca="false">'2. The tape'!$C$17*(1+MIN(MAX($N$5,'3. Assumptions'!$B$11),'3. Assumptions'!$B$10))^INT(($A58-1)/4)/4*(1-'3. Assumptions'!$B$13)</f>
        <v>2998091.25</v>
      </c>
      <c r="O58" s="33" t="n">
        <f aca="false">(1-'3. Assumptions'!$B$15)*SUMPRODUCT((('2. The tape'!$C$5:$C$13*'2. The tape'!$D$5:$D$13*(1-'2. The tape'!$J$5:$J$13)^($A58/4)*(1+$N$5)^($A58/4)*((1-'3. Assumptions'!$B$13)/($N$6)-'2. The tape'!$H$5:$H$13/12-'3. Assumptions'!$B$16)-'2. The tape'!$C$5:$C$13*'2. The tape'!$I$5:$I$13*(1+$N$5)^($A58/4))&gt;0)*('2. The tape'!$C$5:$C$13*'2. The tape'!$D$5:$D$13*(1-'2. The tape'!$J$5:$J$13)^($A58/4)*(1+$N$5)^($A58/4)*((1-'3. Assumptions'!$B$13)/($N$6)-'2. The tape'!$H$5:$H$13/12-'3. Assumptions'!$B$16)-'2. The tape'!$C$5:$C$13*'2. The tape'!$I$5:$I$13*(1+$N$5)^($A58/4)))</f>
        <v>44416050.2755499</v>
      </c>
      <c r="P58" s="33" t="n">
        <f aca="false">'2. The tape'!$C$17*(1+MIN(MAX($P$5,'3. Assumptions'!$B$11),'3. Assumptions'!$B$10))^INT(($A58-1)/4)/4*(1-'3. Assumptions'!$B$13)</f>
        <v>2998091.25</v>
      </c>
      <c r="Q58" s="33" t="n">
        <f aca="false">(1-'3. Assumptions'!$B$15)*SUMPRODUCT((('2. The tape'!$C$5:$C$13*'2. The tape'!$D$5:$D$13*(1-'2. The tape'!$J$5:$J$13)^($A58/4)*(1+$P$5)^($A58/4)*((1-'3. Assumptions'!$B$13)/($P$6)-'2. The tape'!$H$5:$H$13/12-'3. Assumptions'!$B$16)-'2. The tape'!$C$5:$C$13*'2. The tape'!$I$5:$I$13*(1+$P$5)^($A58/4))&gt;0)*('2. The tape'!$C$5:$C$13*'2. The tape'!$D$5:$D$13*(1-'2. The tape'!$J$5:$J$13)^($A58/4)*(1+$P$5)^($A58/4)*((1-'3. Assumptions'!$B$13)/($P$6)-'2. The tape'!$H$5:$H$13/12-'3. Assumptions'!$B$16)-'2. The tape'!$C$5:$C$13*'2. The tape'!$I$5:$I$13*(1+$P$5)^($A58/4)))</f>
        <v>49593425.4535414</v>
      </c>
      <c r="R58" s="33" t="n">
        <f aca="false">'2. The tape'!$C$17*(1+MIN(MAX($R$5,'3. Assumptions'!$B$11),'3. Assumptions'!$B$10))^INT(($A58-1)/4)/4*(1-'3. Assumptions'!$B$13)</f>
        <v>2998091.25</v>
      </c>
      <c r="S58" s="33" t="n">
        <f aca="false">(1-'3. Assumptions'!$B$15)*SUMPRODUCT((('2. The tape'!$C$5:$C$13*'2. The tape'!$D$5:$D$13*(1-'2. The tape'!$J$5:$J$13)^($A58/4)*(1+$R$5)^($A58/4)*((1-'3. Assumptions'!$B$13)/($R$6)-'2. The tape'!$H$5:$H$13/12-'3. Assumptions'!$B$16)-'2. The tape'!$C$5:$C$13*'2. The tape'!$I$5:$I$13*(1+$R$5)^($A58/4))&gt;0)*('2. The tape'!$C$5:$C$13*'2. The tape'!$D$5:$D$13*(1-'2. The tape'!$J$5:$J$13)^($A58/4)*(1+$R$5)^($A58/4)*((1-'3. Assumptions'!$B$13)/($R$6)-'2. The tape'!$H$5:$H$13/12-'3. Assumptions'!$B$16)-'2. The tape'!$C$5:$C$13*'2. The tape'!$I$5:$I$13*(1+$R$5)^($A58/4)))</f>
        <v>46397663.1431629</v>
      </c>
      <c r="T58" s="33" t="n">
        <f aca="false">'2. The tape'!$C$17*(1+MIN(MAX($T$5,'3. Assumptions'!$B$11),'3. Assumptions'!$B$10))^INT(($A58-1)/4)/4*(1-'3. Assumptions'!$B$13)</f>
        <v>2998091.25</v>
      </c>
      <c r="U58" s="33" t="n">
        <f aca="false">(1-'3. Assumptions'!$B$15)*SUMPRODUCT((('2. The tape'!$C$5:$C$13*'2. The tape'!$D$5:$D$13*(1-'2. The tape'!$J$5:$J$13)^($A58/4)*(1+$T$5)^($A58/4)*((1-'3. Assumptions'!$B$13)/($T$6)-'2. The tape'!$H$5:$H$13/12-'3. Assumptions'!$B$16)-'2. The tape'!$C$5:$C$13*'2. The tape'!$I$5:$I$13*(1+$T$5)^($A58/4))&gt;0)*('2. The tape'!$C$5:$C$13*'2. The tape'!$D$5:$D$13*(1-'2. The tape'!$J$5:$J$13)^($A58/4)*(1+$T$5)^($A58/4)*((1-'3. Assumptions'!$B$13)/($T$6)-'2. The tape'!$H$5:$H$13/12-'3. Assumptions'!$B$16)-'2. The tape'!$C$5:$C$13*'2. The tape'!$I$5:$I$13*(1+$T$5)^($A58/4)))</f>
        <v>46313644.9987552</v>
      </c>
      <c r="V58" s="33" t="n">
        <f aca="false">'2. The tape'!$C$17*(1+MIN(MAX($V$5,'3. Assumptions'!$B$11),'3. Assumptions'!$B$10))^INT(($A58-1)/4)/4*(1-'3. Assumptions'!$B$13)</f>
        <v>2998091.25</v>
      </c>
      <c r="W58" s="33" t="n">
        <f aca="false">(1-'3. Assumptions'!$B$15)*SUMPRODUCT((('2. The tape'!$C$5:$C$13*'2. The tape'!$D$5:$D$13*(1-'2. The tape'!$J$5:$J$13)^($A58/4)*(1+$V$5)^($A58/4)*((1-'3. Assumptions'!$B$13)/($V$6)-'2. The tape'!$H$5:$H$13/12-'3. Assumptions'!$B$16)-'2. The tape'!$C$5:$C$13*'2. The tape'!$I$5:$I$13*(1+$V$5)^($A58/4))&gt;0)*('2. The tape'!$C$5:$C$13*'2. The tape'!$D$5:$D$13*(1-'2. The tape'!$J$5:$J$13)^($A58/4)*(1+$V$5)^($A58/4)*((1-'3. Assumptions'!$B$13)/($V$6)-'2. The tape'!$H$5:$H$13/12-'3. Assumptions'!$B$16)-'2. The tape'!$C$5:$C$13*'2. The tape'!$I$5:$I$13*(1+$V$5)^($A58/4)))</f>
        <v>46317018.1045108</v>
      </c>
      <c r="X58" s="33" t="n">
        <f aca="false">'2. The tape'!$C$17*(1+MIN(MAX($X$5,'3. Assumptions'!$B$11),'3. Assumptions'!$B$10))^INT(($A58-1)/4)/4*(1-'3. Assumptions'!$B$13)</f>
        <v>2998091.25</v>
      </c>
      <c r="Y58" s="33" t="n">
        <f aca="false">(1-'3. Assumptions'!$B$15)*SUMPRODUCT((('2. The tape'!$C$5:$C$13*'2. The tape'!$D$5:$D$13*(1-'2. The tape'!$J$5:$J$13)^($A58/4)*(1+$X$5)^($A58/4)*((1-'3. Assumptions'!$B$13)/($X$6)-'2. The tape'!$H$5:$H$13/12-'3. Assumptions'!$B$16)-'2. The tape'!$C$5:$C$13*'2. The tape'!$I$5:$I$13*(1+$X$5)^($A58/4))&gt;0)*('2. The tape'!$C$5:$C$13*'2. The tape'!$D$5:$D$13*(1-'2. The tape'!$J$5:$J$13)^($A58/4)*(1+$X$5)^($A58/4)*((1-'3. Assumptions'!$B$13)/($X$6)-'2. The tape'!$H$5:$H$13/12-'3. Assumptions'!$B$16)-'2. The tape'!$C$5:$C$13*'2. The tape'!$I$5:$I$13*(1+$X$5)^($A58/4)))</f>
        <v>46317014.5573632</v>
      </c>
      <c r="Z58" s="33" t="n">
        <f aca="false">'2. The tape'!$C$17*(1+MIN(MAX($Z$5,'3. Assumptions'!$B$11),'3. Assumptions'!$B$10))^INT(($A58-1)/4)/4*(1-'3. Assumptions'!$B$13)</f>
        <v>2998091.25</v>
      </c>
      <c r="AA58" s="33" t="n">
        <f aca="false">(1-'3. Assumptions'!$B$15)*SUMPRODUCT((('2. The tape'!$C$5:$C$13*'2. The tape'!$D$5:$D$13*(1-'2. The tape'!$J$5:$J$13)^($A58/4)*(1+$Z$5)^($A58/4)*((1-'3. Assumptions'!$B$13)/($Z$6)-'2. The tape'!$H$5:$H$13/12-'3. Assumptions'!$B$16)-'2. The tape'!$C$5:$C$13*'2. The tape'!$I$5:$I$13*(1+$Z$5)^($A58/4))&gt;0)*('2. The tape'!$C$5:$C$13*'2. The tape'!$D$5:$D$13*(1-'2. The tape'!$J$5:$J$13)^($A58/4)*(1+$Z$5)^($A58/4)*((1-'3. Assumptions'!$B$13)/($Z$6)-'2. The tape'!$H$5:$H$13/12-'3. Assumptions'!$B$16)-'2. The tape'!$C$5:$C$13*'2. The tape'!$I$5:$I$13*(1+$Z$5)^($A58/4)))</f>
        <v>46317014.5572071</v>
      </c>
      <c r="AB58" s="33" t="n">
        <f aca="false">'2. The tape'!$C$17*(1+MIN(MAX($AB$5,'3. Assumptions'!$B$11),'3. Assumptions'!$B$10))^INT(($A58-1)/4)/4*(1-'3. Assumptions'!$B$13)</f>
        <v>2998091.25</v>
      </c>
      <c r="AC58" s="33" t="n">
        <f aca="false">(1-'3. Assumptions'!$B$15)*SUMPRODUCT((('2. The tape'!$C$5:$C$13*'2. The tape'!$D$5:$D$13*(1-'2. The tape'!$J$5:$J$13)^($A58/4)*(1+$AB$5)^($A58/4)*((1-'3. Assumptions'!$B$13)/($AB$6)-'2. The tape'!$H$5:$H$13/12-'3. Assumptions'!$B$16)-'2. The tape'!$C$5:$C$13*'2. The tape'!$I$5:$I$13*(1+$AB$5)^($A58/4))&gt;0)*('2. The tape'!$C$5:$C$13*'2. The tape'!$D$5:$D$13*(1-'2. The tape'!$J$5:$J$13)^($A58/4)*(1+$AB$5)^($A58/4)*((1-'3. Assumptions'!$B$13)/($AB$6)-'2. The tape'!$H$5:$H$13/12-'3. Assumptions'!$B$16)-'2. The tape'!$C$5:$C$13*'2. The tape'!$I$5:$I$13*(1+$AB$5)^($A58/4)))</f>
        <v>46317014.5572071</v>
      </c>
      <c r="AD58" s="33" t="n">
        <f aca="false">'2. The tape'!$C$17*(1+MIN(MAX($AD$5,'3. Assumptions'!$B$11),'3. Assumptions'!$B$10))^INT(($A58-1)/4)/4*(1-'3. Assumptions'!$B$13)</f>
        <v>2998091.25</v>
      </c>
      <c r="AE58" s="33" t="n">
        <f aca="false">(1-'3. Assumptions'!$B$15)*SUMPRODUCT((('2. The tape'!$C$5:$C$13*'2. The tape'!$D$5:$D$13*(1-'2. The tape'!$J$5:$J$13)^($A58/4)*(1+$AD$5)^($A58/4)*((1-'3. Assumptions'!$B$13)/($AD$6)-'2. The tape'!$H$5:$H$13/12-'3. Assumptions'!$B$16)-'2. The tape'!$C$5:$C$13*'2. The tape'!$I$5:$I$13*(1+$AD$5)^($A58/4))&gt;0)*('2. The tape'!$C$5:$C$13*'2. The tape'!$D$5:$D$13*(1-'2. The tape'!$J$5:$J$13)^($A58/4)*(1+$AD$5)^($A58/4)*((1-'3. Assumptions'!$B$13)/($AD$6)-'2. The tape'!$H$5:$H$13/12-'3. Assumptions'!$B$16)-'2. The tape'!$C$5:$C$13*'2. The tape'!$I$5:$I$13*(1+$AD$5)^($A58/4)))</f>
        <v>46317014.5572071</v>
      </c>
      <c r="AF58" s="33" t="n">
        <f aca="false">'2. The tape'!$C$17*(1+MIN(MAX($AF$5,'3. Assumptions'!$B$11),'3. Assumptions'!$B$10))^INT(($A58-1)/4)/4*(1-'3. Assumptions'!$B$13)</f>
        <v>2998091.25</v>
      </c>
      <c r="AG58" s="33" t="n">
        <f aca="false">(1-'3. Assumptions'!$B$15)*SUMPRODUCT((('2. The tape'!$C$5:$C$13*'2. The tape'!$D$5:$D$13*(1-'2. The tape'!$J$5:$J$13)^($A58/4)*(1+$AF$5)^($A58/4)*((1-'3. Assumptions'!$B$13)/($AF$6)-'2. The tape'!$H$5:$H$13/12-'3. Assumptions'!$B$16)-'2. The tape'!$C$5:$C$13*'2. The tape'!$I$5:$I$13*(1+$AF$5)^($A58/4))&gt;0)*('2. The tape'!$C$5:$C$13*'2. The tape'!$D$5:$D$13*(1-'2. The tape'!$J$5:$J$13)^($A58/4)*(1+$AF$5)^($A58/4)*((1-'3. Assumptions'!$B$13)/($AF$6)-'2. The tape'!$H$5:$H$13/12-'3. Assumptions'!$B$16)-'2. The tape'!$C$5:$C$13*'2. The tape'!$I$5:$I$13*(1+$AF$5)^($A58/4)))</f>
        <v>46317014.5572071</v>
      </c>
      <c r="AH58" s="33" t="n">
        <f aca="false">'2. The tape'!$C$17*(1+MIN(MAX($AH$5,'3. Assumptions'!$B$11),'3. Assumptions'!$B$10))^INT(($A58-1)/4)/4*(1-'3. Assumptions'!$B$13)</f>
        <v>3726952.04683761</v>
      </c>
      <c r="AI58" s="33" t="n">
        <f aca="false">(1-'3. Assumptions'!$B$15)*SUMPRODUCT((('2. The tape'!$C$5:$C$13*'2. The tape'!$D$5:$D$13*(1-'2. The tape'!$J$5:$J$13)^($A58/4)*(1+$AH$5)^($A58/4)*((1-'3. Assumptions'!$B$13)/($AH$6)-'2. The tape'!$H$5:$H$13/12-'3. Assumptions'!$B$16)-'2. The tape'!$C$5:$C$13*'2. The tape'!$I$5:$I$13*(1+$AH$5)^($A58/4))&gt;0)*('2. The tape'!$C$5:$C$13*'2. The tape'!$D$5:$D$13*(1-'2. The tape'!$J$5:$J$13)^($A58/4)*(1+$AH$5)^($A58/4)*((1-'3. Assumptions'!$B$13)/($AH$6)-'2. The tape'!$H$5:$H$13/12-'3. Assumptions'!$B$16)-'2. The tape'!$C$5:$C$13*'2. The tape'!$I$5:$I$13*(1+$AH$5)^($A58/4)))</f>
        <v>154613838.12767</v>
      </c>
      <c r="AJ58" s="33" t="n">
        <f aca="false">'2. The tape'!$C$17*(1+MIN(MAX($AJ$5,'3. Assumptions'!$B$11),'3. Assumptions'!$B$10))^INT(($A58-1)/4)/4*(1-'3. Assumptions'!$B$13)</f>
        <v>3726952.04683761</v>
      </c>
      <c r="AK58" s="33" t="n">
        <f aca="false">(1-'3. Assumptions'!$B$15)*SUMPRODUCT((('2. The tape'!$C$5:$C$13*'2. The tape'!$D$5:$D$13*(1-'2. The tape'!$J$5:$J$13)^($A58/4)*(1+$AJ$5)^($A58/4)*((1-'3. Assumptions'!$B$13)/($AJ$6)-'2. The tape'!$H$5:$H$13/12-'3. Assumptions'!$B$16)-'2. The tape'!$C$5:$C$13*'2. The tape'!$I$5:$I$13*(1+$AJ$5)^($A58/4))&gt;0)*('2. The tape'!$C$5:$C$13*'2. The tape'!$D$5:$D$13*(1-'2. The tape'!$J$5:$J$13)^($A58/4)*(1+$AJ$5)^($A58/4)*((1-'3. Assumptions'!$B$13)/($AJ$6)-'2. The tape'!$H$5:$H$13/12-'3. Assumptions'!$B$16)-'2. The tape'!$C$5:$C$13*'2. The tape'!$I$5:$I$13*(1+$AJ$5)^($A58/4)))</f>
        <v>111600615.822329</v>
      </c>
      <c r="AL58" s="33" t="n">
        <f aca="false">'2. The tape'!$C$17*(1+MIN(MAX($AL$5,'3. Assumptions'!$B$11),'3. Assumptions'!$B$10))^INT(($A58-1)/4)/4*(1-'3. Assumptions'!$B$13)</f>
        <v>3726952.04683761</v>
      </c>
      <c r="AM58" s="33" t="n">
        <f aca="false">(1-'3. Assumptions'!$B$15)*SUMPRODUCT((('2. The tape'!$C$5:$C$13*'2. The tape'!$D$5:$D$13*(1-'2. The tape'!$J$5:$J$13)^($A58/4)*(1+$AL$5)^($A58/4)*((1-'3. Assumptions'!$B$13)/($AL$6)-'2. The tape'!$H$5:$H$13/12-'3. Assumptions'!$B$16)-'2. The tape'!$C$5:$C$13*'2. The tape'!$I$5:$I$13*(1+$AL$5)^($A58/4))&gt;0)*('2. The tape'!$C$5:$C$13*'2. The tape'!$D$5:$D$13*(1-'2. The tape'!$J$5:$J$13)^($A58/4)*(1+$AL$5)^($A58/4)*((1-'3. Assumptions'!$B$13)/($AL$6)-'2. The tape'!$H$5:$H$13/12-'3. Assumptions'!$B$16)-'2. The tape'!$C$5:$C$13*'2. The tape'!$I$5:$I$13*(1+$AL$5)^($A58/4)))</f>
        <v>128283012.354732</v>
      </c>
      <c r="AN58" s="33" t="n">
        <f aca="false">'2. The tape'!$C$17*(1+MIN(MAX($AN$5,'3. Assumptions'!$B$11),'3. Assumptions'!$B$10))^INT(($A58-1)/4)/4*(1-'3. Assumptions'!$B$13)</f>
        <v>3726952.04683761</v>
      </c>
      <c r="AO58" s="33" t="n">
        <f aca="false">(1-'3. Assumptions'!$B$15)*SUMPRODUCT((('2. The tape'!$C$5:$C$13*'2. The tape'!$D$5:$D$13*(1-'2. The tape'!$J$5:$J$13)^($A58/4)*(1+$AN$5)^($A58/4)*((1-'3. Assumptions'!$B$13)/($AN$6)-'2. The tape'!$H$5:$H$13/12-'3. Assumptions'!$B$16)-'2. The tape'!$C$5:$C$13*'2. The tape'!$I$5:$I$13*(1+$AN$5)^($A58/4))&gt;0)*('2. The tape'!$C$5:$C$13*'2. The tape'!$D$5:$D$13*(1-'2. The tape'!$J$5:$J$13)^($A58/4)*(1+$AN$5)^($A58/4)*((1-'3. Assumptions'!$B$13)/($AN$6)-'2. The tape'!$H$5:$H$13/12-'3. Assumptions'!$B$16)-'2. The tape'!$C$5:$C$13*'2. The tape'!$I$5:$I$13*(1+$AN$5)^($A58/4)))</f>
        <v>131406469.287971</v>
      </c>
      <c r="AP58" s="33" t="n">
        <f aca="false">'2. The tape'!$C$17*(1+MIN(MAX($AP$5,'3. Assumptions'!$B$11),'3. Assumptions'!$B$10))^INT(($A58-1)/4)/4*(1-'3. Assumptions'!$B$13)</f>
        <v>3726952.04683761</v>
      </c>
      <c r="AQ58" s="33" t="n">
        <f aca="false">(1-'3. Assumptions'!$B$15)*SUMPRODUCT((('2. The tape'!$C$5:$C$13*'2. The tape'!$D$5:$D$13*(1-'2. The tape'!$J$5:$J$13)^($A58/4)*(1+$AP$5)^($A58/4)*((1-'3. Assumptions'!$B$13)/($AP$6)-'2. The tape'!$H$5:$H$13/12-'3. Assumptions'!$B$16)-'2. The tape'!$C$5:$C$13*'2. The tape'!$I$5:$I$13*(1+$AP$5)^($A58/4))&gt;0)*('2. The tape'!$C$5:$C$13*'2. The tape'!$D$5:$D$13*(1-'2. The tape'!$J$5:$J$13)^($A58/4)*(1+$AP$5)^($A58/4)*((1-'3. Assumptions'!$B$13)/($AP$6)-'2. The tape'!$H$5:$H$13/12-'3. Assumptions'!$B$16)-'2. The tape'!$C$5:$C$13*'2. The tape'!$I$5:$I$13*(1+$AP$5)^($A58/4)))</f>
        <v>131020884.939013</v>
      </c>
      <c r="AR58" s="33" t="n">
        <f aca="false">'2. The tape'!$C$17*(1+MIN(MAX($AR$5,'3. Assumptions'!$B$11),'3. Assumptions'!$B$10))^INT(($A58-1)/4)/4*(1-'3. Assumptions'!$B$13)</f>
        <v>3726952.04683761</v>
      </c>
      <c r="AS58" s="33" t="n">
        <f aca="false">(1-'3. Assumptions'!$B$15)*SUMPRODUCT((('2. The tape'!$C$5:$C$13*'2. The tape'!$D$5:$D$13*(1-'2. The tape'!$J$5:$J$13)^($A58/4)*(1+$AR$5)^($A58/4)*((1-'3. Assumptions'!$B$13)/($AR$6)-'2. The tape'!$H$5:$H$13/12-'3. Assumptions'!$B$16)-'2. The tape'!$C$5:$C$13*'2. The tape'!$I$5:$I$13*(1+$AR$5)^($A58/4))&gt;0)*('2. The tape'!$C$5:$C$13*'2. The tape'!$D$5:$D$13*(1-'2. The tape'!$J$5:$J$13)^($A58/4)*(1+$AR$5)^($A58/4)*((1-'3. Assumptions'!$B$13)/($AR$6)-'2. The tape'!$H$5:$H$13/12-'3. Assumptions'!$B$16)-'2. The tape'!$C$5:$C$13*'2. The tape'!$I$5:$I$13*(1+$AR$5)^($A58/4)))</f>
        <v>131027354.492098</v>
      </c>
      <c r="AT58" s="33" t="n">
        <f aca="false">'2. The tape'!$C$17*(1+MIN(MAX($AT$5,'3. Assumptions'!$B$11),'3. Assumptions'!$B$10))^INT(($A58-1)/4)/4*(1-'3. Assumptions'!$B$13)</f>
        <v>3726952.04683761</v>
      </c>
      <c r="AU58" s="33" t="n">
        <f aca="false">(1-'3. Assumptions'!$B$15)*SUMPRODUCT((('2. The tape'!$C$5:$C$13*'2. The tape'!$D$5:$D$13*(1-'2. The tape'!$J$5:$J$13)^($A58/4)*(1+$AT$5)^($A58/4)*((1-'3. Assumptions'!$B$13)/($AT$6)-'2. The tape'!$H$5:$H$13/12-'3. Assumptions'!$B$16)-'2. The tape'!$C$5:$C$13*'2. The tape'!$I$5:$I$13*(1+$AT$5)^($A58/4))&gt;0)*('2. The tape'!$C$5:$C$13*'2. The tape'!$D$5:$D$13*(1-'2. The tape'!$J$5:$J$13)^($A58/4)*(1+$AT$5)^($A58/4)*((1-'3. Assumptions'!$B$13)/($AT$6)-'2. The tape'!$H$5:$H$13/12-'3. Assumptions'!$B$16)-'2. The tape'!$C$5:$C$13*'2. The tape'!$I$5:$I$13*(1+$AT$5)^($A58/4)))</f>
        <v>131027369.558059</v>
      </c>
      <c r="AV58" s="33" t="n">
        <f aca="false">'2. The tape'!$C$17*(1+MIN(MAX($AV$5,'3. Assumptions'!$B$11),'3. Assumptions'!$B$10))^INT(($A58-1)/4)/4*(1-'3. Assumptions'!$B$13)</f>
        <v>3726952.04683761</v>
      </c>
      <c r="AW58" s="33" t="n">
        <f aca="false">(1-'3. Assumptions'!$B$15)*SUMPRODUCT((('2. The tape'!$C$5:$C$13*'2. The tape'!$D$5:$D$13*(1-'2. The tape'!$J$5:$J$13)^($A58/4)*(1+$AV$5)^($A58/4)*((1-'3. Assumptions'!$B$13)/($AV$6)-'2. The tape'!$H$5:$H$13/12-'3. Assumptions'!$B$16)-'2. The tape'!$C$5:$C$13*'2. The tape'!$I$5:$I$13*(1+$AV$5)^($A58/4))&gt;0)*('2. The tape'!$C$5:$C$13*'2. The tape'!$D$5:$D$13*(1-'2. The tape'!$J$5:$J$13)^($A58/4)*(1+$AV$5)^($A58/4)*((1-'3. Assumptions'!$B$13)/($AV$6)-'2. The tape'!$H$5:$H$13/12-'3. Assumptions'!$B$16)-'2. The tape'!$C$5:$C$13*'2. The tape'!$I$5:$I$13*(1+$AV$5)^($A58/4)))</f>
        <v>131027369.557459</v>
      </c>
      <c r="AX58" s="33" t="n">
        <f aca="false">'2. The tape'!$C$17*(1+MIN(MAX($AX$5,'3. Assumptions'!$B$11),'3. Assumptions'!$B$10))^INT(($A58-1)/4)/4*(1-'3. Assumptions'!$B$13)</f>
        <v>3726952.04683761</v>
      </c>
      <c r="AY58" s="33" t="n">
        <f aca="false">(1-'3. Assumptions'!$B$15)*SUMPRODUCT((('2. The tape'!$C$5:$C$13*'2. The tape'!$D$5:$D$13*(1-'2. The tape'!$J$5:$J$13)^($A58/4)*(1+$AX$5)^($A58/4)*((1-'3. Assumptions'!$B$13)/($AX$6)-'2. The tape'!$H$5:$H$13/12-'3. Assumptions'!$B$16)-'2. The tape'!$C$5:$C$13*'2. The tape'!$I$5:$I$13*(1+$AX$5)^($A58/4))&gt;0)*('2. The tape'!$C$5:$C$13*'2. The tape'!$D$5:$D$13*(1-'2. The tape'!$J$5:$J$13)^($A58/4)*(1+$AX$5)^($A58/4)*((1-'3. Assumptions'!$B$13)/($AX$6)-'2. The tape'!$H$5:$H$13/12-'3. Assumptions'!$B$16)-'2. The tape'!$C$5:$C$13*'2. The tape'!$I$5:$I$13*(1+$AX$5)^($A58/4)))</f>
        <v>131027369.557459</v>
      </c>
      <c r="AZ58" s="33" t="n">
        <f aca="false">'2. The tape'!$C$17*(1+MIN(MAX($AZ$5,'3. Assumptions'!$B$11),'3. Assumptions'!$B$10))^INT(($A58-1)/4)/4*(1-'3. Assumptions'!$B$13)</f>
        <v>3726952.04683761</v>
      </c>
      <c r="BA58" s="33" t="n">
        <f aca="false">(1-'3. Assumptions'!$B$15)*SUMPRODUCT((('2. The tape'!$C$5:$C$13*'2. The tape'!$D$5:$D$13*(1-'2. The tape'!$J$5:$J$13)^($A58/4)*(1+$AZ$5)^($A58/4)*((1-'3. Assumptions'!$B$13)/($AZ$6)-'2. The tape'!$H$5:$H$13/12-'3. Assumptions'!$B$16)-'2. The tape'!$C$5:$C$13*'2. The tape'!$I$5:$I$13*(1+$AZ$5)^($A58/4))&gt;0)*('2. The tape'!$C$5:$C$13*'2. The tape'!$D$5:$D$13*(1-'2. The tape'!$J$5:$J$13)^($A58/4)*(1+$AZ$5)^($A58/4)*((1-'3. Assumptions'!$B$13)/($AZ$6)-'2. The tape'!$H$5:$H$13/12-'3. Assumptions'!$B$16)-'2. The tape'!$C$5:$C$13*'2. The tape'!$I$5:$I$13*(1+$AZ$5)^($A58/4)))</f>
        <v>131027369.557459</v>
      </c>
    </row>
    <row r="59" customFormat="false" ht="15" hidden="false" customHeight="false" outlineLevel="0" collapsed="false">
      <c r="A59" s="20" t="n">
        <v>44</v>
      </c>
      <c r="B59" s="33" t="n">
        <f aca="false">'2. The tape'!$C$17*(1+MIN(MAX($B$5,'3. Assumptions'!$B$11),'3. Assumptions'!$B$10))^INT(($A59-1)/4)/4*(1-'3. Assumptions'!$B$13)</f>
        <v>3726952.04683761</v>
      </c>
      <c r="C59" s="33" t="n">
        <f aca="false">(1-'3. Assumptions'!$B$15)*SUMPRODUCT((('2. The tape'!$C$5:$C$13*'2. The tape'!$D$5:$D$13*(1-'2. The tape'!$J$5:$J$13)^($A59/4)*(1+$B$5)^($A59/4)*((1-'3. Assumptions'!$B$13)/($B$6)-'2. The tape'!$H$5:$H$13/12-'3. Assumptions'!$B$16)-'2. The tape'!$C$5:$C$13*'2. The tape'!$I$5:$I$13*(1+$B$5)^($A59/4))&gt;0)*('2. The tape'!$C$5:$C$13*'2. The tape'!$D$5:$D$13*(1-'2. The tape'!$J$5:$J$13)^($A59/4)*(1+$B$5)^($A59/4)*((1-'3. Assumptions'!$B$13)/($B$6)-'2. The tape'!$H$5:$H$13/12-'3. Assumptions'!$B$16)-'2. The tape'!$C$5:$C$13*'2. The tape'!$I$5:$I$13*(1+$B$5)^($A59/4)))</f>
        <v>77765445.7480018</v>
      </c>
      <c r="D59" s="33" t="n">
        <f aca="false">'2. The tape'!$C$17*(1+MIN(MAX($D$5,'3. Assumptions'!$B$11),'3. Assumptions'!$B$10))^INT(($A59-1)/4)/4*(1-'3. Assumptions'!$B$13)</f>
        <v>4029183.93764329</v>
      </c>
      <c r="E59" s="33" t="n">
        <f aca="false">(1-'3. Assumptions'!$B$15)*SUMPRODUCT((('2. The tape'!$C$5:$C$13*'2. The tape'!$D$5:$D$13*(1-'2. The tape'!$J$5:$J$13)^($A59/4)*(1+$D$5)^($A59/4)*((1-'3. Assumptions'!$B$13)/($D$6)-'2. The tape'!$H$5:$H$13/12-'3. Assumptions'!$B$16)-'2. The tape'!$C$5:$C$13*'2. The tape'!$I$5:$I$13*(1+$D$5)^($A59/4))&gt;0)*('2. The tape'!$C$5:$C$13*'2. The tape'!$D$5:$D$13*(1-'2. The tape'!$J$5:$J$13)^($A59/4)*(1+$D$5)^($A59/4)*((1-'3. Assumptions'!$B$13)/($D$6)-'2. The tape'!$H$5:$H$13/12-'3. Assumptions'!$B$16)-'2. The tape'!$C$5:$C$13*'2. The tape'!$I$5:$I$13*(1+$D$5)^($A59/4)))</f>
        <v>89365658.4543973</v>
      </c>
      <c r="F59" s="33" t="n">
        <f aca="false">'2. The tape'!$C$17*(1+MIN(MAX($F$5,'3. Assumptions'!$B$11),'3. Assumptions'!$B$10))^INT(($A59-1)/4)/4*(1-'3. Assumptions'!$B$13)</f>
        <v>3311757.92875174</v>
      </c>
      <c r="G59" s="33" t="n">
        <f aca="false">(1-'3. Assumptions'!$B$15)*SUMPRODUCT((('2. The tape'!$C$5:$C$13*'2. The tape'!$D$5:$D$13*(1-'2. The tape'!$J$5:$J$13)^($A59/4)*(1+$F$5)^($A59/4)*((1-'3. Assumptions'!$B$13)/($F$6)-'2. The tape'!$H$5:$H$13/12-'3. Assumptions'!$B$16)-'2. The tape'!$C$5:$C$13*'2. The tape'!$I$5:$I$13*(1+$F$5)^($A59/4))&gt;0)*('2. The tape'!$C$5:$C$13*'2. The tape'!$D$5:$D$13*(1-'2. The tape'!$J$5:$J$13)^($A59/4)*(1+$F$5)^($A59/4)*((1-'3. Assumptions'!$B$13)/($F$6)-'2. The tape'!$H$5:$H$13/12-'3. Assumptions'!$B$16)-'2. The tape'!$C$5:$C$13*'2. The tape'!$I$5:$I$13*(1+$F$5)^($A59/4)))</f>
        <v>68290756.4718273</v>
      </c>
      <c r="H59" s="33" t="n">
        <f aca="false">'2. The tape'!$C$17*(1+MIN(MAX($H$5,'3. Assumptions'!$B$11),'3. Assumptions'!$B$10))^INT(($A59-1)/4)/4*(1-'3. Assumptions'!$B$13)</f>
        <v>4029183.93764329</v>
      </c>
      <c r="I59" s="33" t="n">
        <f aca="false">(1-'3. Assumptions'!$B$15)*SUMPRODUCT((('2. The tape'!$C$5:$C$13*'2. The tape'!$D$5:$D$13*(1-'2. The tape'!$J$5:$J$13)^($A59/4)*(1+$H$5)^($A59/4)*((1-'3. Assumptions'!$B$13)/($H$6)-'2. The tape'!$H$5:$H$13/12-'3. Assumptions'!$B$16)-'2. The tape'!$C$5:$C$13*'2. The tape'!$I$5:$I$13*(1+$H$5)^($A59/4))&gt;0)*('2. The tape'!$C$5:$C$13*'2. The tape'!$D$5:$D$13*(1-'2. The tape'!$J$5:$J$13)^($A59/4)*(1+$H$5)^($A59/4)*((1-'3. Assumptions'!$B$13)/($H$6)-'2. The tape'!$H$5:$H$13/12-'3. Assumptions'!$B$16)-'2. The tape'!$C$5:$C$13*'2. The tape'!$I$5:$I$13*(1+$H$5)^($A59/4)))</f>
        <v>89365658.4543973</v>
      </c>
      <c r="J59" s="33" t="n">
        <f aca="false">'2. The tape'!$C$17*(1+MIN(MAX($J$5,'3. Assumptions'!$B$11),'3. Assumptions'!$B$10))^INT(($A59-1)/4)/4*(1-'3. Assumptions'!$B$13)</f>
        <v>3726952.04683761</v>
      </c>
      <c r="K59" s="33" t="n">
        <f aca="false">(1-'3. Assumptions'!$B$15)*SUMPRODUCT((('2. The tape'!$C$5:$C$13*'2. The tape'!$D$5:$D$13*(1-'2. The tape'!$J$5:$J$13)^($A59/4)*(1+$J$5)^($A59/4)*((1-'3. Assumptions'!$B$13)/($J$6)-'2. The tape'!$H$5:$H$13/12-'3. Assumptions'!$B$16)-'2. The tape'!$C$5:$C$13*'2. The tape'!$I$5:$I$13*(1+$J$5)^($A59/4))&gt;0)*('2. The tape'!$C$5:$C$13*'2. The tape'!$D$5:$D$13*(1-'2. The tape'!$J$5:$J$13)^($A59/4)*(1+$J$5)^($A59/4)*((1-'3. Assumptions'!$B$13)/($J$6)-'2. The tape'!$H$5:$H$13/12-'3. Assumptions'!$B$16)-'2. The tape'!$C$5:$C$13*'2. The tape'!$I$5:$I$13*(1+$J$5)^($A59/4)))</f>
        <v>63709625.2667972</v>
      </c>
      <c r="L59" s="33" t="n">
        <f aca="false">'2. The tape'!$C$17*(1+MIN(MAX($L$5,'3. Assumptions'!$B$11),'3. Assumptions'!$B$10))^INT(($A59-1)/4)/4*(1-'3. Assumptions'!$B$13)</f>
        <v>4029183.93764329</v>
      </c>
      <c r="M59" s="33" t="n">
        <f aca="false">(1-'3. Assumptions'!$B$15)*SUMPRODUCT((('2. The tape'!$C$5:$C$13*'2. The tape'!$D$5:$D$13*(1-'2. The tape'!$J$5:$J$13)^($A59/4)*(1+$L$5)^($A59/4)*((1-'3. Assumptions'!$B$13)/($L$6)-'2. The tape'!$H$5:$H$13/12-'3. Assumptions'!$B$16)-'2. The tape'!$C$5:$C$13*'2. The tape'!$I$5:$I$13*(1+$L$5)^($A59/4))&gt;0)*('2. The tape'!$C$5:$C$13*'2. The tape'!$D$5:$D$13*(1-'2. The tape'!$J$5:$J$13)^($A59/4)*(1+$L$5)^($A59/4)*((1-'3. Assumptions'!$B$13)/($L$6)-'2. The tape'!$H$5:$H$13/12-'3. Assumptions'!$B$16)-'2. The tape'!$C$5:$C$13*'2. The tape'!$I$5:$I$13*(1+$L$5)^($A59/4)))</f>
        <v>1096992573.04778</v>
      </c>
      <c r="N59" s="33" t="n">
        <f aca="false">'2. The tape'!$C$17*(1+MIN(MAX($N$5,'3. Assumptions'!$B$11),'3. Assumptions'!$B$10))^INT(($A59-1)/4)/4*(1-'3. Assumptions'!$B$13)</f>
        <v>2998091.25</v>
      </c>
      <c r="O59" s="33" t="n">
        <f aca="false">(1-'3. Assumptions'!$B$15)*SUMPRODUCT((('2. The tape'!$C$5:$C$13*'2. The tape'!$D$5:$D$13*(1-'2. The tape'!$J$5:$J$13)^($A59/4)*(1+$N$5)^($A59/4)*((1-'3. Assumptions'!$B$13)/($N$6)-'2. The tape'!$H$5:$H$13/12-'3. Assumptions'!$B$16)-'2. The tape'!$C$5:$C$13*'2. The tape'!$I$5:$I$13*(1+$N$5)^($A59/4))&gt;0)*('2. The tape'!$C$5:$C$13*'2. The tape'!$D$5:$D$13*(1-'2. The tape'!$J$5:$J$13)^($A59/4)*(1+$N$5)^($A59/4)*((1-'3. Assumptions'!$B$13)/($N$6)-'2. The tape'!$H$5:$H$13/12-'3. Assumptions'!$B$16)-'2. The tape'!$C$5:$C$13*'2. The tape'!$I$5:$I$13*(1+$N$5)^($A59/4)))</f>
        <v>43784045.7410577</v>
      </c>
      <c r="P59" s="33" t="n">
        <f aca="false">'2. The tape'!$C$17*(1+MIN(MAX($P$5,'3. Assumptions'!$B$11),'3. Assumptions'!$B$10))^INT(($A59-1)/4)/4*(1-'3. Assumptions'!$B$13)</f>
        <v>2998091.25</v>
      </c>
      <c r="Q59" s="33" t="n">
        <f aca="false">(1-'3. Assumptions'!$B$15)*SUMPRODUCT((('2. The tape'!$C$5:$C$13*'2. The tape'!$D$5:$D$13*(1-'2. The tape'!$J$5:$J$13)^($A59/4)*(1+$P$5)^($A59/4)*((1-'3. Assumptions'!$B$13)/($P$6)-'2. The tape'!$H$5:$H$13/12-'3. Assumptions'!$B$16)-'2. The tape'!$C$5:$C$13*'2. The tape'!$I$5:$I$13*(1+$P$5)^($A59/4))&gt;0)*('2. The tape'!$C$5:$C$13*'2. The tape'!$D$5:$D$13*(1-'2. The tape'!$J$5:$J$13)^($A59/4)*(1+$P$5)^($A59/4)*((1-'3. Assumptions'!$B$13)/($P$6)-'2. The tape'!$H$5:$H$13/12-'3. Assumptions'!$B$16)-'2. The tape'!$C$5:$C$13*'2. The tape'!$I$5:$I$13*(1+$P$5)^($A59/4)))</f>
        <v>49013266.2066244</v>
      </c>
      <c r="R59" s="33" t="n">
        <f aca="false">'2. The tape'!$C$17*(1+MIN(MAX($R$5,'3. Assumptions'!$B$11),'3. Assumptions'!$B$10))^INT(($A59-1)/4)/4*(1-'3. Assumptions'!$B$13)</f>
        <v>2998091.25</v>
      </c>
      <c r="S59" s="33" t="n">
        <f aca="false">(1-'3. Assumptions'!$B$15)*SUMPRODUCT((('2. The tape'!$C$5:$C$13*'2. The tape'!$D$5:$D$13*(1-'2. The tape'!$J$5:$J$13)^($A59/4)*(1+$R$5)^($A59/4)*((1-'3. Assumptions'!$B$13)/($R$6)-'2. The tape'!$H$5:$H$13/12-'3. Assumptions'!$B$16)-'2. The tape'!$C$5:$C$13*'2. The tape'!$I$5:$I$13*(1+$R$5)^($A59/4))&gt;0)*('2. The tape'!$C$5:$C$13*'2. The tape'!$D$5:$D$13*(1-'2. The tape'!$J$5:$J$13)^($A59/4)*(1+$R$5)^($A59/4)*((1-'3. Assumptions'!$B$13)/($R$6)-'2. The tape'!$H$5:$H$13/12-'3. Assumptions'!$B$16)-'2. The tape'!$C$5:$C$13*'2. The tape'!$I$5:$I$13*(1+$R$5)^($A59/4)))</f>
        <v>45783912.3540878</v>
      </c>
      <c r="T59" s="33" t="n">
        <f aca="false">'2. The tape'!$C$17*(1+MIN(MAX($T$5,'3. Assumptions'!$B$11),'3. Assumptions'!$B$10))^INT(($A59-1)/4)/4*(1-'3. Assumptions'!$B$13)</f>
        <v>2998091.25</v>
      </c>
      <c r="U59" s="33" t="n">
        <f aca="false">(1-'3. Assumptions'!$B$15)*SUMPRODUCT((('2. The tape'!$C$5:$C$13*'2. The tape'!$D$5:$D$13*(1-'2. The tape'!$J$5:$J$13)^($A59/4)*(1+$T$5)^($A59/4)*((1-'3. Assumptions'!$B$13)/($T$6)-'2. The tape'!$H$5:$H$13/12-'3. Assumptions'!$B$16)-'2. The tape'!$C$5:$C$13*'2. The tape'!$I$5:$I$13*(1+$T$5)^($A59/4))&gt;0)*('2. The tape'!$C$5:$C$13*'2. The tape'!$D$5:$D$13*(1-'2. The tape'!$J$5:$J$13)^($A59/4)*(1+$T$5)^($A59/4)*((1-'3. Assumptions'!$B$13)/($T$6)-'2. The tape'!$H$5:$H$13/12-'3. Assumptions'!$B$16)-'2. The tape'!$C$5:$C$13*'2. The tape'!$I$5:$I$13*(1+$T$5)^($A59/4)))</f>
        <v>45699079.3296661</v>
      </c>
      <c r="V59" s="33" t="n">
        <f aca="false">'2. The tape'!$C$17*(1+MIN(MAX($V$5,'3. Assumptions'!$B$11),'3. Assumptions'!$B$10))^INT(($A59-1)/4)/4*(1-'3. Assumptions'!$B$13)</f>
        <v>2998091.25</v>
      </c>
      <c r="W59" s="33" t="n">
        <f aca="false">(1-'3. Assumptions'!$B$15)*SUMPRODUCT((('2. The tape'!$C$5:$C$13*'2. The tape'!$D$5:$D$13*(1-'2. The tape'!$J$5:$J$13)^($A59/4)*(1+$V$5)^($A59/4)*((1-'3. Assumptions'!$B$13)/($V$6)-'2. The tape'!$H$5:$H$13/12-'3. Assumptions'!$B$16)-'2. The tape'!$C$5:$C$13*'2. The tape'!$I$5:$I$13*(1+$V$5)^($A59/4))&gt;0)*('2. The tape'!$C$5:$C$13*'2. The tape'!$D$5:$D$13*(1-'2. The tape'!$J$5:$J$13)^($A59/4)*(1+$V$5)^($A59/4)*((1-'3. Assumptions'!$B$13)/($V$6)-'2. The tape'!$H$5:$H$13/12-'3. Assumptions'!$B$16)-'2. The tape'!$C$5:$C$13*'2. The tape'!$I$5:$I$13*(1+$V$5)^($A59/4)))</f>
        <v>45702485.0817785</v>
      </c>
      <c r="X59" s="33" t="n">
        <f aca="false">'2. The tape'!$C$17*(1+MIN(MAX($X$5,'3. Assumptions'!$B$11),'3. Assumptions'!$B$10))^INT(($A59-1)/4)/4*(1-'3. Assumptions'!$B$13)</f>
        <v>2998091.25</v>
      </c>
      <c r="Y59" s="33" t="n">
        <f aca="false">(1-'3. Assumptions'!$B$15)*SUMPRODUCT((('2. The tape'!$C$5:$C$13*'2. The tape'!$D$5:$D$13*(1-'2. The tape'!$J$5:$J$13)^($A59/4)*(1+$X$5)^($A59/4)*((1-'3. Assumptions'!$B$13)/($X$6)-'2. The tape'!$H$5:$H$13/12-'3. Assumptions'!$B$16)-'2. The tape'!$C$5:$C$13*'2. The tape'!$I$5:$I$13*(1+$X$5)^($A59/4))&gt;0)*('2. The tape'!$C$5:$C$13*'2. The tape'!$D$5:$D$13*(1-'2. The tape'!$J$5:$J$13)^($A59/4)*(1+$X$5)^($A59/4)*((1-'3. Assumptions'!$B$13)/($X$6)-'2. The tape'!$H$5:$H$13/12-'3. Assumptions'!$B$16)-'2. The tape'!$C$5:$C$13*'2. The tape'!$I$5:$I$13*(1+$X$5)^($A59/4)))</f>
        <v>45702481.5002971</v>
      </c>
      <c r="Z59" s="33" t="n">
        <f aca="false">'2. The tape'!$C$17*(1+MIN(MAX($Z$5,'3. Assumptions'!$B$11),'3. Assumptions'!$B$10))^INT(($A59-1)/4)/4*(1-'3. Assumptions'!$B$13)</f>
        <v>2998091.25</v>
      </c>
      <c r="AA59" s="33" t="n">
        <f aca="false">(1-'3. Assumptions'!$B$15)*SUMPRODUCT((('2. The tape'!$C$5:$C$13*'2. The tape'!$D$5:$D$13*(1-'2. The tape'!$J$5:$J$13)^($A59/4)*(1+$Z$5)^($A59/4)*((1-'3. Assumptions'!$B$13)/($Z$6)-'2. The tape'!$H$5:$H$13/12-'3. Assumptions'!$B$16)-'2. The tape'!$C$5:$C$13*'2. The tape'!$I$5:$I$13*(1+$Z$5)^($A59/4))&gt;0)*('2. The tape'!$C$5:$C$13*'2. The tape'!$D$5:$D$13*(1-'2. The tape'!$J$5:$J$13)^($A59/4)*(1+$Z$5)^($A59/4)*((1-'3. Assumptions'!$B$13)/($Z$6)-'2. The tape'!$H$5:$H$13/12-'3. Assumptions'!$B$16)-'2. The tape'!$C$5:$C$13*'2. The tape'!$I$5:$I$13*(1+$Z$5)^($A59/4)))</f>
        <v>45702481.5001395</v>
      </c>
      <c r="AB59" s="33" t="n">
        <f aca="false">'2. The tape'!$C$17*(1+MIN(MAX($AB$5,'3. Assumptions'!$B$11),'3. Assumptions'!$B$10))^INT(($A59-1)/4)/4*(1-'3. Assumptions'!$B$13)</f>
        <v>2998091.25</v>
      </c>
      <c r="AC59" s="33" t="n">
        <f aca="false">(1-'3. Assumptions'!$B$15)*SUMPRODUCT((('2. The tape'!$C$5:$C$13*'2. The tape'!$D$5:$D$13*(1-'2. The tape'!$J$5:$J$13)^($A59/4)*(1+$AB$5)^($A59/4)*((1-'3. Assumptions'!$B$13)/($AB$6)-'2. The tape'!$H$5:$H$13/12-'3. Assumptions'!$B$16)-'2. The tape'!$C$5:$C$13*'2. The tape'!$I$5:$I$13*(1+$AB$5)^($A59/4))&gt;0)*('2. The tape'!$C$5:$C$13*'2. The tape'!$D$5:$D$13*(1-'2. The tape'!$J$5:$J$13)^($A59/4)*(1+$AB$5)^($A59/4)*((1-'3. Assumptions'!$B$13)/($AB$6)-'2. The tape'!$H$5:$H$13/12-'3. Assumptions'!$B$16)-'2. The tape'!$C$5:$C$13*'2. The tape'!$I$5:$I$13*(1+$AB$5)^($A59/4)))</f>
        <v>45702481.5001395</v>
      </c>
      <c r="AD59" s="33" t="n">
        <f aca="false">'2. The tape'!$C$17*(1+MIN(MAX($AD$5,'3. Assumptions'!$B$11),'3. Assumptions'!$B$10))^INT(($A59-1)/4)/4*(1-'3. Assumptions'!$B$13)</f>
        <v>2998091.25</v>
      </c>
      <c r="AE59" s="33" t="n">
        <f aca="false">(1-'3. Assumptions'!$B$15)*SUMPRODUCT((('2. The tape'!$C$5:$C$13*'2. The tape'!$D$5:$D$13*(1-'2. The tape'!$J$5:$J$13)^($A59/4)*(1+$AD$5)^($A59/4)*((1-'3. Assumptions'!$B$13)/($AD$6)-'2. The tape'!$H$5:$H$13/12-'3. Assumptions'!$B$16)-'2. The tape'!$C$5:$C$13*'2. The tape'!$I$5:$I$13*(1+$AD$5)^($A59/4))&gt;0)*('2. The tape'!$C$5:$C$13*'2. The tape'!$D$5:$D$13*(1-'2. The tape'!$J$5:$J$13)^($A59/4)*(1+$AD$5)^($A59/4)*((1-'3. Assumptions'!$B$13)/($AD$6)-'2. The tape'!$H$5:$H$13/12-'3. Assumptions'!$B$16)-'2. The tape'!$C$5:$C$13*'2. The tape'!$I$5:$I$13*(1+$AD$5)^($A59/4)))</f>
        <v>45702481.5001395</v>
      </c>
      <c r="AF59" s="33" t="n">
        <f aca="false">'2. The tape'!$C$17*(1+MIN(MAX($AF$5,'3. Assumptions'!$B$11),'3. Assumptions'!$B$10))^INT(($A59-1)/4)/4*(1-'3. Assumptions'!$B$13)</f>
        <v>2998091.25</v>
      </c>
      <c r="AG59" s="33" t="n">
        <f aca="false">(1-'3. Assumptions'!$B$15)*SUMPRODUCT((('2. The tape'!$C$5:$C$13*'2. The tape'!$D$5:$D$13*(1-'2. The tape'!$J$5:$J$13)^($A59/4)*(1+$AF$5)^($A59/4)*((1-'3. Assumptions'!$B$13)/($AF$6)-'2. The tape'!$H$5:$H$13/12-'3. Assumptions'!$B$16)-'2. The tape'!$C$5:$C$13*'2. The tape'!$I$5:$I$13*(1+$AF$5)^($A59/4))&gt;0)*('2. The tape'!$C$5:$C$13*'2. The tape'!$D$5:$D$13*(1-'2. The tape'!$J$5:$J$13)^($A59/4)*(1+$AF$5)^($A59/4)*((1-'3. Assumptions'!$B$13)/($AF$6)-'2. The tape'!$H$5:$H$13/12-'3. Assumptions'!$B$16)-'2. The tape'!$C$5:$C$13*'2. The tape'!$I$5:$I$13*(1+$AF$5)^($A59/4)))</f>
        <v>45702481.5001395</v>
      </c>
      <c r="AH59" s="33" t="n">
        <f aca="false">'2. The tape'!$C$17*(1+MIN(MAX($AH$5,'3. Assumptions'!$B$11),'3. Assumptions'!$B$10))^INT(($A59-1)/4)/4*(1-'3. Assumptions'!$B$13)</f>
        <v>3726952.04683761</v>
      </c>
      <c r="AI59" s="33" t="n">
        <f aca="false">(1-'3. Assumptions'!$B$15)*SUMPRODUCT((('2. The tape'!$C$5:$C$13*'2. The tape'!$D$5:$D$13*(1-'2. The tape'!$J$5:$J$13)^($A59/4)*(1+$AH$5)^($A59/4)*((1-'3. Assumptions'!$B$13)/($AH$6)-'2. The tape'!$H$5:$H$13/12-'3. Assumptions'!$B$16)-'2. The tape'!$C$5:$C$13*'2. The tape'!$I$5:$I$13*(1+$AH$5)^($A59/4))&gt;0)*('2. The tape'!$C$5:$C$13*'2. The tape'!$D$5:$D$13*(1-'2. The tape'!$J$5:$J$13)^($A59/4)*(1+$AH$5)^($A59/4)*((1-'3. Assumptions'!$B$13)/($AH$6)-'2. The tape'!$H$5:$H$13/12-'3. Assumptions'!$B$16)-'2. The tape'!$C$5:$C$13*'2. The tape'!$I$5:$I$13*(1+$AH$5)^($A59/4)))</f>
        <v>154510225.575379</v>
      </c>
      <c r="AJ59" s="33" t="n">
        <f aca="false">'2. The tape'!$C$17*(1+MIN(MAX($AJ$5,'3. Assumptions'!$B$11),'3. Assumptions'!$B$10))^INT(($A59-1)/4)/4*(1-'3. Assumptions'!$B$13)</f>
        <v>3726952.04683761</v>
      </c>
      <c r="AK59" s="33" t="n">
        <f aca="false">(1-'3. Assumptions'!$B$15)*SUMPRODUCT((('2. The tape'!$C$5:$C$13*'2. The tape'!$D$5:$D$13*(1-'2. The tape'!$J$5:$J$13)^($A59/4)*(1+$AJ$5)^($A59/4)*((1-'3. Assumptions'!$B$13)/($AJ$6)-'2. The tape'!$H$5:$H$13/12-'3. Assumptions'!$B$16)-'2. The tape'!$C$5:$C$13*'2. The tape'!$I$5:$I$13*(1+$AJ$5)^($A59/4))&gt;0)*('2. The tape'!$C$5:$C$13*'2. The tape'!$D$5:$D$13*(1-'2. The tape'!$J$5:$J$13)^($A59/4)*(1+$AJ$5)^($A59/4)*((1-'3. Assumptions'!$B$13)/($AJ$6)-'2. The tape'!$H$5:$H$13/12-'3. Assumptions'!$B$16)-'2. The tape'!$C$5:$C$13*'2. The tape'!$I$5:$I$13*(1+$AJ$5)^($A59/4)))</f>
        <v>111499414.902893</v>
      </c>
      <c r="AL59" s="33" t="n">
        <f aca="false">'2. The tape'!$C$17*(1+MIN(MAX($AL$5,'3. Assumptions'!$B$11),'3. Assumptions'!$B$10))^INT(($A59-1)/4)/4*(1-'3. Assumptions'!$B$13)</f>
        <v>3726952.04683761</v>
      </c>
      <c r="AM59" s="33" t="n">
        <f aca="false">(1-'3. Assumptions'!$B$15)*SUMPRODUCT((('2. The tape'!$C$5:$C$13*'2. The tape'!$D$5:$D$13*(1-'2. The tape'!$J$5:$J$13)^($A59/4)*(1+$AL$5)^($A59/4)*((1-'3. Assumptions'!$B$13)/($AL$6)-'2. The tape'!$H$5:$H$13/12-'3. Assumptions'!$B$16)-'2. The tape'!$C$5:$C$13*'2. The tape'!$I$5:$I$13*(1+$AL$5)^($A59/4))&gt;0)*('2. The tape'!$C$5:$C$13*'2. The tape'!$D$5:$D$13*(1-'2. The tape'!$J$5:$J$13)^($A59/4)*(1+$AL$5)^($A59/4)*((1-'3. Assumptions'!$B$13)/($AL$6)-'2. The tape'!$H$5:$H$13/12-'3. Assumptions'!$B$16)-'2. The tape'!$C$5:$C$13*'2. The tape'!$I$5:$I$13*(1+$AL$5)^($A59/4)))</f>
        <v>128180876.099289</v>
      </c>
      <c r="AN59" s="33" t="n">
        <f aca="false">'2. The tape'!$C$17*(1+MIN(MAX($AN$5,'3. Assumptions'!$B$11),'3. Assumptions'!$B$10))^INT(($A59-1)/4)/4*(1-'3. Assumptions'!$B$13)</f>
        <v>3726952.04683761</v>
      </c>
      <c r="AO59" s="33" t="n">
        <f aca="false">(1-'3. Assumptions'!$B$15)*SUMPRODUCT((('2. The tape'!$C$5:$C$13*'2. The tape'!$D$5:$D$13*(1-'2. The tape'!$J$5:$J$13)^($A59/4)*(1+$AN$5)^($A59/4)*((1-'3. Assumptions'!$B$13)/($AN$6)-'2. The tape'!$H$5:$H$13/12-'3. Assumptions'!$B$16)-'2. The tape'!$C$5:$C$13*'2. The tape'!$I$5:$I$13*(1+$AN$5)^($A59/4))&gt;0)*('2. The tape'!$C$5:$C$13*'2. The tape'!$D$5:$D$13*(1-'2. The tape'!$J$5:$J$13)^($A59/4)*(1+$AN$5)^($A59/4)*((1-'3. Assumptions'!$B$13)/($AN$6)-'2. The tape'!$H$5:$H$13/12-'3. Assumptions'!$B$16)-'2. The tape'!$C$5:$C$13*'2. The tape'!$I$5:$I$13*(1+$AN$5)^($A59/4)))</f>
        <v>131304157.908904</v>
      </c>
      <c r="AP59" s="33" t="n">
        <f aca="false">'2. The tape'!$C$17*(1+MIN(MAX($AP$5,'3. Assumptions'!$B$11),'3. Assumptions'!$B$10))^INT(($A59-1)/4)/4*(1-'3. Assumptions'!$B$13)</f>
        <v>3726952.04683761</v>
      </c>
      <c r="AQ59" s="33" t="n">
        <f aca="false">(1-'3. Assumptions'!$B$15)*SUMPRODUCT((('2. The tape'!$C$5:$C$13*'2. The tape'!$D$5:$D$13*(1-'2. The tape'!$J$5:$J$13)^($A59/4)*(1+$AP$5)^($A59/4)*((1-'3. Assumptions'!$B$13)/($AP$6)-'2. The tape'!$H$5:$H$13/12-'3. Assumptions'!$B$16)-'2. The tape'!$C$5:$C$13*'2. The tape'!$I$5:$I$13*(1+$AP$5)^($A59/4))&gt;0)*('2. The tape'!$C$5:$C$13*'2. The tape'!$D$5:$D$13*(1-'2. The tape'!$J$5:$J$13)^($A59/4)*(1+$AP$5)^($A59/4)*((1-'3. Assumptions'!$B$13)/($AP$6)-'2. The tape'!$H$5:$H$13/12-'3. Assumptions'!$B$16)-'2. The tape'!$C$5:$C$13*'2. The tape'!$I$5:$I$13*(1+$AP$5)^($A59/4)))</f>
        <v>130918595.178599</v>
      </c>
      <c r="AR59" s="33" t="n">
        <f aca="false">'2. The tape'!$C$17*(1+MIN(MAX($AR$5,'3. Assumptions'!$B$11),'3. Assumptions'!$B$10))^INT(($A59-1)/4)/4*(1-'3. Assumptions'!$B$13)</f>
        <v>3726952.04683761</v>
      </c>
      <c r="AS59" s="33" t="n">
        <f aca="false">(1-'3. Assumptions'!$B$15)*SUMPRODUCT((('2. The tape'!$C$5:$C$13*'2. The tape'!$D$5:$D$13*(1-'2. The tape'!$J$5:$J$13)^($A59/4)*(1+$AR$5)^($A59/4)*((1-'3. Assumptions'!$B$13)/($AR$6)-'2. The tape'!$H$5:$H$13/12-'3. Assumptions'!$B$16)-'2. The tape'!$C$5:$C$13*'2. The tape'!$I$5:$I$13*(1+$AR$5)^($A59/4))&gt;0)*('2. The tape'!$C$5:$C$13*'2. The tape'!$D$5:$D$13*(1-'2. The tape'!$J$5:$J$13)^($A59/4)*(1+$AR$5)^($A59/4)*((1-'3. Assumptions'!$B$13)/($AR$6)-'2. The tape'!$H$5:$H$13/12-'3. Assumptions'!$B$16)-'2. The tape'!$C$5:$C$13*'2. The tape'!$I$5:$I$13*(1+$AR$5)^($A59/4)))</f>
        <v>130925064.368953</v>
      </c>
      <c r="AT59" s="33" t="n">
        <f aca="false">'2. The tape'!$C$17*(1+MIN(MAX($AT$5,'3. Assumptions'!$B$11),'3. Assumptions'!$B$10))^INT(($A59-1)/4)/4*(1-'3. Assumptions'!$B$13)</f>
        <v>3726952.04683761</v>
      </c>
      <c r="AU59" s="33" t="n">
        <f aca="false">(1-'3. Assumptions'!$B$15)*SUMPRODUCT((('2. The tape'!$C$5:$C$13*'2. The tape'!$D$5:$D$13*(1-'2. The tape'!$J$5:$J$13)^($A59/4)*(1+$AT$5)^($A59/4)*((1-'3. Assumptions'!$B$13)/($AT$6)-'2. The tape'!$H$5:$H$13/12-'3. Assumptions'!$B$16)-'2. The tape'!$C$5:$C$13*'2. The tape'!$I$5:$I$13*(1+$AT$5)^($A59/4))&gt;0)*('2. The tape'!$C$5:$C$13*'2. The tape'!$D$5:$D$13*(1-'2. The tape'!$J$5:$J$13)^($A59/4)*(1+$AT$5)^($A59/4)*((1-'3. Assumptions'!$B$13)/($AT$6)-'2. The tape'!$H$5:$H$13/12-'3. Assumptions'!$B$16)-'2. The tape'!$C$5:$C$13*'2. The tape'!$I$5:$I$13*(1+$AT$5)^($A59/4)))</f>
        <v>130925079.43407</v>
      </c>
      <c r="AV59" s="33" t="n">
        <f aca="false">'2. The tape'!$C$17*(1+MIN(MAX($AV$5,'3. Assumptions'!$B$11),'3. Assumptions'!$B$10))^INT(($A59-1)/4)/4*(1-'3. Assumptions'!$B$13)</f>
        <v>3726952.04683761</v>
      </c>
      <c r="AW59" s="33" t="n">
        <f aca="false">(1-'3. Assumptions'!$B$15)*SUMPRODUCT((('2. The tape'!$C$5:$C$13*'2. The tape'!$D$5:$D$13*(1-'2. The tape'!$J$5:$J$13)^($A59/4)*(1+$AV$5)^($A59/4)*((1-'3. Assumptions'!$B$13)/($AV$6)-'2. The tape'!$H$5:$H$13/12-'3. Assumptions'!$B$16)-'2. The tape'!$C$5:$C$13*'2. The tape'!$I$5:$I$13*(1+$AV$5)^($A59/4))&gt;0)*('2. The tape'!$C$5:$C$13*'2. The tape'!$D$5:$D$13*(1-'2. The tape'!$J$5:$J$13)^($A59/4)*(1+$AV$5)^($A59/4)*((1-'3. Assumptions'!$B$13)/($AV$6)-'2. The tape'!$H$5:$H$13/12-'3. Assumptions'!$B$16)-'2. The tape'!$C$5:$C$13*'2. The tape'!$I$5:$I$13*(1+$AV$5)^($A59/4)))</f>
        <v>130925079.43347</v>
      </c>
      <c r="AX59" s="33" t="n">
        <f aca="false">'2. The tape'!$C$17*(1+MIN(MAX($AX$5,'3. Assumptions'!$B$11),'3. Assumptions'!$B$10))^INT(($A59-1)/4)/4*(1-'3. Assumptions'!$B$13)</f>
        <v>3726952.04683761</v>
      </c>
      <c r="AY59" s="33" t="n">
        <f aca="false">(1-'3. Assumptions'!$B$15)*SUMPRODUCT((('2. The tape'!$C$5:$C$13*'2. The tape'!$D$5:$D$13*(1-'2. The tape'!$J$5:$J$13)^($A59/4)*(1+$AX$5)^($A59/4)*((1-'3. Assumptions'!$B$13)/($AX$6)-'2. The tape'!$H$5:$H$13/12-'3. Assumptions'!$B$16)-'2. The tape'!$C$5:$C$13*'2. The tape'!$I$5:$I$13*(1+$AX$5)^($A59/4))&gt;0)*('2. The tape'!$C$5:$C$13*'2. The tape'!$D$5:$D$13*(1-'2. The tape'!$J$5:$J$13)^($A59/4)*(1+$AX$5)^($A59/4)*((1-'3. Assumptions'!$B$13)/($AX$6)-'2. The tape'!$H$5:$H$13/12-'3. Assumptions'!$B$16)-'2. The tape'!$C$5:$C$13*'2. The tape'!$I$5:$I$13*(1+$AX$5)^($A59/4)))</f>
        <v>130925079.43347</v>
      </c>
      <c r="AZ59" s="33" t="n">
        <f aca="false">'2. The tape'!$C$17*(1+MIN(MAX($AZ$5,'3. Assumptions'!$B$11),'3. Assumptions'!$B$10))^INT(($A59-1)/4)/4*(1-'3. Assumptions'!$B$13)</f>
        <v>3726952.04683761</v>
      </c>
      <c r="BA59" s="33" t="n">
        <f aca="false">(1-'3. Assumptions'!$B$15)*SUMPRODUCT((('2. The tape'!$C$5:$C$13*'2. The tape'!$D$5:$D$13*(1-'2. The tape'!$J$5:$J$13)^($A59/4)*(1+$AZ$5)^($A59/4)*((1-'3. Assumptions'!$B$13)/($AZ$6)-'2. The tape'!$H$5:$H$13/12-'3. Assumptions'!$B$16)-'2. The tape'!$C$5:$C$13*'2. The tape'!$I$5:$I$13*(1+$AZ$5)^($A59/4))&gt;0)*('2. The tape'!$C$5:$C$13*'2. The tape'!$D$5:$D$13*(1-'2. The tape'!$J$5:$J$13)^($A59/4)*(1+$AZ$5)^($A59/4)*((1-'3. Assumptions'!$B$13)/($AZ$6)-'2. The tape'!$H$5:$H$13/12-'3. Assumptions'!$B$16)-'2. The tape'!$C$5:$C$13*'2. The tape'!$I$5:$I$13*(1+$AZ$5)^($A59/4)))</f>
        <v>130925079.43347</v>
      </c>
    </row>
    <row r="60" customFormat="false" ht="15" hidden="false" customHeight="false" outlineLevel="0" collapsed="false">
      <c r="A60" s="20" t="n">
        <v>45</v>
      </c>
      <c r="B60" s="33" t="n">
        <f aca="false">'2. The tape'!$C$17*(1+MIN(MAX($B$5,'3. Assumptions'!$B$11),'3. Assumptions'!$B$10))^INT(($A60-1)/4)/4*(1-'3. Assumptions'!$B$13)</f>
        <v>3808944.99186804</v>
      </c>
      <c r="C60" s="33" t="n">
        <f aca="false">(1-'3. Assumptions'!$B$15)*SUMPRODUCT((('2. The tape'!$C$5:$C$13*'2. The tape'!$D$5:$D$13*(1-'2. The tape'!$J$5:$J$13)^($A60/4)*(1+$B$5)^($A60/4)*((1-'3. Assumptions'!$B$13)/($B$6)-'2. The tape'!$H$5:$H$13/12-'3. Assumptions'!$B$16)-'2. The tape'!$C$5:$C$13*'2. The tape'!$I$5:$I$13*(1+$B$5)^($A60/4))&gt;0)*('2. The tape'!$C$5:$C$13*'2. The tape'!$D$5:$D$13*(1-'2. The tape'!$J$5:$J$13)^($A60/4)*(1+$B$5)^($A60/4)*((1-'3. Assumptions'!$B$13)/($B$6)-'2. The tape'!$H$5:$H$13/12-'3. Assumptions'!$B$16)-'2. The tape'!$C$5:$C$13*'2. The tape'!$I$5:$I$13*(1+$B$5)^($A60/4)))</f>
        <v>77665847.9524587</v>
      </c>
      <c r="D60" s="33" t="n">
        <f aca="false">'2. The tape'!$C$17*(1+MIN(MAX($D$5,'3. Assumptions'!$B$11),'3. Assumptions'!$B$10))^INT(($A60-1)/4)/4*(1-'3. Assumptions'!$B$13)</f>
        <v>4150059.45577259</v>
      </c>
      <c r="E60" s="33" t="n">
        <f aca="false">(1-'3. Assumptions'!$B$15)*SUMPRODUCT((('2. The tape'!$C$5:$C$13*'2. The tape'!$D$5:$D$13*(1-'2. The tape'!$J$5:$J$13)^($A60/4)*(1+$D$5)^($A60/4)*((1-'3. Assumptions'!$B$13)/($D$6)-'2. The tape'!$H$5:$H$13/12-'3. Assumptions'!$B$16)-'2. The tape'!$C$5:$C$13*'2. The tape'!$I$5:$I$13*(1+$D$5)^($A60/4))&gt;0)*('2. The tape'!$C$5:$C$13*'2. The tape'!$D$5:$D$13*(1-'2. The tape'!$J$5:$J$13)^($A60/4)*(1+$D$5)^($A60/4)*((1-'3. Assumptions'!$B$13)/($D$6)-'2. The tape'!$H$5:$H$13/12-'3. Assumptions'!$B$16)-'2. The tape'!$C$5:$C$13*'2. The tape'!$I$5:$I$13*(1+$D$5)^($A60/4)))</f>
        <v>89533682.1616385</v>
      </c>
      <c r="F60" s="33" t="n">
        <f aca="false">'2. The tape'!$C$17*(1+MIN(MAX($F$5,'3. Assumptions'!$B$11),'3. Assumptions'!$B$10))^INT(($A60-1)/4)/4*(1-'3. Assumptions'!$B$13)</f>
        <v>3344875.50803925</v>
      </c>
      <c r="G60" s="33" t="n">
        <f aca="false">(1-'3. Assumptions'!$B$15)*SUMPRODUCT((('2. The tape'!$C$5:$C$13*'2. The tape'!$D$5:$D$13*(1-'2. The tape'!$J$5:$J$13)^($A60/4)*(1+$F$5)^($A60/4)*((1-'3. Assumptions'!$B$13)/($F$6)-'2. The tape'!$H$5:$H$13/12-'3. Assumptions'!$B$16)-'2. The tape'!$C$5:$C$13*'2. The tape'!$I$5:$I$13*(1+$F$5)^($A60/4))&gt;0)*('2. The tape'!$C$5:$C$13*'2. The tape'!$D$5:$D$13*(1-'2. The tape'!$J$5:$J$13)^($A60/4)*(1+$F$5)^($A60/4)*((1-'3. Assumptions'!$B$13)/($F$6)-'2. The tape'!$H$5:$H$13/12-'3. Assumptions'!$B$16)-'2. The tape'!$C$5:$C$13*'2. The tape'!$I$5:$I$13*(1+$F$5)^($A60/4)))</f>
        <v>68002200.3685423</v>
      </c>
      <c r="H60" s="33" t="n">
        <f aca="false">'2. The tape'!$C$17*(1+MIN(MAX($H$5,'3. Assumptions'!$B$11),'3. Assumptions'!$B$10))^INT(($A60-1)/4)/4*(1-'3. Assumptions'!$B$13)</f>
        <v>4150059.45577259</v>
      </c>
      <c r="I60" s="33" t="n">
        <f aca="false">(1-'3. Assumptions'!$B$15)*SUMPRODUCT((('2. The tape'!$C$5:$C$13*'2. The tape'!$D$5:$D$13*(1-'2. The tape'!$J$5:$J$13)^($A60/4)*(1+$H$5)^($A60/4)*((1-'3. Assumptions'!$B$13)/($H$6)-'2. The tape'!$H$5:$H$13/12-'3. Assumptions'!$B$16)-'2. The tape'!$C$5:$C$13*'2. The tape'!$I$5:$I$13*(1+$H$5)^($A60/4))&gt;0)*('2. The tape'!$C$5:$C$13*'2. The tape'!$D$5:$D$13*(1-'2. The tape'!$J$5:$J$13)^($A60/4)*(1+$H$5)^($A60/4)*((1-'3. Assumptions'!$B$13)/($H$6)-'2. The tape'!$H$5:$H$13/12-'3. Assumptions'!$B$16)-'2. The tape'!$C$5:$C$13*'2. The tape'!$I$5:$I$13*(1+$H$5)^($A60/4)))</f>
        <v>89533682.1616385</v>
      </c>
      <c r="J60" s="33" t="n">
        <f aca="false">'2. The tape'!$C$17*(1+MIN(MAX($J$5,'3. Assumptions'!$B$11),'3. Assumptions'!$B$10))^INT(($A60-1)/4)/4*(1-'3. Assumptions'!$B$13)</f>
        <v>3808944.99186804</v>
      </c>
      <c r="K60" s="33" t="n">
        <f aca="false">(1-'3. Assumptions'!$B$15)*SUMPRODUCT((('2. The tape'!$C$5:$C$13*'2. The tape'!$D$5:$D$13*(1-'2. The tape'!$J$5:$J$13)^($A60/4)*(1+$J$5)^($A60/4)*((1-'3. Assumptions'!$B$13)/($J$6)-'2. The tape'!$H$5:$H$13/12-'3. Assumptions'!$B$16)-'2. The tape'!$C$5:$C$13*'2. The tape'!$I$5:$I$13*(1+$J$5)^($A60/4))&gt;0)*('2. The tape'!$C$5:$C$13*'2. The tape'!$D$5:$D$13*(1-'2. The tape'!$J$5:$J$13)^($A60/4)*(1+$J$5)^($A60/4)*((1-'3. Assumptions'!$B$13)/($J$6)-'2. The tape'!$H$5:$H$13/12-'3. Assumptions'!$B$16)-'2. The tape'!$C$5:$C$13*'2. The tape'!$I$5:$I$13*(1+$J$5)^($A60/4)))</f>
        <v>63610775.5743688</v>
      </c>
      <c r="L60" s="33" t="n">
        <f aca="false">'2. The tape'!$C$17*(1+MIN(MAX($L$5,'3. Assumptions'!$B$11),'3. Assumptions'!$B$10))^INT(($A60-1)/4)/4*(1-'3. Assumptions'!$B$13)</f>
        <v>4150059.45577259</v>
      </c>
      <c r="M60" s="33" t="n">
        <f aca="false">(1-'3. Assumptions'!$B$15)*SUMPRODUCT((('2. The tape'!$C$5:$C$13*'2. The tape'!$D$5:$D$13*(1-'2. The tape'!$J$5:$J$13)^($A60/4)*(1+$L$5)^($A60/4)*((1-'3. Assumptions'!$B$13)/($L$6)-'2. The tape'!$H$5:$H$13/12-'3. Assumptions'!$B$16)-'2. The tape'!$C$5:$C$13*'2. The tape'!$I$5:$I$13*(1+$L$5)^($A60/4))&gt;0)*('2. The tape'!$C$5:$C$13*'2. The tape'!$D$5:$D$13*(1-'2. The tape'!$J$5:$J$13)^($A60/4)*(1+$L$5)^($A60/4)*((1-'3. Assumptions'!$B$13)/($L$6)-'2. The tape'!$H$5:$H$13/12-'3. Assumptions'!$B$16)-'2. The tape'!$C$5:$C$13*'2. The tape'!$I$5:$I$13*(1+$L$5)^($A60/4)))</f>
        <v>1163510277.74386</v>
      </c>
      <c r="N60" s="33" t="n">
        <f aca="false">'2. The tape'!$C$17*(1+MIN(MAX($N$5,'3. Assumptions'!$B$11),'3. Assumptions'!$B$10))^INT(($A60-1)/4)/4*(1-'3. Assumptions'!$B$13)</f>
        <v>2998091.25</v>
      </c>
      <c r="O60" s="33" t="n">
        <f aca="false">(1-'3. Assumptions'!$B$15)*SUMPRODUCT((('2. The tape'!$C$5:$C$13*'2. The tape'!$D$5:$D$13*(1-'2. The tape'!$J$5:$J$13)^($A60/4)*(1+$N$5)^($A60/4)*((1-'3. Assumptions'!$B$13)/($N$6)-'2. The tape'!$H$5:$H$13/12-'3. Assumptions'!$B$16)-'2. The tape'!$C$5:$C$13*'2. The tape'!$I$5:$I$13*(1+$N$5)^($A60/4))&gt;0)*('2. The tape'!$C$5:$C$13*'2. The tape'!$D$5:$D$13*(1-'2. The tape'!$J$5:$J$13)^($A60/4)*(1+$N$5)^($A60/4)*((1-'3. Assumptions'!$B$13)/($N$6)-'2. The tape'!$H$5:$H$13/12-'3. Assumptions'!$B$16)-'2. The tape'!$C$5:$C$13*'2. The tape'!$I$5:$I$13*(1+$N$5)^($A60/4)))</f>
        <v>43160803.4879561</v>
      </c>
      <c r="P60" s="33" t="n">
        <f aca="false">'2. The tape'!$C$17*(1+MIN(MAX($P$5,'3. Assumptions'!$B$11),'3. Assumptions'!$B$10))^INT(($A60-1)/4)/4*(1-'3. Assumptions'!$B$13)</f>
        <v>2998091.25</v>
      </c>
      <c r="Q60" s="33" t="n">
        <f aca="false">(1-'3. Assumptions'!$B$15)*SUMPRODUCT((('2. The tape'!$C$5:$C$13*'2. The tape'!$D$5:$D$13*(1-'2. The tape'!$J$5:$J$13)^($A60/4)*(1+$P$5)^($A60/4)*((1-'3. Assumptions'!$B$13)/($P$6)-'2. The tape'!$H$5:$H$13/12-'3. Assumptions'!$B$16)-'2. The tape'!$C$5:$C$13*'2. The tape'!$I$5:$I$13*(1+$P$5)^($A60/4))&gt;0)*('2. The tape'!$C$5:$C$13*'2. The tape'!$D$5:$D$13*(1-'2. The tape'!$J$5:$J$13)^($A60/4)*(1+$P$5)^($A60/4)*((1-'3. Assumptions'!$B$13)/($P$6)-'2. The tape'!$H$5:$H$13/12-'3. Assumptions'!$B$16)-'2. The tape'!$C$5:$C$13*'2. The tape'!$I$5:$I$13*(1+$P$5)^($A60/4)))</f>
        <v>48439635.0015368</v>
      </c>
      <c r="R60" s="33" t="n">
        <f aca="false">'2. The tape'!$C$17*(1+MIN(MAX($R$5,'3. Assumptions'!$B$11),'3. Assumptions'!$B$10))^INT(($A60-1)/4)/4*(1-'3. Assumptions'!$B$13)</f>
        <v>2998091.25</v>
      </c>
      <c r="S60" s="33" t="n">
        <f aca="false">(1-'3. Assumptions'!$B$15)*SUMPRODUCT((('2. The tape'!$C$5:$C$13*'2. The tape'!$D$5:$D$13*(1-'2. The tape'!$J$5:$J$13)^($A60/4)*(1+$R$5)^($A60/4)*((1-'3. Assumptions'!$B$13)/($R$6)-'2. The tape'!$H$5:$H$13/12-'3. Assumptions'!$B$16)-'2. The tape'!$C$5:$C$13*'2. The tape'!$I$5:$I$13*(1+$R$5)^($A60/4))&gt;0)*('2. The tape'!$C$5:$C$13*'2. The tape'!$D$5:$D$13*(1-'2. The tape'!$J$5:$J$13)^($A60/4)*(1+$R$5)^($A60/4)*((1-'3. Assumptions'!$B$13)/($R$6)-'2. The tape'!$H$5:$H$13/12-'3. Assumptions'!$B$16)-'2. The tape'!$C$5:$C$13*'2. The tape'!$I$5:$I$13*(1+$R$5)^($A60/4)))</f>
        <v>45178038.8814282</v>
      </c>
      <c r="T60" s="33" t="n">
        <f aca="false">'2. The tape'!$C$17*(1+MIN(MAX($T$5,'3. Assumptions'!$B$11),'3. Assumptions'!$B$10))^INT(($A60-1)/4)/4*(1-'3. Assumptions'!$B$13)</f>
        <v>2998091.25</v>
      </c>
      <c r="U60" s="33" t="n">
        <f aca="false">(1-'3. Assumptions'!$B$15)*SUMPRODUCT((('2. The tape'!$C$5:$C$13*'2. The tape'!$D$5:$D$13*(1-'2. The tape'!$J$5:$J$13)^($A60/4)*(1+$T$5)^($A60/4)*((1-'3. Assumptions'!$B$13)/($T$6)-'2. The tape'!$H$5:$H$13/12-'3. Assumptions'!$B$16)-'2. The tape'!$C$5:$C$13*'2. The tape'!$I$5:$I$13*(1+$T$5)^($A60/4))&gt;0)*('2. The tape'!$C$5:$C$13*'2. The tape'!$D$5:$D$13*(1-'2. The tape'!$J$5:$J$13)^($A60/4)*(1+$T$5)^($A60/4)*((1-'3. Assumptions'!$B$13)/($T$6)-'2. The tape'!$H$5:$H$13/12-'3. Assumptions'!$B$16)-'2. The tape'!$C$5:$C$13*'2. The tape'!$I$5:$I$13*(1+$T$5)^($A60/4)))</f>
        <v>45092427.7747463</v>
      </c>
      <c r="V60" s="33" t="n">
        <f aca="false">'2. The tape'!$C$17*(1+MIN(MAX($V$5,'3. Assumptions'!$B$11),'3. Assumptions'!$B$10))^INT(($A60-1)/4)/4*(1-'3. Assumptions'!$B$13)</f>
        <v>2998091.25</v>
      </c>
      <c r="W60" s="33" t="n">
        <f aca="false">(1-'3. Assumptions'!$B$15)*SUMPRODUCT((('2. The tape'!$C$5:$C$13*'2. The tape'!$D$5:$D$13*(1-'2. The tape'!$J$5:$J$13)^($A60/4)*(1+$V$5)^($A60/4)*((1-'3. Assumptions'!$B$13)/($V$6)-'2. The tape'!$H$5:$H$13/12-'3. Assumptions'!$B$16)-'2. The tape'!$C$5:$C$13*'2. The tape'!$I$5:$I$13*(1+$V$5)^($A60/4))&gt;0)*('2. The tape'!$C$5:$C$13*'2. The tape'!$D$5:$D$13*(1-'2. The tape'!$J$5:$J$13)^($A60/4)*(1+$V$5)^($A60/4)*((1-'3. Assumptions'!$B$13)/($V$6)-'2. The tape'!$H$5:$H$13/12-'3. Assumptions'!$B$16)-'2. The tape'!$C$5:$C$13*'2. The tape'!$I$5:$I$13*(1+$V$5)^($A60/4)))</f>
        <v>45095864.69462</v>
      </c>
      <c r="X60" s="33" t="n">
        <f aca="false">'2. The tape'!$C$17*(1+MIN(MAX($X$5,'3. Assumptions'!$B$11),'3. Assumptions'!$B$10))^INT(($A60-1)/4)/4*(1-'3. Assumptions'!$B$13)</f>
        <v>2998091.25</v>
      </c>
      <c r="Y60" s="33" t="n">
        <f aca="false">(1-'3. Assumptions'!$B$15)*SUMPRODUCT((('2. The tape'!$C$5:$C$13*'2. The tape'!$D$5:$D$13*(1-'2. The tape'!$J$5:$J$13)^($A60/4)*(1+$X$5)^($A60/4)*((1-'3. Assumptions'!$B$13)/($X$6)-'2. The tape'!$H$5:$H$13/12-'3. Assumptions'!$B$16)-'2. The tape'!$C$5:$C$13*'2. The tape'!$I$5:$I$13*(1+$X$5)^($A60/4))&gt;0)*('2. The tape'!$C$5:$C$13*'2. The tape'!$D$5:$D$13*(1-'2. The tape'!$J$5:$J$13)^($A60/4)*(1+$X$5)^($A60/4)*((1-'3. Assumptions'!$B$13)/($X$6)-'2. The tape'!$H$5:$H$13/12-'3. Assumptions'!$B$16)-'2. The tape'!$C$5:$C$13*'2. The tape'!$I$5:$I$13*(1+$X$5)^($A60/4)))</f>
        <v>45095861.0803596</v>
      </c>
      <c r="Z60" s="33" t="n">
        <f aca="false">'2. The tape'!$C$17*(1+MIN(MAX($Z$5,'3. Assumptions'!$B$11),'3. Assumptions'!$B$10))^INT(($A60-1)/4)/4*(1-'3. Assumptions'!$B$13)</f>
        <v>2998091.25</v>
      </c>
      <c r="AA60" s="33" t="n">
        <f aca="false">(1-'3. Assumptions'!$B$15)*SUMPRODUCT((('2. The tape'!$C$5:$C$13*'2. The tape'!$D$5:$D$13*(1-'2. The tape'!$J$5:$J$13)^($A60/4)*(1+$Z$5)^($A60/4)*((1-'3. Assumptions'!$B$13)/($Z$6)-'2. The tape'!$H$5:$H$13/12-'3. Assumptions'!$B$16)-'2. The tape'!$C$5:$C$13*'2. The tape'!$I$5:$I$13*(1+$Z$5)^($A60/4))&gt;0)*('2. The tape'!$C$5:$C$13*'2. The tape'!$D$5:$D$13*(1-'2. The tape'!$J$5:$J$13)^($A60/4)*(1+$Z$5)^($A60/4)*((1-'3. Assumptions'!$B$13)/($Z$6)-'2. The tape'!$H$5:$H$13/12-'3. Assumptions'!$B$16)-'2. The tape'!$C$5:$C$13*'2. The tape'!$I$5:$I$13*(1+$Z$5)^($A60/4)))</f>
        <v>45095861.0802005</v>
      </c>
      <c r="AB60" s="33" t="n">
        <f aca="false">'2. The tape'!$C$17*(1+MIN(MAX($AB$5,'3. Assumptions'!$B$11),'3. Assumptions'!$B$10))^INT(($A60-1)/4)/4*(1-'3. Assumptions'!$B$13)</f>
        <v>2998091.25</v>
      </c>
      <c r="AC60" s="33" t="n">
        <f aca="false">(1-'3. Assumptions'!$B$15)*SUMPRODUCT((('2. The tape'!$C$5:$C$13*'2. The tape'!$D$5:$D$13*(1-'2. The tape'!$J$5:$J$13)^($A60/4)*(1+$AB$5)^($A60/4)*((1-'3. Assumptions'!$B$13)/($AB$6)-'2. The tape'!$H$5:$H$13/12-'3. Assumptions'!$B$16)-'2. The tape'!$C$5:$C$13*'2. The tape'!$I$5:$I$13*(1+$AB$5)^($A60/4))&gt;0)*('2. The tape'!$C$5:$C$13*'2. The tape'!$D$5:$D$13*(1-'2. The tape'!$J$5:$J$13)^($A60/4)*(1+$AB$5)^($A60/4)*((1-'3. Assumptions'!$B$13)/($AB$6)-'2. The tape'!$H$5:$H$13/12-'3. Assumptions'!$B$16)-'2. The tape'!$C$5:$C$13*'2. The tape'!$I$5:$I$13*(1+$AB$5)^($A60/4)))</f>
        <v>45095861.0802005</v>
      </c>
      <c r="AD60" s="33" t="n">
        <f aca="false">'2. The tape'!$C$17*(1+MIN(MAX($AD$5,'3. Assumptions'!$B$11),'3. Assumptions'!$B$10))^INT(($A60-1)/4)/4*(1-'3. Assumptions'!$B$13)</f>
        <v>2998091.25</v>
      </c>
      <c r="AE60" s="33" t="n">
        <f aca="false">(1-'3. Assumptions'!$B$15)*SUMPRODUCT((('2. The tape'!$C$5:$C$13*'2. The tape'!$D$5:$D$13*(1-'2. The tape'!$J$5:$J$13)^($A60/4)*(1+$AD$5)^($A60/4)*((1-'3. Assumptions'!$B$13)/($AD$6)-'2. The tape'!$H$5:$H$13/12-'3. Assumptions'!$B$16)-'2. The tape'!$C$5:$C$13*'2. The tape'!$I$5:$I$13*(1+$AD$5)^($A60/4))&gt;0)*('2. The tape'!$C$5:$C$13*'2. The tape'!$D$5:$D$13*(1-'2. The tape'!$J$5:$J$13)^($A60/4)*(1+$AD$5)^($A60/4)*((1-'3. Assumptions'!$B$13)/($AD$6)-'2. The tape'!$H$5:$H$13/12-'3. Assumptions'!$B$16)-'2. The tape'!$C$5:$C$13*'2. The tape'!$I$5:$I$13*(1+$AD$5)^($A60/4)))</f>
        <v>45095861.0802005</v>
      </c>
      <c r="AF60" s="33" t="n">
        <f aca="false">'2. The tape'!$C$17*(1+MIN(MAX($AF$5,'3. Assumptions'!$B$11),'3. Assumptions'!$B$10))^INT(($A60-1)/4)/4*(1-'3. Assumptions'!$B$13)</f>
        <v>2998091.25</v>
      </c>
      <c r="AG60" s="33" t="n">
        <f aca="false">(1-'3. Assumptions'!$B$15)*SUMPRODUCT((('2. The tape'!$C$5:$C$13*'2. The tape'!$D$5:$D$13*(1-'2. The tape'!$J$5:$J$13)^($A60/4)*(1+$AF$5)^($A60/4)*((1-'3. Assumptions'!$B$13)/($AF$6)-'2. The tape'!$H$5:$H$13/12-'3. Assumptions'!$B$16)-'2. The tape'!$C$5:$C$13*'2. The tape'!$I$5:$I$13*(1+$AF$5)^($A60/4))&gt;0)*('2. The tape'!$C$5:$C$13*'2. The tape'!$D$5:$D$13*(1-'2. The tape'!$J$5:$J$13)^($A60/4)*(1+$AF$5)^($A60/4)*((1-'3. Assumptions'!$B$13)/($AF$6)-'2. The tape'!$H$5:$H$13/12-'3. Assumptions'!$B$16)-'2. The tape'!$C$5:$C$13*'2. The tape'!$I$5:$I$13*(1+$AF$5)^($A60/4)))</f>
        <v>45095861.0802005</v>
      </c>
      <c r="AH60" s="33" t="n">
        <f aca="false">'2. The tape'!$C$17*(1+MIN(MAX($AH$5,'3. Assumptions'!$B$11),'3. Assumptions'!$B$10))^INT(($A60-1)/4)/4*(1-'3. Assumptions'!$B$13)</f>
        <v>3808944.99186804</v>
      </c>
      <c r="AI60" s="33" t="n">
        <f aca="false">(1-'3. Assumptions'!$B$15)*SUMPRODUCT((('2. The tape'!$C$5:$C$13*'2. The tape'!$D$5:$D$13*(1-'2. The tape'!$J$5:$J$13)^($A60/4)*(1+$AH$5)^($A60/4)*((1-'3. Assumptions'!$B$13)/($AH$6)-'2. The tape'!$H$5:$H$13/12-'3. Assumptions'!$B$16)-'2. The tape'!$C$5:$C$13*'2. The tape'!$I$5:$I$13*(1+$AH$5)^($A60/4))&gt;0)*('2. The tape'!$C$5:$C$13*'2. The tape'!$D$5:$D$13*(1-'2. The tape'!$J$5:$J$13)^($A60/4)*(1+$AH$5)^($A60/4)*((1-'3. Assumptions'!$B$13)/($AH$6)-'2. The tape'!$H$5:$H$13/12-'3. Assumptions'!$B$16)-'2. The tape'!$C$5:$C$13*'2. The tape'!$I$5:$I$13*(1+$AH$5)^($A60/4)))</f>
        <v>154406543.13683</v>
      </c>
      <c r="AJ60" s="33" t="n">
        <f aca="false">'2. The tape'!$C$17*(1+MIN(MAX($AJ$5,'3. Assumptions'!$B$11),'3. Assumptions'!$B$10))^INT(($A60-1)/4)/4*(1-'3. Assumptions'!$B$13)</f>
        <v>3808944.99186804</v>
      </c>
      <c r="AK60" s="33" t="n">
        <f aca="false">(1-'3. Assumptions'!$B$15)*SUMPRODUCT((('2. The tape'!$C$5:$C$13*'2. The tape'!$D$5:$D$13*(1-'2. The tape'!$J$5:$J$13)^($A60/4)*(1+$AJ$5)^($A60/4)*((1-'3. Assumptions'!$B$13)/($AJ$6)-'2. The tape'!$H$5:$H$13/12-'3. Assumptions'!$B$16)-'2. The tape'!$C$5:$C$13*'2. The tape'!$I$5:$I$13*(1+$AJ$5)^($A60/4))&gt;0)*('2. The tape'!$C$5:$C$13*'2. The tape'!$D$5:$D$13*(1-'2. The tape'!$J$5:$J$13)^($A60/4)*(1+$AJ$5)^($A60/4)*((1-'3. Assumptions'!$B$13)/($AJ$6)-'2. The tape'!$H$5:$H$13/12-'3. Assumptions'!$B$16)-'2. The tape'!$C$5:$C$13*'2. The tape'!$I$5:$I$13*(1+$AJ$5)^($A60/4)))</f>
        <v>111398021.659875</v>
      </c>
      <c r="AL60" s="33" t="n">
        <f aca="false">'2. The tape'!$C$17*(1+MIN(MAX($AL$5,'3. Assumptions'!$B$11),'3. Assumptions'!$B$10))^INT(($A60-1)/4)/4*(1-'3. Assumptions'!$B$13)</f>
        <v>3808944.99186804</v>
      </c>
      <c r="AM60" s="33" t="n">
        <f aca="false">(1-'3. Assumptions'!$B$15)*SUMPRODUCT((('2. The tape'!$C$5:$C$13*'2. The tape'!$D$5:$D$13*(1-'2. The tape'!$J$5:$J$13)^($A60/4)*(1+$AL$5)^($A60/4)*((1-'3. Assumptions'!$B$13)/($AL$6)-'2. The tape'!$H$5:$H$13/12-'3. Assumptions'!$B$16)-'2. The tape'!$C$5:$C$13*'2. The tape'!$I$5:$I$13*(1+$AL$5)^($A60/4))&gt;0)*('2. The tape'!$C$5:$C$13*'2. The tape'!$D$5:$D$13*(1-'2. The tape'!$J$5:$J$13)^($A60/4)*(1+$AL$5)^($A60/4)*((1-'3. Assumptions'!$B$13)/($AL$6)-'2. The tape'!$H$5:$H$13/12-'3. Assumptions'!$B$16)-'2. The tape'!$C$5:$C$13*'2. The tape'!$I$5:$I$13*(1+$AL$5)^($A60/4)))</f>
        <v>128078595.006778</v>
      </c>
      <c r="AN60" s="33" t="n">
        <f aca="false">'2. The tape'!$C$17*(1+MIN(MAX($AN$5,'3. Assumptions'!$B$11),'3. Assumptions'!$B$10))^INT(($A60-1)/4)/4*(1-'3. Assumptions'!$B$13)</f>
        <v>3808944.99186804</v>
      </c>
      <c r="AO60" s="33" t="n">
        <f aca="false">(1-'3. Assumptions'!$B$15)*SUMPRODUCT((('2. The tape'!$C$5:$C$13*'2. The tape'!$D$5:$D$13*(1-'2. The tape'!$J$5:$J$13)^($A60/4)*(1+$AN$5)^($A60/4)*((1-'3. Assumptions'!$B$13)/($AN$6)-'2. The tape'!$H$5:$H$13/12-'3. Assumptions'!$B$16)-'2. The tape'!$C$5:$C$13*'2. The tape'!$I$5:$I$13*(1+$AN$5)^($A60/4))&gt;0)*('2. The tape'!$C$5:$C$13*'2. The tape'!$D$5:$D$13*(1-'2. The tape'!$J$5:$J$13)^($A60/4)*(1+$AN$5)^($A60/4)*((1-'3. Assumptions'!$B$13)/($AN$6)-'2. The tape'!$H$5:$H$13/12-'3. Assumptions'!$B$16)-'2. The tape'!$C$5:$C$13*'2. The tape'!$I$5:$I$13*(1+$AN$5)^($A60/4)))</f>
        <v>131201710.583703</v>
      </c>
      <c r="AP60" s="33" t="n">
        <f aca="false">'2. The tape'!$C$17*(1+MIN(MAX($AP$5,'3. Assumptions'!$B$11),'3. Assumptions'!$B$10))^INT(($A60-1)/4)/4*(1-'3. Assumptions'!$B$13)</f>
        <v>3808944.99186804</v>
      </c>
      <c r="AQ60" s="33" t="n">
        <f aca="false">(1-'3. Assumptions'!$B$15)*SUMPRODUCT((('2. The tape'!$C$5:$C$13*'2. The tape'!$D$5:$D$13*(1-'2. The tape'!$J$5:$J$13)^($A60/4)*(1+$AP$5)^($A60/4)*((1-'3. Assumptions'!$B$13)/($AP$6)-'2. The tape'!$H$5:$H$13/12-'3. Assumptions'!$B$16)-'2. The tape'!$C$5:$C$13*'2. The tape'!$I$5:$I$13*(1+$AP$5)^($A60/4))&gt;0)*('2. The tape'!$C$5:$C$13*'2. The tape'!$D$5:$D$13*(1-'2. The tape'!$J$5:$J$13)^($A60/4)*(1+$AP$5)^($A60/4)*((1-'3. Assumptions'!$B$13)/($AP$6)-'2. The tape'!$H$5:$H$13/12-'3. Assumptions'!$B$16)-'2. The tape'!$C$5:$C$13*'2. The tape'!$I$5:$I$13*(1+$AP$5)^($A60/4)))</f>
        <v>130816168.374483</v>
      </c>
      <c r="AR60" s="33" t="n">
        <f aca="false">'2. The tape'!$C$17*(1+MIN(MAX($AR$5,'3. Assumptions'!$B$11),'3. Assumptions'!$B$10))^INT(($A60-1)/4)/4*(1-'3. Assumptions'!$B$13)</f>
        <v>3808944.99186804</v>
      </c>
      <c r="AS60" s="33" t="n">
        <f aca="false">(1-'3. Assumptions'!$B$15)*SUMPRODUCT((('2. The tape'!$C$5:$C$13*'2. The tape'!$D$5:$D$13*(1-'2. The tape'!$J$5:$J$13)^($A60/4)*(1+$AR$5)^($A60/4)*((1-'3. Assumptions'!$B$13)/($AR$6)-'2. The tape'!$H$5:$H$13/12-'3. Assumptions'!$B$16)-'2. The tape'!$C$5:$C$13*'2. The tape'!$I$5:$I$13*(1+$AR$5)^($A60/4))&gt;0)*('2. The tape'!$C$5:$C$13*'2. The tape'!$D$5:$D$13*(1-'2. The tape'!$J$5:$J$13)^($A60/4)*(1+$AR$5)^($A60/4)*((1-'3. Assumptions'!$B$13)/($AR$6)-'2. The tape'!$H$5:$H$13/12-'3. Assumptions'!$B$16)-'2. The tape'!$C$5:$C$13*'2. The tape'!$I$5:$I$13*(1+$AR$5)^($A60/4)))</f>
        <v>130822637.220523</v>
      </c>
      <c r="AT60" s="33" t="n">
        <f aca="false">'2. The tape'!$C$17*(1+MIN(MAX($AT$5,'3. Assumptions'!$B$11),'3. Assumptions'!$B$10))^INT(($A60-1)/4)/4*(1-'3. Assumptions'!$B$13)</f>
        <v>3808944.99186804</v>
      </c>
      <c r="AU60" s="33" t="n">
        <f aca="false">(1-'3. Assumptions'!$B$15)*SUMPRODUCT((('2. The tape'!$C$5:$C$13*'2. The tape'!$D$5:$D$13*(1-'2. The tape'!$J$5:$J$13)^($A60/4)*(1+$AT$5)^($A60/4)*((1-'3. Assumptions'!$B$13)/($AT$6)-'2. The tape'!$H$5:$H$13/12-'3. Assumptions'!$B$16)-'2. The tape'!$C$5:$C$13*'2. The tape'!$I$5:$I$13*(1+$AT$5)^($A60/4))&gt;0)*('2. The tape'!$C$5:$C$13*'2. The tape'!$D$5:$D$13*(1-'2. The tape'!$J$5:$J$13)^($A60/4)*(1+$AT$5)^($A60/4)*((1-'3. Assumptions'!$B$13)/($AT$6)-'2. The tape'!$H$5:$H$13/12-'3. Assumptions'!$B$16)-'2. The tape'!$C$5:$C$13*'2. The tape'!$I$5:$I$13*(1+$AT$5)^($A60/4)))</f>
        <v>130822652.284838</v>
      </c>
      <c r="AV60" s="33" t="n">
        <f aca="false">'2. The tape'!$C$17*(1+MIN(MAX($AV$5,'3. Assumptions'!$B$11),'3. Assumptions'!$B$10))^INT(($A60-1)/4)/4*(1-'3. Assumptions'!$B$13)</f>
        <v>3808944.99186804</v>
      </c>
      <c r="AW60" s="33" t="n">
        <f aca="false">(1-'3. Assumptions'!$B$15)*SUMPRODUCT((('2. The tape'!$C$5:$C$13*'2. The tape'!$D$5:$D$13*(1-'2. The tape'!$J$5:$J$13)^($A60/4)*(1+$AV$5)^($A60/4)*((1-'3. Assumptions'!$B$13)/($AV$6)-'2. The tape'!$H$5:$H$13/12-'3. Assumptions'!$B$16)-'2. The tape'!$C$5:$C$13*'2. The tape'!$I$5:$I$13*(1+$AV$5)^($A60/4))&gt;0)*('2. The tape'!$C$5:$C$13*'2. The tape'!$D$5:$D$13*(1-'2. The tape'!$J$5:$J$13)^($A60/4)*(1+$AV$5)^($A60/4)*((1-'3. Assumptions'!$B$13)/($AV$6)-'2. The tape'!$H$5:$H$13/12-'3. Assumptions'!$B$16)-'2. The tape'!$C$5:$C$13*'2. The tape'!$I$5:$I$13*(1+$AV$5)^($A60/4)))</f>
        <v>130822652.284238</v>
      </c>
      <c r="AX60" s="33" t="n">
        <f aca="false">'2. The tape'!$C$17*(1+MIN(MAX($AX$5,'3. Assumptions'!$B$11),'3. Assumptions'!$B$10))^INT(($A60-1)/4)/4*(1-'3. Assumptions'!$B$13)</f>
        <v>3808944.99186804</v>
      </c>
      <c r="AY60" s="33" t="n">
        <f aca="false">(1-'3. Assumptions'!$B$15)*SUMPRODUCT((('2. The tape'!$C$5:$C$13*'2. The tape'!$D$5:$D$13*(1-'2. The tape'!$J$5:$J$13)^($A60/4)*(1+$AX$5)^($A60/4)*((1-'3. Assumptions'!$B$13)/($AX$6)-'2. The tape'!$H$5:$H$13/12-'3. Assumptions'!$B$16)-'2. The tape'!$C$5:$C$13*'2. The tape'!$I$5:$I$13*(1+$AX$5)^($A60/4))&gt;0)*('2. The tape'!$C$5:$C$13*'2. The tape'!$D$5:$D$13*(1-'2. The tape'!$J$5:$J$13)^($A60/4)*(1+$AX$5)^($A60/4)*((1-'3. Assumptions'!$B$13)/($AX$6)-'2. The tape'!$H$5:$H$13/12-'3. Assumptions'!$B$16)-'2. The tape'!$C$5:$C$13*'2. The tape'!$I$5:$I$13*(1+$AX$5)^($A60/4)))</f>
        <v>130822652.284238</v>
      </c>
      <c r="AZ60" s="33" t="n">
        <f aca="false">'2. The tape'!$C$17*(1+MIN(MAX($AZ$5,'3. Assumptions'!$B$11),'3. Assumptions'!$B$10))^INT(($A60-1)/4)/4*(1-'3. Assumptions'!$B$13)</f>
        <v>3808944.99186804</v>
      </c>
      <c r="BA60" s="33" t="n">
        <f aca="false">(1-'3. Assumptions'!$B$15)*SUMPRODUCT((('2. The tape'!$C$5:$C$13*'2. The tape'!$D$5:$D$13*(1-'2. The tape'!$J$5:$J$13)^($A60/4)*(1+$AZ$5)^($A60/4)*((1-'3. Assumptions'!$B$13)/($AZ$6)-'2. The tape'!$H$5:$H$13/12-'3. Assumptions'!$B$16)-'2. The tape'!$C$5:$C$13*'2. The tape'!$I$5:$I$13*(1+$AZ$5)^($A60/4))&gt;0)*('2. The tape'!$C$5:$C$13*'2. The tape'!$D$5:$D$13*(1-'2. The tape'!$J$5:$J$13)^($A60/4)*(1+$AZ$5)^($A60/4)*((1-'3. Assumptions'!$B$13)/($AZ$6)-'2. The tape'!$H$5:$H$13/12-'3. Assumptions'!$B$16)-'2. The tape'!$C$5:$C$13*'2. The tape'!$I$5:$I$13*(1+$AZ$5)^($A60/4)))</f>
        <v>130822652.284238</v>
      </c>
    </row>
    <row r="61" customFormat="false" ht="15" hidden="false" customHeight="false" outlineLevel="0" collapsed="false">
      <c r="A61" s="20" t="n">
        <v>46</v>
      </c>
      <c r="B61" s="33" t="n">
        <f aca="false">'2. The tape'!$C$17*(1+MIN(MAX($B$5,'3. Assumptions'!$B$11),'3. Assumptions'!$B$10))^INT(($A61-1)/4)/4*(1-'3. Assumptions'!$B$13)</f>
        <v>3808944.99186804</v>
      </c>
      <c r="C61" s="33" t="n">
        <f aca="false">(1-'3. Assumptions'!$B$15)*SUMPRODUCT((('2. The tape'!$C$5:$C$13*'2. The tape'!$D$5:$D$13*(1-'2. The tape'!$J$5:$J$13)^($A61/4)*(1+$B$5)^($A61/4)*((1-'3. Assumptions'!$B$13)/($B$6)-'2. The tape'!$H$5:$H$13/12-'3. Assumptions'!$B$16)-'2. The tape'!$C$5:$C$13*'2. The tape'!$I$5:$I$13*(1+$B$5)^($A61/4))&gt;0)*('2. The tape'!$C$5:$C$13*'2. The tape'!$D$5:$D$13*(1-'2. The tape'!$J$5:$J$13)^($A61/4)*(1+$B$5)^($A61/4)*((1-'3. Assumptions'!$B$13)/($B$6)-'2. The tape'!$H$5:$H$13/12-'3. Assumptions'!$B$16)-'2. The tape'!$C$5:$C$13*'2. The tape'!$I$5:$I$13*(1+$B$5)^($A61/4)))</f>
        <v>77565958.6542826</v>
      </c>
      <c r="D61" s="33" t="n">
        <f aca="false">'2. The tape'!$C$17*(1+MIN(MAX($D$5,'3. Assumptions'!$B$11),'3. Assumptions'!$B$10))^INT(($A61-1)/4)/4*(1-'3. Assumptions'!$B$13)</f>
        <v>4150059.45577259</v>
      </c>
      <c r="E61" s="33" t="n">
        <f aca="false">(1-'3. Assumptions'!$B$15)*SUMPRODUCT((('2. The tape'!$C$5:$C$13*'2. The tape'!$D$5:$D$13*(1-'2. The tape'!$J$5:$J$13)^($A61/4)*(1+$D$5)^($A61/4)*((1-'3. Assumptions'!$B$13)/($D$6)-'2. The tape'!$H$5:$H$13/12-'3. Assumptions'!$B$16)-'2. The tape'!$C$5:$C$13*'2. The tape'!$I$5:$I$13*(1+$D$5)^($A61/4))&gt;0)*('2. The tape'!$C$5:$C$13*'2. The tape'!$D$5:$D$13*(1-'2. The tape'!$J$5:$J$13)^($A61/4)*(1+$D$5)^($A61/4)*((1-'3. Assumptions'!$B$13)/($D$6)-'2. The tape'!$H$5:$H$13/12-'3. Assumptions'!$B$16)-'2. The tape'!$C$5:$C$13*'2. The tape'!$I$5:$I$13*(1+$D$5)^($A61/4)))</f>
        <v>89701537.1575662</v>
      </c>
      <c r="F61" s="33" t="n">
        <f aca="false">'2. The tape'!$C$17*(1+MIN(MAX($F$5,'3. Assumptions'!$B$11),'3. Assumptions'!$B$10))^INT(($A61-1)/4)/4*(1-'3. Assumptions'!$B$13)</f>
        <v>3344875.50803925</v>
      </c>
      <c r="G61" s="33" t="n">
        <f aca="false">(1-'3. Assumptions'!$B$15)*SUMPRODUCT((('2. The tape'!$C$5:$C$13*'2. The tape'!$D$5:$D$13*(1-'2. The tape'!$J$5:$J$13)^($A61/4)*(1+$F$5)^($A61/4)*((1-'3. Assumptions'!$B$13)/($F$6)-'2. The tape'!$H$5:$H$13/12-'3. Assumptions'!$B$16)-'2. The tape'!$C$5:$C$13*'2. The tape'!$I$5:$I$13*(1+$F$5)^($A61/4))&gt;0)*('2. The tape'!$C$5:$C$13*'2. The tape'!$D$5:$D$13*(1-'2. The tape'!$J$5:$J$13)^($A61/4)*(1+$F$5)^($A61/4)*((1-'3. Assumptions'!$B$13)/($F$6)-'2. The tape'!$H$5:$H$13/12-'3. Assumptions'!$B$16)-'2. The tape'!$C$5:$C$13*'2. The tape'!$I$5:$I$13*(1+$F$5)^($A61/4)))</f>
        <v>67714497.6935761</v>
      </c>
      <c r="H61" s="33" t="n">
        <f aca="false">'2. The tape'!$C$17*(1+MIN(MAX($H$5,'3. Assumptions'!$B$11),'3. Assumptions'!$B$10))^INT(($A61-1)/4)/4*(1-'3. Assumptions'!$B$13)</f>
        <v>4150059.45577259</v>
      </c>
      <c r="I61" s="33" t="n">
        <f aca="false">(1-'3. Assumptions'!$B$15)*SUMPRODUCT((('2. The tape'!$C$5:$C$13*'2. The tape'!$D$5:$D$13*(1-'2. The tape'!$J$5:$J$13)^($A61/4)*(1+$H$5)^($A61/4)*((1-'3. Assumptions'!$B$13)/($H$6)-'2. The tape'!$H$5:$H$13/12-'3. Assumptions'!$B$16)-'2. The tape'!$C$5:$C$13*'2. The tape'!$I$5:$I$13*(1+$H$5)^($A61/4))&gt;0)*('2. The tape'!$C$5:$C$13*'2. The tape'!$D$5:$D$13*(1-'2. The tape'!$J$5:$J$13)^($A61/4)*(1+$H$5)^($A61/4)*((1-'3. Assumptions'!$B$13)/($H$6)-'2. The tape'!$H$5:$H$13/12-'3. Assumptions'!$B$16)-'2. The tape'!$C$5:$C$13*'2. The tape'!$I$5:$I$13*(1+$H$5)^($A61/4)))</f>
        <v>89701537.1575662</v>
      </c>
      <c r="J61" s="33" t="n">
        <f aca="false">'2. The tape'!$C$17*(1+MIN(MAX($J$5,'3. Assumptions'!$B$11),'3. Assumptions'!$B$10))^INT(($A61-1)/4)/4*(1-'3. Assumptions'!$B$13)</f>
        <v>3808944.99186804</v>
      </c>
      <c r="K61" s="33" t="n">
        <f aca="false">(1-'3. Assumptions'!$B$15)*SUMPRODUCT((('2. The tape'!$C$5:$C$13*'2. The tape'!$D$5:$D$13*(1-'2. The tape'!$J$5:$J$13)^($A61/4)*(1+$J$5)^($A61/4)*((1-'3. Assumptions'!$B$13)/($J$6)-'2. The tape'!$H$5:$H$13/12-'3. Assumptions'!$B$16)-'2. The tape'!$C$5:$C$13*'2. The tape'!$I$5:$I$13*(1+$J$5)^($A61/4))&gt;0)*('2. The tape'!$C$5:$C$13*'2. The tape'!$D$5:$D$13*(1-'2. The tape'!$J$5:$J$13)^($A61/4)*(1+$J$5)^($A61/4)*((1-'3. Assumptions'!$B$13)/($J$6)-'2. The tape'!$H$5:$H$13/12-'3. Assumptions'!$B$16)-'2. The tape'!$C$5:$C$13*'2. The tape'!$I$5:$I$13*(1+$J$5)^($A61/4)))</f>
        <v>63511594.3861847</v>
      </c>
      <c r="L61" s="33" t="n">
        <f aca="false">'2. The tape'!$C$17*(1+MIN(MAX($L$5,'3. Assumptions'!$B$11),'3. Assumptions'!$B$10))^INT(($A61-1)/4)/4*(1-'3. Assumptions'!$B$13)</f>
        <v>4150059.45577259</v>
      </c>
      <c r="M61" s="33" t="n">
        <f aca="false">(1-'3. Assumptions'!$B$15)*SUMPRODUCT((('2. The tape'!$C$5:$C$13*'2. The tape'!$D$5:$D$13*(1-'2. The tape'!$J$5:$J$13)^($A61/4)*(1+$L$5)^($A61/4)*((1-'3. Assumptions'!$B$13)/($L$6)-'2. The tape'!$H$5:$H$13/12-'3. Assumptions'!$B$16)-'2. The tape'!$C$5:$C$13*'2. The tape'!$I$5:$I$13*(1+$L$5)^($A61/4))&gt;0)*('2. The tape'!$C$5:$C$13*'2. The tape'!$D$5:$D$13*(1-'2. The tape'!$J$5:$J$13)^($A61/4)*(1+$L$5)^($A61/4)*((1-'3. Assumptions'!$B$13)/($L$6)-'2. The tape'!$H$5:$H$13/12-'3. Assumptions'!$B$16)-'2. The tape'!$C$5:$C$13*'2. The tape'!$I$5:$I$13*(1+$L$5)^($A61/4)))</f>
        <v>1234054710.88674</v>
      </c>
      <c r="N61" s="33" t="n">
        <f aca="false">'2. The tape'!$C$17*(1+MIN(MAX($N$5,'3. Assumptions'!$B$11),'3. Assumptions'!$B$10))^INT(($A61-1)/4)/4*(1-'3. Assumptions'!$B$13)</f>
        <v>2998091.25</v>
      </c>
      <c r="O61" s="33" t="n">
        <f aca="false">(1-'3. Assumptions'!$B$15)*SUMPRODUCT((('2. The tape'!$C$5:$C$13*'2. The tape'!$D$5:$D$13*(1-'2. The tape'!$J$5:$J$13)^($A61/4)*(1+$N$5)^($A61/4)*((1-'3. Assumptions'!$B$13)/($N$6)-'2. The tape'!$H$5:$H$13/12-'3. Assumptions'!$B$16)-'2. The tape'!$C$5:$C$13*'2. The tape'!$I$5:$I$13*(1+$N$5)^($A61/4))&gt;0)*('2. The tape'!$C$5:$C$13*'2. The tape'!$D$5:$D$13*(1-'2. The tape'!$J$5:$J$13)^($A61/4)*(1+$N$5)^($A61/4)*((1-'3. Assumptions'!$B$13)/($N$6)-'2. The tape'!$H$5:$H$13/12-'3. Assumptions'!$B$16)-'2. The tape'!$C$5:$C$13*'2. The tape'!$I$5:$I$13*(1+$N$5)^($A61/4)))</f>
        <v>42546202.8893905</v>
      </c>
      <c r="P61" s="33" t="n">
        <f aca="false">'2. The tape'!$C$17*(1+MIN(MAX($P$5,'3. Assumptions'!$B$11),'3. Assumptions'!$B$10))^INT(($A61-1)/4)/4*(1-'3. Assumptions'!$B$13)</f>
        <v>2998091.25</v>
      </c>
      <c r="Q61" s="33" t="n">
        <f aca="false">(1-'3. Assumptions'!$B$15)*SUMPRODUCT((('2. The tape'!$C$5:$C$13*'2. The tape'!$D$5:$D$13*(1-'2. The tape'!$J$5:$J$13)^($A61/4)*(1+$P$5)^($A61/4)*((1-'3. Assumptions'!$B$13)/($P$6)-'2. The tape'!$H$5:$H$13/12-'3. Assumptions'!$B$16)-'2. The tape'!$C$5:$C$13*'2. The tape'!$I$5:$I$13*(1+$P$5)^($A61/4))&gt;0)*('2. The tape'!$C$5:$C$13*'2. The tape'!$D$5:$D$13*(1-'2. The tape'!$J$5:$J$13)^($A61/4)*(1+$P$5)^($A61/4)*((1-'3. Assumptions'!$B$13)/($P$6)-'2. The tape'!$H$5:$H$13/12-'3. Assumptions'!$B$16)-'2. The tape'!$C$5:$C$13*'2. The tape'!$I$5:$I$13*(1+$P$5)^($A61/4)))</f>
        <v>47872458.7028833</v>
      </c>
      <c r="R61" s="33" t="n">
        <f aca="false">'2. The tape'!$C$17*(1+MIN(MAX($R$5,'3. Assumptions'!$B$11),'3. Assumptions'!$B$10))^INT(($A61-1)/4)/4*(1-'3. Assumptions'!$B$13)</f>
        <v>2998091.25</v>
      </c>
      <c r="S61" s="33" t="n">
        <f aca="false">(1-'3. Assumptions'!$B$15)*SUMPRODUCT((('2. The tape'!$C$5:$C$13*'2. The tape'!$D$5:$D$13*(1-'2. The tape'!$J$5:$J$13)^($A61/4)*(1+$R$5)^($A61/4)*((1-'3. Assumptions'!$B$13)/($R$6)-'2. The tape'!$H$5:$H$13/12-'3. Assumptions'!$B$16)-'2. The tape'!$C$5:$C$13*'2. The tape'!$I$5:$I$13*(1+$R$5)^($A61/4))&gt;0)*('2. The tape'!$C$5:$C$13*'2. The tape'!$D$5:$D$13*(1-'2. The tape'!$J$5:$J$13)^($A61/4)*(1+$R$5)^($A61/4)*((1-'3. Assumptions'!$B$13)/($R$6)-'2. The tape'!$H$5:$H$13/12-'3. Assumptions'!$B$16)-'2. The tape'!$C$5:$C$13*'2. The tape'!$I$5:$I$13*(1+$R$5)^($A61/4)))</f>
        <v>44579942.280354</v>
      </c>
      <c r="T61" s="33" t="n">
        <f aca="false">'2. The tape'!$C$17*(1+MIN(MAX($T$5,'3. Assumptions'!$B$11),'3. Assumptions'!$B$10))^INT(($A61-1)/4)/4*(1-'3. Assumptions'!$B$13)</f>
        <v>2998091.25</v>
      </c>
      <c r="U61" s="33" t="n">
        <f aca="false">(1-'3. Assumptions'!$B$15)*SUMPRODUCT((('2. The tape'!$C$5:$C$13*'2. The tape'!$D$5:$D$13*(1-'2. The tape'!$J$5:$J$13)^($A61/4)*(1+$T$5)^($A61/4)*((1-'3. Assumptions'!$B$13)/($T$6)-'2. The tape'!$H$5:$H$13/12-'3. Assumptions'!$B$16)-'2. The tape'!$C$5:$C$13*'2. The tape'!$I$5:$I$13*(1+$T$5)^($A61/4))&gt;0)*('2. The tape'!$C$5:$C$13*'2. The tape'!$D$5:$D$13*(1-'2. The tape'!$J$5:$J$13)^($A61/4)*(1+$T$5)^($A61/4)*((1-'3. Assumptions'!$B$13)/($T$6)-'2. The tape'!$H$5:$H$13/12-'3. Assumptions'!$B$16)-'2. The tape'!$C$5:$C$13*'2. The tape'!$I$5:$I$13*(1+$T$5)^($A61/4)))</f>
        <v>44493589.0862745</v>
      </c>
      <c r="V61" s="33" t="n">
        <f aca="false">'2. The tape'!$C$17*(1+MIN(MAX($V$5,'3. Assumptions'!$B$11),'3. Assumptions'!$B$10))^INT(($A61-1)/4)/4*(1-'3. Assumptions'!$B$13)</f>
        <v>2998091.25</v>
      </c>
      <c r="W61" s="33" t="n">
        <f aca="false">(1-'3. Assumptions'!$B$15)*SUMPRODUCT((('2. The tape'!$C$5:$C$13*'2. The tape'!$D$5:$D$13*(1-'2. The tape'!$J$5:$J$13)^($A61/4)*(1+$V$5)^($A61/4)*((1-'3. Assumptions'!$B$13)/($V$6)-'2. The tape'!$H$5:$H$13/12-'3. Assumptions'!$B$16)-'2. The tape'!$C$5:$C$13*'2. The tape'!$I$5:$I$13*(1+$V$5)^($A61/4))&gt;0)*('2. The tape'!$C$5:$C$13*'2. The tape'!$D$5:$D$13*(1-'2. The tape'!$J$5:$J$13)^($A61/4)*(1+$V$5)^($A61/4)*((1-'3. Assumptions'!$B$13)/($V$6)-'2. The tape'!$H$5:$H$13/12-'3. Assumptions'!$B$16)-'2. The tape'!$C$5:$C$13*'2. The tape'!$I$5:$I$13*(1+$V$5)^($A61/4)))</f>
        <v>44497055.7276357</v>
      </c>
      <c r="X61" s="33" t="n">
        <f aca="false">'2. The tape'!$C$17*(1+MIN(MAX($X$5,'3. Assumptions'!$B$11),'3. Assumptions'!$B$10))^INT(($A61-1)/4)/4*(1-'3. Assumptions'!$B$13)</f>
        <v>2998091.25</v>
      </c>
      <c r="Y61" s="33" t="n">
        <f aca="false">(1-'3. Assumptions'!$B$15)*SUMPRODUCT((('2. The tape'!$C$5:$C$13*'2. The tape'!$D$5:$D$13*(1-'2. The tape'!$J$5:$J$13)^($A61/4)*(1+$X$5)^($A61/4)*((1-'3. Assumptions'!$B$13)/($X$6)-'2. The tape'!$H$5:$H$13/12-'3. Assumptions'!$B$16)-'2. The tape'!$C$5:$C$13*'2. The tape'!$I$5:$I$13*(1+$X$5)^($A61/4))&gt;0)*('2. The tape'!$C$5:$C$13*'2. The tape'!$D$5:$D$13*(1-'2. The tape'!$J$5:$J$13)^($A61/4)*(1+$X$5)^($A61/4)*((1-'3. Assumptions'!$B$13)/($X$6)-'2. The tape'!$H$5:$H$13/12-'3. Assumptions'!$B$16)-'2. The tape'!$C$5:$C$13*'2. The tape'!$I$5:$I$13*(1+$X$5)^($A61/4)))</f>
        <v>44497052.0821171</v>
      </c>
      <c r="Z61" s="33" t="n">
        <f aca="false">'2. The tape'!$C$17*(1+MIN(MAX($Z$5,'3. Assumptions'!$B$11),'3. Assumptions'!$B$10))^INT(($A61-1)/4)/4*(1-'3. Assumptions'!$B$13)</f>
        <v>2998091.25</v>
      </c>
      <c r="AA61" s="33" t="n">
        <f aca="false">(1-'3. Assumptions'!$B$15)*SUMPRODUCT((('2. The tape'!$C$5:$C$13*'2. The tape'!$D$5:$D$13*(1-'2. The tape'!$J$5:$J$13)^($A61/4)*(1+$Z$5)^($A61/4)*((1-'3. Assumptions'!$B$13)/($Z$6)-'2. The tape'!$H$5:$H$13/12-'3. Assumptions'!$B$16)-'2. The tape'!$C$5:$C$13*'2. The tape'!$I$5:$I$13*(1+$Z$5)^($A61/4))&gt;0)*('2. The tape'!$C$5:$C$13*'2. The tape'!$D$5:$D$13*(1-'2. The tape'!$J$5:$J$13)^($A61/4)*(1+$Z$5)^($A61/4)*((1-'3. Assumptions'!$B$13)/($Z$6)-'2. The tape'!$H$5:$H$13/12-'3. Assumptions'!$B$16)-'2. The tape'!$C$5:$C$13*'2. The tape'!$I$5:$I$13*(1+$Z$5)^($A61/4)))</f>
        <v>44497052.0819567</v>
      </c>
      <c r="AB61" s="33" t="n">
        <f aca="false">'2. The tape'!$C$17*(1+MIN(MAX($AB$5,'3. Assumptions'!$B$11),'3. Assumptions'!$B$10))^INT(($A61-1)/4)/4*(1-'3. Assumptions'!$B$13)</f>
        <v>2998091.25</v>
      </c>
      <c r="AC61" s="33" t="n">
        <f aca="false">(1-'3. Assumptions'!$B$15)*SUMPRODUCT((('2. The tape'!$C$5:$C$13*'2. The tape'!$D$5:$D$13*(1-'2. The tape'!$J$5:$J$13)^($A61/4)*(1+$AB$5)^($A61/4)*((1-'3. Assumptions'!$B$13)/($AB$6)-'2. The tape'!$H$5:$H$13/12-'3. Assumptions'!$B$16)-'2. The tape'!$C$5:$C$13*'2. The tape'!$I$5:$I$13*(1+$AB$5)^($A61/4))&gt;0)*('2. The tape'!$C$5:$C$13*'2. The tape'!$D$5:$D$13*(1-'2. The tape'!$J$5:$J$13)^($A61/4)*(1+$AB$5)^($A61/4)*((1-'3. Assumptions'!$B$13)/($AB$6)-'2. The tape'!$H$5:$H$13/12-'3. Assumptions'!$B$16)-'2. The tape'!$C$5:$C$13*'2. The tape'!$I$5:$I$13*(1+$AB$5)^($A61/4)))</f>
        <v>44497052.0819567</v>
      </c>
      <c r="AD61" s="33" t="n">
        <f aca="false">'2. The tape'!$C$17*(1+MIN(MAX($AD$5,'3. Assumptions'!$B$11),'3. Assumptions'!$B$10))^INT(($A61-1)/4)/4*(1-'3. Assumptions'!$B$13)</f>
        <v>2998091.25</v>
      </c>
      <c r="AE61" s="33" t="n">
        <f aca="false">(1-'3. Assumptions'!$B$15)*SUMPRODUCT((('2. The tape'!$C$5:$C$13*'2. The tape'!$D$5:$D$13*(1-'2. The tape'!$J$5:$J$13)^($A61/4)*(1+$AD$5)^($A61/4)*((1-'3. Assumptions'!$B$13)/($AD$6)-'2. The tape'!$H$5:$H$13/12-'3. Assumptions'!$B$16)-'2. The tape'!$C$5:$C$13*'2. The tape'!$I$5:$I$13*(1+$AD$5)^($A61/4))&gt;0)*('2. The tape'!$C$5:$C$13*'2. The tape'!$D$5:$D$13*(1-'2. The tape'!$J$5:$J$13)^($A61/4)*(1+$AD$5)^($A61/4)*((1-'3. Assumptions'!$B$13)/($AD$6)-'2. The tape'!$H$5:$H$13/12-'3. Assumptions'!$B$16)-'2. The tape'!$C$5:$C$13*'2. The tape'!$I$5:$I$13*(1+$AD$5)^($A61/4)))</f>
        <v>44497052.0819567</v>
      </c>
      <c r="AF61" s="33" t="n">
        <f aca="false">'2. The tape'!$C$17*(1+MIN(MAX($AF$5,'3. Assumptions'!$B$11),'3. Assumptions'!$B$10))^INT(($A61-1)/4)/4*(1-'3. Assumptions'!$B$13)</f>
        <v>2998091.25</v>
      </c>
      <c r="AG61" s="33" t="n">
        <f aca="false">(1-'3. Assumptions'!$B$15)*SUMPRODUCT((('2. The tape'!$C$5:$C$13*'2. The tape'!$D$5:$D$13*(1-'2. The tape'!$J$5:$J$13)^($A61/4)*(1+$AF$5)^($A61/4)*((1-'3. Assumptions'!$B$13)/($AF$6)-'2. The tape'!$H$5:$H$13/12-'3. Assumptions'!$B$16)-'2. The tape'!$C$5:$C$13*'2. The tape'!$I$5:$I$13*(1+$AF$5)^($A61/4))&gt;0)*('2. The tape'!$C$5:$C$13*'2. The tape'!$D$5:$D$13*(1-'2. The tape'!$J$5:$J$13)^($A61/4)*(1+$AF$5)^($A61/4)*((1-'3. Assumptions'!$B$13)/($AF$6)-'2. The tape'!$H$5:$H$13/12-'3. Assumptions'!$B$16)-'2. The tape'!$C$5:$C$13*'2. The tape'!$I$5:$I$13*(1+$AF$5)^($A61/4)))</f>
        <v>44497052.0819567</v>
      </c>
      <c r="AH61" s="33" t="n">
        <f aca="false">'2. The tape'!$C$17*(1+MIN(MAX($AH$5,'3. Assumptions'!$B$11),'3. Assumptions'!$B$10))^INT(($A61-1)/4)/4*(1-'3. Assumptions'!$B$13)</f>
        <v>3808944.99186804</v>
      </c>
      <c r="AI61" s="33" t="n">
        <f aca="false">(1-'3. Assumptions'!$B$15)*SUMPRODUCT((('2. The tape'!$C$5:$C$13*'2. The tape'!$D$5:$D$13*(1-'2. The tape'!$J$5:$J$13)^($A61/4)*(1+$AH$5)^($A61/4)*((1-'3. Assumptions'!$B$13)/($AH$6)-'2. The tape'!$H$5:$H$13/12-'3. Assumptions'!$B$16)-'2. The tape'!$C$5:$C$13*'2. The tape'!$I$5:$I$13*(1+$AH$5)^($A61/4))&gt;0)*('2. The tape'!$C$5:$C$13*'2. The tape'!$D$5:$D$13*(1-'2. The tape'!$J$5:$J$13)^($A61/4)*(1+$AH$5)^($A61/4)*((1-'3. Assumptions'!$B$13)/($AH$6)-'2. The tape'!$H$5:$H$13/12-'3. Assumptions'!$B$16)-'2. The tape'!$C$5:$C$13*'2. The tape'!$I$5:$I$13*(1+$AH$5)^($A61/4)))</f>
        <v>154302787.558097</v>
      </c>
      <c r="AJ61" s="33" t="n">
        <f aca="false">'2. The tape'!$C$17*(1+MIN(MAX($AJ$5,'3. Assumptions'!$B$11),'3. Assumptions'!$B$10))^INT(($A61-1)/4)/4*(1-'3. Assumptions'!$B$13)</f>
        <v>3808944.99186804</v>
      </c>
      <c r="AK61" s="33" t="n">
        <f aca="false">(1-'3. Assumptions'!$B$15)*SUMPRODUCT((('2. The tape'!$C$5:$C$13*'2. The tape'!$D$5:$D$13*(1-'2. The tape'!$J$5:$J$13)^($A61/4)*(1+$AJ$5)^($A61/4)*((1-'3. Assumptions'!$B$13)/($AJ$6)-'2. The tape'!$H$5:$H$13/12-'3. Assumptions'!$B$16)-'2. The tape'!$C$5:$C$13*'2. The tape'!$I$5:$I$13*(1+$AJ$5)^($A61/4))&gt;0)*('2. The tape'!$C$5:$C$13*'2. The tape'!$D$5:$D$13*(1-'2. The tape'!$J$5:$J$13)^($A61/4)*(1+$AJ$5)^($A61/4)*((1-'3. Assumptions'!$B$13)/($AJ$6)-'2. The tape'!$H$5:$H$13/12-'3. Assumptions'!$B$16)-'2. The tape'!$C$5:$C$13*'2. The tape'!$I$5:$I$13*(1+$AJ$5)^($A61/4)))</f>
        <v>111296432.897717</v>
      </c>
      <c r="AL61" s="33" t="n">
        <f aca="false">'2. The tape'!$C$17*(1+MIN(MAX($AL$5,'3. Assumptions'!$B$11),'3. Assumptions'!$B$10))^INT(($A61-1)/4)/4*(1-'3. Assumptions'!$B$13)</f>
        <v>3808944.99186804</v>
      </c>
      <c r="AM61" s="33" t="n">
        <f aca="false">(1-'3. Assumptions'!$B$15)*SUMPRODUCT((('2. The tape'!$C$5:$C$13*'2. The tape'!$D$5:$D$13*(1-'2. The tape'!$J$5:$J$13)^($A61/4)*(1+$AL$5)^($A61/4)*((1-'3. Assumptions'!$B$13)/($AL$6)-'2. The tape'!$H$5:$H$13/12-'3. Assumptions'!$B$16)-'2. The tape'!$C$5:$C$13*'2. The tape'!$I$5:$I$13*(1+$AL$5)^($A61/4))&gt;0)*('2. The tape'!$C$5:$C$13*'2. The tape'!$D$5:$D$13*(1-'2. The tape'!$J$5:$J$13)^($A61/4)*(1+$AL$5)^($A61/4)*((1-'3. Assumptions'!$B$13)/($AL$6)-'2. The tape'!$H$5:$H$13/12-'3. Assumptions'!$B$16)-'2. The tape'!$C$5:$C$13*'2. The tape'!$I$5:$I$13*(1+$AL$5)^($A61/4)))</f>
        <v>127976165.859005</v>
      </c>
      <c r="AN61" s="33" t="n">
        <f aca="false">'2. The tape'!$C$17*(1+MIN(MAX($AN$5,'3. Assumptions'!$B$11),'3. Assumptions'!$B$10))^INT(($A61-1)/4)/4*(1-'3. Assumptions'!$B$13)</f>
        <v>3808944.99186804</v>
      </c>
      <c r="AO61" s="33" t="n">
        <f aca="false">(1-'3. Assumptions'!$B$15)*SUMPRODUCT((('2. The tape'!$C$5:$C$13*'2. The tape'!$D$5:$D$13*(1-'2. The tape'!$J$5:$J$13)^($A61/4)*(1+$AN$5)^($A61/4)*((1-'3. Assumptions'!$B$13)/($AN$6)-'2. The tape'!$H$5:$H$13/12-'3. Assumptions'!$B$16)-'2. The tape'!$C$5:$C$13*'2. The tape'!$I$5:$I$13*(1+$AN$5)^($A61/4))&gt;0)*('2. The tape'!$C$5:$C$13*'2. The tape'!$D$5:$D$13*(1-'2. The tape'!$J$5:$J$13)^($A61/4)*(1+$AN$5)^($A61/4)*((1-'3. Assumptions'!$B$13)/($AN$6)-'2. The tape'!$H$5:$H$13/12-'3. Assumptions'!$B$16)-'2. The tape'!$C$5:$C$13*'2. The tape'!$I$5:$I$13*(1+$AN$5)^($A61/4)))</f>
        <v>131099124.089935</v>
      </c>
      <c r="AP61" s="33" t="n">
        <f aca="false">'2. The tape'!$C$17*(1+MIN(MAX($AP$5,'3. Assumptions'!$B$11),'3. Assumptions'!$B$10))^INT(($A61-1)/4)/4*(1-'3. Assumptions'!$B$13)</f>
        <v>3808944.99186804</v>
      </c>
      <c r="AQ61" s="33" t="n">
        <f aca="false">(1-'3. Assumptions'!$B$15)*SUMPRODUCT((('2. The tape'!$C$5:$C$13*'2. The tape'!$D$5:$D$13*(1-'2. The tape'!$J$5:$J$13)^($A61/4)*(1+$AP$5)^($A61/4)*((1-'3. Assumptions'!$B$13)/($AP$6)-'2. The tape'!$H$5:$H$13/12-'3. Assumptions'!$B$16)-'2. The tape'!$C$5:$C$13*'2. The tape'!$I$5:$I$13*(1+$AP$5)^($A61/4))&gt;0)*('2. The tape'!$C$5:$C$13*'2. The tape'!$D$5:$D$13*(1-'2. The tape'!$J$5:$J$13)^($A61/4)*(1+$AP$5)^($A61/4)*((1-'3. Assumptions'!$B$13)/($AP$6)-'2. The tape'!$H$5:$H$13/12-'3. Assumptions'!$B$16)-'2. The tape'!$C$5:$C$13*'2. The tape'!$I$5:$I$13*(1+$AP$5)^($A61/4)))</f>
        <v>130713601.304755</v>
      </c>
      <c r="AR61" s="33" t="n">
        <f aca="false">'2. The tape'!$C$17*(1+MIN(MAX($AR$5,'3. Assumptions'!$B$11),'3. Assumptions'!$B$10))^INT(($A61-1)/4)/4*(1-'3. Assumptions'!$B$13)</f>
        <v>3808944.99186804</v>
      </c>
      <c r="AS61" s="33" t="n">
        <f aca="false">(1-'3. Assumptions'!$B$15)*SUMPRODUCT((('2. The tape'!$C$5:$C$13*'2. The tape'!$D$5:$D$13*(1-'2. The tape'!$J$5:$J$13)^($A61/4)*(1+$AR$5)^($A61/4)*((1-'3. Assumptions'!$B$13)/($AR$6)-'2. The tape'!$H$5:$H$13/12-'3. Assumptions'!$B$16)-'2. The tape'!$C$5:$C$13*'2. The tape'!$I$5:$I$13*(1+$AR$5)^($A61/4))&gt;0)*('2. The tape'!$C$5:$C$13*'2. The tape'!$D$5:$D$13*(1-'2. The tape'!$J$5:$J$13)^($A61/4)*(1+$AR$5)^($A61/4)*((1-'3. Assumptions'!$B$13)/($AR$6)-'2. The tape'!$H$5:$H$13/12-'3. Assumptions'!$B$16)-'2. The tape'!$C$5:$C$13*'2. The tape'!$I$5:$I$13*(1+$AR$5)^($A61/4)))</f>
        <v>130720069.824887</v>
      </c>
      <c r="AT61" s="33" t="n">
        <f aca="false">'2. The tape'!$C$17*(1+MIN(MAX($AT$5,'3. Assumptions'!$B$11),'3. Assumptions'!$B$10))^INT(($A61-1)/4)/4*(1-'3. Assumptions'!$B$13)</f>
        <v>3808944.99186804</v>
      </c>
      <c r="AU61" s="33" t="n">
        <f aca="false">(1-'3. Assumptions'!$B$15)*SUMPRODUCT((('2. The tape'!$C$5:$C$13*'2. The tape'!$D$5:$D$13*(1-'2. The tape'!$J$5:$J$13)^($A61/4)*(1+$AT$5)^($A61/4)*((1-'3. Assumptions'!$B$13)/($AT$6)-'2. The tape'!$H$5:$H$13/12-'3. Assumptions'!$B$16)-'2. The tape'!$C$5:$C$13*'2. The tape'!$I$5:$I$13*(1+$AT$5)^($A61/4))&gt;0)*('2. The tape'!$C$5:$C$13*'2. The tape'!$D$5:$D$13*(1-'2. The tape'!$J$5:$J$13)^($A61/4)*(1+$AT$5)^($A61/4)*((1-'3. Assumptions'!$B$13)/($AT$6)-'2. The tape'!$H$5:$H$13/12-'3. Assumptions'!$B$16)-'2. The tape'!$C$5:$C$13*'2. The tape'!$I$5:$I$13*(1+$AT$5)^($A61/4)))</f>
        <v>130720084.888443</v>
      </c>
      <c r="AV61" s="33" t="n">
        <f aca="false">'2. The tape'!$C$17*(1+MIN(MAX($AV$5,'3. Assumptions'!$B$11),'3. Assumptions'!$B$10))^INT(($A61-1)/4)/4*(1-'3. Assumptions'!$B$13)</f>
        <v>3808944.99186804</v>
      </c>
      <c r="AW61" s="33" t="n">
        <f aca="false">(1-'3. Assumptions'!$B$15)*SUMPRODUCT((('2. The tape'!$C$5:$C$13*'2. The tape'!$D$5:$D$13*(1-'2. The tape'!$J$5:$J$13)^($A61/4)*(1+$AV$5)^($A61/4)*((1-'3. Assumptions'!$B$13)/($AV$6)-'2. The tape'!$H$5:$H$13/12-'3. Assumptions'!$B$16)-'2. The tape'!$C$5:$C$13*'2. The tape'!$I$5:$I$13*(1+$AV$5)^($A61/4))&gt;0)*('2. The tape'!$C$5:$C$13*'2. The tape'!$D$5:$D$13*(1-'2. The tape'!$J$5:$J$13)^($A61/4)*(1+$AV$5)^($A61/4)*((1-'3. Assumptions'!$B$13)/($AV$6)-'2. The tape'!$H$5:$H$13/12-'3. Assumptions'!$B$16)-'2. The tape'!$C$5:$C$13*'2. The tape'!$I$5:$I$13*(1+$AV$5)^($A61/4)))</f>
        <v>130720084.887843</v>
      </c>
      <c r="AX61" s="33" t="n">
        <f aca="false">'2. The tape'!$C$17*(1+MIN(MAX($AX$5,'3. Assumptions'!$B$11),'3. Assumptions'!$B$10))^INT(($A61-1)/4)/4*(1-'3. Assumptions'!$B$13)</f>
        <v>3808944.99186804</v>
      </c>
      <c r="AY61" s="33" t="n">
        <f aca="false">(1-'3. Assumptions'!$B$15)*SUMPRODUCT((('2. The tape'!$C$5:$C$13*'2. The tape'!$D$5:$D$13*(1-'2. The tape'!$J$5:$J$13)^($A61/4)*(1+$AX$5)^($A61/4)*((1-'3. Assumptions'!$B$13)/($AX$6)-'2. The tape'!$H$5:$H$13/12-'3. Assumptions'!$B$16)-'2. The tape'!$C$5:$C$13*'2. The tape'!$I$5:$I$13*(1+$AX$5)^($A61/4))&gt;0)*('2. The tape'!$C$5:$C$13*'2. The tape'!$D$5:$D$13*(1-'2. The tape'!$J$5:$J$13)^($A61/4)*(1+$AX$5)^($A61/4)*((1-'3. Assumptions'!$B$13)/($AX$6)-'2. The tape'!$H$5:$H$13/12-'3. Assumptions'!$B$16)-'2. The tape'!$C$5:$C$13*'2. The tape'!$I$5:$I$13*(1+$AX$5)^($A61/4)))</f>
        <v>130720084.887843</v>
      </c>
      <c r="AZ61" s="33" t="n">
        <f aca="false">'2. The tape'!$C$17*(1+MIN(MAX($AZ$5,'3. Assumptions'!$B$11),'3. Assumptions'!$B$10))^INT(($A61-1)/4)/4*(1-'3. Assumptions'!$B$13)</f>
        <v>3808944.99186804</v>
      </c>
      <c r="BA61" s="33" t="n">
        <f aca="false">(1-'3. Assumptions'!$B$15)*SUMPRODUCT((('2. The tape'!$C$5:$C$13*'2. The tape'!$D$5:$D$13*(1-'2. The tape'!$J$5:$J$13)^($A61/4)*(1+$AZ$5)^($A61/4)*((1-'3. Assumptions'!$B$13)/($AZ$6)-'2. The tape'!$H$5:$H$13/12-'3. Assumptions'!$B$16)-'2. The tape'!$C$5:$C$13*'2. The tape'!$I$5:$I$13*(1+$AZ$5)^($A61/4))&gt;0)*('2. The tape'!$C$5:$C$13*'2. The tape'!$D$5:$D$13*(1-'2. The tape'!$J$5:$J$13)^($A61/4)*(1+$AZ$5)^($A61/4)*((1-'3. Assumptions'!$B$13)/($AZ$6)-'2. The tape'!$H$5:$H$13/12-'3. Assumptions'!$B$16)-'2. The tape'!$C$5:$C$13*'2. The tape'!$I$5:$I$13*(1+$AZ$5)^($A61/4)))</f>
        <v>130720084.887843</v>
      </c>
    </row>
    <row r="62" customFormat="false" ht="15" hidden="false" customHeight="false" outlineLevel="0" collapsed="false">
      <c r="A62" s="20" t="n">
        <v>47</v>
      </c>
      <c r="B62" s="33" t="n">
        <f aca="false">'2. The tape'!$C$17*(1+MIN(MAX($B$5,'3. Assumptions'!$B$11),'3. Assumptions'!$B$10))^INT(($A62-1)/4)/4*(1-'3. Assumptions'!$B$13)</f>
        <v>3808944.99186804</v>
      </c>
      <c r="C62" s="33" t="n">
        <f aca="false">(1-'3. Assumptions'!$B$15)*SUMPRODUCT((('2. The tape'!$C$5:$C$13*'2. The tape'!$D$5:$D$13*(1-'2. The tape'!$J$5:$J$13)^($A62/4)*(1+$B$5)^($A62/4)*((1-'3. Assumptions'!$B$13)/($B$6)-'2. The tape'!$H$5:$H$13/12-'3. Assumptions'!$B$16)-'2. The tape'!$C$5:$C$13*'2. The tape'!$I$5:$I$13*(1+$B$5)^($A62/4))&gt;0)*('2. The tape'!$C$5:$C$13*'2. The tape'!$D$5:$D$13*(1-'2. The tape'!$J$5:$J$13)^($A62/4)*(1+$B$5)^($A62/4)*((1-'3. Assumptions'!$B$13)/($B$6)-'2. The tape'!$H$5:$H$13/12-'3. Assumptions'!$B$16)-'2. The tape'!$C$5:$C$13*'2. The tape'!$I$5:$I$13*(1+$B$5)^($A62/4)))</f>
        <v>77465774.6880292</v>
      </c>
      <c r="D62" s="33" t="n">
        <f aca="false">'2. The tape'!$C$17*(1+MIN(MAX($D$5,'3. Assumptions'!$B$11),'3. Assumptions'!$B$10))^INT(($A62-1)/4)/4*(1-'3. Assumptions'!$B$13)</f>
        <v>4150059.45577259</v>
      </c>
      <c r="E62" s="33" t="n">
        <f aca="false">(1-'3. Assumptions'!$B$15)*SUMPRODUCT((('2. The tape'!$C$5:$C$13*'2. The tape'!$D$5:$D$13*(1-'2. The tape'!$J$5:$J$13)^($A62/4)*(1+$D$5)^($A62/4)*((1-'3. Assumptions'!$B$13)/($D$6)-'2. The tape'!$H$5:$H$13/12-'3. Assumptions'!$B$16)-'2. The tape'!$C$5:$C$13*'2. The tape'!$I$5:$I$13*(1+$D$5)^($A62/4))&gt;0)*('2. The tape'!$C$5:$C$13*'2. The tape'!$D$5:$D$13*(1-'2. The tape'!$J$5:$J$13)^($A62/4)*(1+$D$5)^($A62/4)*((1-'3. Assumptions'!$B$13)/($D$6)-'2. The tape'!$H$5:$H$13/12-'3. Assumptions'!$B$16)-'2. The tape'!$C$5:$C$13*'2. The tape'!$I$5:$I$13*(1+$D$5)^($A62/4)))</f>
        <v>89869215.9519065</v>
      </c>
      <c r="F62" s="33" t="n">
        <f aca="false">'2. The tape'!$C$17*(1+MIN(MAX($F$5,'3. Assumptions'!$B$11),'3. Assumptions'!$B$10))^INT(($A62-1)/4)/4*(1-'3. Assumptions'!$B$13)</f>
        <v>3344875.50803925</v>
      </c>
      <c r="G62" s="33" t="n">
        <f aca="false">(1-'3. Assumptions'!$B$15)*SUMPRODUCT((('2. The tape'!$C$5:$C$13*'2. The tape'!$D$5:$D$13*(1-'2. The tape'!$J$5:$J$13)^($A62/4)*(1+$F$5)^($A62/4)*((1-'3. Assumptions'!$B$13)/($F$6)-'2. The tape'!$H$5:$H$13/12-'3. Assumptions'!$B$16)-'2. The tape'!$C$5:$C$13*'2. The tape'!$I$5:$I$13*(1+$F$5)^($A62/4))&gt;0)*('2. The tape'!$C$5:$C$13*'2. The tape'!$D$5:$D$13*(1-'2. The tape'!$J$5:$J$13)^($A62/4)*(1+$F$5)^($A62/4)*((1-'3. Assumptions'!$B$13)/($F$6)-'2. The tape'!$H$5:$H$13/12-'3. Assumptions'!$B$16)-'2. The tape'!$C$5:$C$13*'2. The tape'!$I$5:$I$13*(1+$F$5)^($A62/4)))</f>
        <v>67427643.9179243</v>
      </c>
      <c r="H62" s="33" t="n">
        <f aca="false">'2. The tape'!$C$17*(1+MIN(MAX($H$5,'3. Assumptions'!$B$11),'3. Assumptions'!$B$10))^INT(($A62-1)/4)/4*(1-'3. Assumptions'!$B$13)</f>
        <v>4150059.45577259</v>
      </c>
      <c r="I62" s="33" t="n">
        <f aca="false">(1-'3. Assumptions'!$B$15)*SUMPRODUCT((('2. The tape'!$C$5:$C$13*'2. The tape'!$D$5:$D$13*(1-'2. The tape'!$J$5:$J$13)^($A62/4)*(1+$H$5)^($A62/4)*((1-'3. Assumptions'!$B$13)/($H$6)-'2. The tape'!$H$5:$H$13/12-'3. Assumptions'!$B$16)-'2. The tape'!$C$5:$C$13*'2. The tape'!$I$5:$I$13*(1+$H$5)^($A62/4))&gt;0)*('2. The tape'!$C$5:$C$13*'2. The tape'!$D$5:$D$13*(1-'2. The tape'!$J$5:$J$13)^($A62/4)*(1+$H$5)^($A62/4)*((1-'3. Assumptions'!$B$13)/($H$6)-'2. The tape'!$H$5:$H$13/12-'3. Assumptions'!$B$16)-'2. The tape'!$C$5:$C$13*'2. The tape'!$I$5:$I$13*(1+$H$5)^($A62/4)))</f>
        <v>89869215.9519065</v>
      </c>
      <c r="J62" s="33" t="n">
        <f aca="false">'2. The tape'!$C$17*(1+MIN(MAX($J$5,'3. Assumptions'!$B$11),'3. Assumptions'!$B$10))^INT(($A62-1)/4)/4*(1-'3. Assumptions'!$B$13)</f>
        <v>3808944.99186804</v>
      </c>
      <c r="K62" s="33" t="n">
        <f aca="false">(1-'3. Assumptions'!$B$15)*SUMPRODUCT((('2. The tape'!$C$5:$C$13*'2. The tape'!$D$5:$D$13*(1-'2. The tape'!$J$5:$J$13)^($A62/4)*(1+$J$5)^($A62/4)*((1-'3. Assumptions'!$B$13)/($J$6)-'2. The tape'!$H$5:$H$13/12-'3. Assumptions'!$B$16)-'2. The tape'!$C$5:$C$13*'2. The tape'!$I$5:$I$13*(1+$J$5)^($A62/4))&gt;0)*('2. The tape'!$C$5:$C$13*'2. The tape'!$D$5:$D$13*(1-'2. The tape'!$J$5:$J$13)^($A62/4)*(1+$J$5)^($A62/4)*((1-'3. Assumptions'!$B$13)/($J$6)-'2. The tape'!$H$5:$H$13/12-'3. Assumptions'!$B$16)-'2. The tape'!$C$5:$C$13*'2. The tape'!$I$5:$I$13*(1+$J$5)^($A62/4)))</f>
        <v>63412078.5557288</v>
      </c>
      <c r="L62" s="33" t="n">
        <f aca="false">'2. The tape'!$C$17*(1+MIN(MAX($L$5,'3. Assumptions'!$B$11),'3. Assumptions'!$B$10))^INT(($A62-1)/4)/4*(1-'3. Assumptions'!$B$13)</f>
        <v>4150059.45577259</v>
      </c>
      <c r="M62" s="33" t="n">
        <f aca="false">(1-'3. Assumptions'!$B$15)*SUMPRODUCT((('2. The tape'!$C$5:$C$13*'2. The tape'!$D$5:$D$13*(1-'2. The tape'!$J$5:$J$13)^($A62/4)*(1+$L$5)^($A62/4)*((1-'3. Assumptions'!$B$13)/($L$6)-'2. The tape'!$H$5:$H$13/12-'3. Assumptions'!$B$16)-'2. The tape'!$C$5:$C$13*'2. The tape'!$I$5:$I$13*(1+$L$5)^($A62/4))&gt;0)*('2. The tape'!$C$5:$C$13*'2. The tape'!$D$5:$D$13*(1-'2. The tape'!$J$5:$J$13)^($A62/4)*(1+$L$5)^($A62/4)*((1-'3. Assumptions'!$B$13)/($L$6)-'2. The tape'!$H$5:$H$13/12-'3. Assumptions'!$B$16)-'2. The tape'!$C$5:$C$13*'2. The tape'!$I$5:$I$13*(1+$L$5)^($A62/4)))</f>
        <v>1308869152.40692</v>
      </c>
      <c r="N62" s="33" t="n">
        <f aca="false">'2. The tape'!$C$17*(1+MIN(MAX($N$5,'3. Assumptions'!$B$11),'3. Assumptions'!$B$10))^INT(($A62-1)/4)/4*(1-'3. Assumptions'!$B$13)</f>
        <v>2998091.25</v>
      </c>
      <c r="O62" s="33" t="n">
        <f aca="false">(1-'3. Assumptions'!$B$15)*SUMPRODUCT((('2. The tape'!$C$5:$C$13*'2. The tape'!$D$5:$D$13*(1-'2. The tape'!$J$5:$J$13)^($A62/4)*(1+$N$5)^($A62/4)*((1-'3. Assumptions'!$B$13)/($N$6)-'2. The tape'!$H$5:$H$13/12-'3. Assumptions'!$B$16)-'2. The tape'!$C$5:$C$13*'2. The tape'!$I$5:$I$13*(1+$N$5)^($A62/4))&gt;0)*('2. The tape'!$C$5:$C$13*'2. The tape'!$D$5:$D$13*(1-'2. The tape'!$J$5:$J$13)^($A62/4)*(1+$N$5)^($A62/4)*((1-'3. Assumptions'!$B$13)/($N$6)-'2. The tape'!$H$5:$H$13/12-'3. Assumptions'!$B$16)-'2. The tape'!$C$5:$C$13*'2. The tape'!$I$5:$I$13*(1+$N$5)^($A62/4)))</f>
        <v>41940124.9829505</v>
      </c>
      <c r="P62" s="33" t="n">
        <f aca="false">'2. The tape'!$C$17*(1+MIN(MAX($P$5,'3. Assumptions'!$B$11),'3. Assumptions'!$B$10))^INT(($A62-1)/4)/4*(1-'3. Assumptions'!$B$13)</f>
        <v>2998091.25</v>
      </c>
      <c r="Q62" s="33" t="n">
        <f aca="false">(1-'3. Assumptions'!$B$15)*SUMPRODUCT((('2. The tape'!$C$5:$C$13*'2. The tape'!$D$5:$D$13*(1-'2. The tape'!$J$5:$J$13)^($A62/4)*(1+$P$5)^($A62/4)*((1-'3. Assumptions'!$B$13)/($P$6)-'2. The tape'!$H$5:$H$13/12-'3. Assumptions'!$B$16)-'2. The tape'!$C$5:$C$13*'2. The tape'!$I$5:$I$13*(1+$P$5)^($A62/4))&gt;0)*('2. The tape'!$C$5:$C$13*'2. The tape'!$D$5:$D$13*(1-'2. The tape'!$J$5:$J$13)^($A62/4)*(1+$P$5)^($A62/4)*((1-'3. Assumptions'!$B$13)/($P$6)-'2. The tape'!$H$5:$H$13/12-'3. Assumptions'!$B$16)-'2. The tape'!$C$5:$C$13*'2. The tape'!$I$5:$I$13*(1+$P$5)^($A62/4)))</f>
        <v>47311665.0022029</v>
      </c>
      <c r="R62" s="33" t="n">
        <f aca="false">'2. The tape'!$C$17*(1+MIN(MAX($R$5,'3. Assumptions'!$B$11),'3. Assumptions'!$B$10))^INT(($A62-1)/4)/4*(1-'3. Assumptions'!$B$13)</f>
        <v>2998091.25</v>
      </c>
      <c r="S62" s="33" t="n">
        <f aca="false">(1-'3. Assumptions'!$B$15)*SUMPRODUCT((('2. The tape'!$C$5:$C$13*'2. The tape'!$D$5:$D$13*(1-'2. The tape'!$J$5:$J$13)^($A62/4)*(1+$R$5)^($A62/4)*((1-'3. Assumptions'!$B$13)/($R$6)-'2. The tape'!$H$5:$H$13/12-'3. Assumptions'!$B$16)-'2. The tape'!$C$5:$C$13*'2. The tape'!$I$5:$I$13*(1+$R$5)^($A62/4))&gt;0)*('2. The tape'!$C$5:$C$13*'2. The tape'!$D$5:$D$13*(1-'2. The tape'!$J$5:$J$13)^($A62/4)*(1+$R$5)^($A62/4)*((1-'3. Assumptions'!$B$13)/($R$6)-'2. The tape'!$H$5:$H$13/12-'3. Assumptions'!$B$16)-'2. The tape'!$C$5:$C$13*'2. The tape'!$I$5:$I$13*(1+$R$5)^($A62/4)))</f>
        <v>43989523.3923996</v>
      </c>
      <c r="T62" s="33" t="n">
        <f aca="false">'2. The tape'!$C$17*(1+MIN(MAX($T$5,'3. Assumptions'!$B$11),'3. Assumptions'!$B$10))^INT(($A62-1)/4)/4*(1-'3. Assumptions'!$B$13)</f>
        <v>2998091.25</v>
      </c>
      <c r="U62" s="33" t="n">
        <f aca="false">(1-'3. Assumptions'!$B$15)*SUMPRODUCT((('2. The tape'!$C$5:$C$13*'2. The tape'!$D$5:$D$13*(1-'2. The tape'!$J$5:$J$13)^($A62/4)*(1+$T$5)^($A62/4)*((1-'3. Assumptions'!$B$13)/($T$6)-'2. The tape'!$H$5:$H$13/12-'3. Assumptions'!$B$16)-'2. The tape'!$C$5:$C$13*'2. The tape'!$I$5:$I$13*(1+$T$5)^($A62/4))&gt;0)*('2. The tape'!$C$5:$C$13*'2. The tape'!$D$5:$D$13*(1-'2. The tape'!$J$5:$J$13)^($A62/4)*(1+$T$5)^($A62/4)*((1-'3. Assumptions'!$B$13)/($T$6)-'2. The tape'!$H$5:$H$13/12-'3. Assumptions'!$B$16)-'2. The tape'!$C$5:$C$13*'2. The tape'!$I$5:$I$13*(1+$T$5)^($A62/4)))</f>
        <v>43902463.317334</v>
      </c>
      <c r="V62" s="33" t="n">
        <f aca="false">'2. The tape'!$C$17*(1+MIN(MAX($V$5,'3. Assumptions'!$B$11),'3. Assumptions'!$B$10))^INT(($A62-1)/4)/4*(1-'3. Assumptions'!$B$13)</f>
        <v>2998091.25</v>
      </c>
      <c r="W62" s="33" t="n">
        <f aca="false">(1-'3. Assumptions'!$B$15)*SUMPRODUCT((('2. The tape'!$C$5:$C$13*'2. The tape'!$D$5:$D$13*(1-'2. The tape'!$J$5:$J$13)^($A62/4)*(1+$V$5)^($A62/4)*((1-'3. Assumptions'!$B$13)/($V$6)-'2. The tape'!$H$5:$H$13/12-'3. Assumptions'!$B$16)-'2. The tape'!$C$5:$C$13*'2. The tape'!$I$5:$I$13*(1+$V$5)^($A62/4))&gt;0)*('2. The tape'!$C$5:$C$13*'2. The tape'!$D$5:$D$13*(1-'2. The tape'!$J$5:$J$13)^($A62/4)*(1+$V$5)^($A62/4)*((1-'3. Assumptions'!$B$13)/($V$6)-'2. The tape'!$H$5:$H$13/12-'3. Assumptions'!$B$16)-'2. The tape'!$C$5:$C$13*'2. The tape'!$I$5:$I$13*(1+$V$5)^($A62/4)))</f>
        <v>43905958.2656482</v>
      </c>
      <c r="X62" s="33" t="n">
        <f aca="false">'2. The tape'!$C$17*(1+MIN(MAX($X$5,'3. Assumptions'!$B$11),'3. Assumptions'!$B$10))^INT(($A62-1)/4)/4*(1-'3. Assumptions'!$B$13)</f>
        <v>2998091.25</v>
      </c>
      <c r="Y62" s="33" t="n">
        <f aca="false">(1-'3. Assumptions'!$B$15)*SUMPRODUCT((('2. The tape'!$C$5:$C$13*'2. The tape'!$D$5:$D$13*(1-'2. The tape'!$J$5:$J$13)^($A62/4)*(1+$X$5)^($A62/4)*((1-'3. Assumptions'!$B$13)/($X$6)-'2. The tape'!$H$5:$H$13/12-'3. Assumptions'!$B$16)-'2. The tape'!$C$5:$C$13*'2. The tape'!$I$5:$I$13*(1+$X$5)^($A62/4))&gt;0)*('2. The tape'!$C$5:$C$13*'2. The tape'!$D$5:$D$13*(1-'2. The tape'!$J$5:$J$13)^($A62/4)*(1+$X$5)^($A62/4)*((1-'3. Assumptions'!$B$13)/($X$6)-'2. The tape'!$H$5:$H$13/12-'3. Assumptions'!$B$16)-'2. The tape'!$C$5:$C$13*'2. The tape'!$I$5:$I$13*(1+$X$5)^($A62/4)))</f>
        <v>43905954.590359</v>
      </c>
      <c r="Z62" s="33" t="n">
        <f aca="false">'2. The tape'!$C$17*(1+MIN(MAX($Z$5,'3. Assumptions'!$B$11),'3. Assumptions'!$B$10))^INT(($A62-1)/4)/4*(1-'3. Assumptions'!$B$13)</f>
        <v>2998091.25</v>
      </c>
      <c r="AA62" s="33" t="n">
        <f aca="false">(1-'3. Assumptions'!$B$15)*SUMPRODUCT((('2. The tape'!$C$5:$C$13*'2. The tape'!$D$5:$D$13*(1-'2. The tape'!$J$5:$J$13)^($A62/4)*(1+$Z$5)^($A62/4)*((1-'3. Assumptions'!$B$13)/($Z$6)-'2. The tape'!$H$5:$H$13/12-'3. Assumptions'!$B$16)-'2. The tape'!$C$5:$C$13*'2. The tape'!$I$5:$I$13*(1+$Z$5)^($A62/4))&gt;0)*('2. The tape'!$C$5:$C$13*'2. The tape'!$D$5:$D$13*(1-'2. The tape'!$J$5:$J$13)^($A62/4)*(1+$Z$5)^($A62/4)*((1-'3. Assumptions'!$B$13)/($Z$6)-'2. The tape'!$H$5:$H$13/12-'3. Assumptions'!$B$16)-'2. The tape'!$C$5:$C$13*'2. The tape'!$I$5:$I$13*(1+$Z$5)^($A62/4)))</f>
        <v>43905954.5901972</v>
      </c>
      <c r="AB62" s="33" t="n">
        <f aca="false">'2. The tape'!$C$17*(1+MIN(MAX($AB$5,'3. Assumptions'!$B$11),'3. Assumptions'!$B$10))^INT(($A62-1)/4)/4*(1-'3. Assumptions'!$B$13)</f>
        <v>2998091.25</v>
      </c>
      <c r="AC62" s="33" t="n">
        <f aca="false">(1-'3. Assumptions'!$B$15)*SUMPRODUCT((('2. The tape'!$C$5:$C$13*'2. The tape'!$D$5:$D$13*(1-'2. The tape'!$J$5:$J$13)^($A62/4)*(1+$AB$5)^($A62/4)*((1-'3. Assumptions'!$B$13)/($AB$6)-'2. The tape'!$H$5:$H$13/12-'3. Assumptions'!$B$16)-'2. The tape'!$C$5:$C$13*'2. The tape'!$I$5:$I$13*(1+$AB$5)^($A62/4))&gt;0)*('2. The tape'!$C$5:$C$13*'2. The tape'!$D$5:$D$13*(1-'2. The tape'!$J$5:$J$13)^($A62/4)*(1+$AB$5)^($A62/4)*((1-'3. Assumptions'!$B$13)/($AB$6)-'2. The tape'!$H$5:$H$13/12-'3. Assumptions'!$B$16)-'2. The tape'!$C$5:$C$13*'2. The tape'!$I$5:$I$13*(1+$AB$5)^($A62/4)))</f>
        <v>43905954.5901972</v>
      </c>
      <c r="AD62" s="33" t="n">
        <f aca="false">'2. The tape'!$C$17*(1+MIN(MAX($AD$5,'3. Assumptions'!$B$11),'3. Assumptions'!$B$10))^INT(($A62-1)/4)/4*(1-'3. Assumptions'!$B$13)</f>
        <v>2998091.25</v>
      </c>
      <c r="AE62" s="33" t="n">
        <f aca="false">(1-'3. Assumptions'!$B$15)*SUMPRODUCT((('2. The tape'!$C$5:$C$13*'2. The tape'!$D$5:$D$13*(1-'2. The tape'!$J$5:$J$13)^($A62/4)*(1+$AD$5)^($A62/4)*((1-'3. Assumptions'!$B$13)/($AD$6)-'2. The tape'!$H$5:$H$13/12-'3. Assumptions'!$B$16)-'2. The tape'!$C$5:$C$13*'2. The tape'!$I$5:$I$13*(1+$AD$5)^($A62/4))&gt;0)*('2. The tape'!$C$5:$C$13*'2. The tape'!$D$5:$D$13*(1-'2. The tape'!$J$5:$J$13)^($A62/4)*(1+$AD$5)^($A62/4)*((1-'3. Assumptions'!$B$13)/($AD$6)-'2. The tape'!$H$5:$H$13/12-'3. Assumptions'!$B$16)-'2. The tape'!$C$5:$C$13*'2. The tape'!$I$5:$I$13*(1+$AD$5)^($A62/4)))</f>
        <v>43905954.5901972</v>
      </c>
      <c r="AF62" s="33" t="n">
        <f aca="false">'2. The tape'!$C$17*(1+MIN(MAX($AF$5,'3. Assumptions'!$B$11),'3. Assumptions'!$B$10))^INT(($A62-1)/4)/4*(1-'3. Assumptions'!$B$13)</f>
        <v>2998091.25</v>
      </c>
      <c r="AG62" s="33" t="n">
        <f aca="false">(1-'3. Assumptions'!$B$15)*SUMPRODUCT((('2. The tape'!$C$5:$C$13*'2. The tape'!$D$5:$D$13*(1-'2. The tape'!$J$5:$J$13)^($A62/4)*(1+$AF$5)^($A62/4)*((1-'3. Assumptions'!$B$13)/($AF$6)-'2. The tape'!$H$5:$H$13/12-'3. Assumptions'!$B$16)-'2. The tape'!$C$5:$C$13*'2. The tape'!$I$5:$I$13*(1+$AF$5)^($A62/4))&gt;0)*('2. The tape'!$C$5:$C$13*'2. The tape'!$D$5:$D$13*(1-'2. The tape'!$J$5:$J$13)^($A62/4)*(1+$AF$5)^($A62/4)*((1-'3. Assumptions'!$B$13)/($AF$6)-'2. The tape'!$H$5:$H$13/12-'3. Assumptions'!$B$16)-'2. The tape'!$C$5:$C$13*'2. The tape'!$I$5:$I$13*(1+$AF$5)^($A62/4)))</f>
        <v>43905954.5901972</v>
      </c>
      <c r="AH62" s="33" t="n">
        <f aca="false">'2. The tape'!$C$17*(1+MIN(MAX($AH$5,'3. Assumptions'!$B$11),'3. Assumptions'!$B$10))^INT(($A62-1)/4)/4*(1-'3. Assumptions'!$B$13)</f>
        <v>3808944.99186804</v>
      </c>
      <c r="AI62" s="33" t="n">
        <f aca="false">(1-'3. Assumptions'!$B$15)*SUMPRODUCT((('2. The tape'!$C$5:$C$13*'2. The tape'!$D$5:$D$13*(1-'2. The tape'!$J$5:$J$13)^($A62/4)*(1+$AH$5)^($A62/4)*((1-'3. Assumptions'!$B$13)/($AH$6)-'2. The tape'!$H$5:$H$13/12-'3. Assumptions'!$B$16)-'2. The tape'!$C$5:$C$13*'2. The tape'!$I$5:$I$13*(1+$AH$5)^($A62/4))&gt;0)*('2. The tape'!$C$5:$C$13*'2. The tape'!$D$5:$D$13*(1-'2. The tape'!$J$5:$J$13)^($A62/4)*(1+$AH$5)^($A62/4)*((1-'3. Assumptions'!$B$13)/($AH$6)-'2. The tape'!$H$5:$H$13/12-'3. Assumptions'!$B$16)-'2. The tape'!$C$5:$C$13*'2. The tape'!$I$5:$I$13*(1+$AH$5)^($A62/4)))</f>
        <v>154198955.57039</v>
      </c>
      <c r="AJ62" s="33" t="n">
        <f aca="false">'2. The tape'!$C$17*(1+MIN(MAX($AJ$5,'3. Assumptions'!$B$11),'3. Assumptions'!$B$10))^INT(($A62-1)/4)/4*(1-'3. Assumptions'!$B$13)</f>
        <v>3808944.99186804</v>
      </c>
      <c r="AK62" s="33" t="n">
        <f aca="false">(1-'3. Assumptions'!$B$15)*SUMPRODUCT((('2. The tape'!$C$5:$C$13*'2. The tape'!$D$5:$D$13*(1-'2. The tape'!$J$5:$J$13)^($A62/4)*(1+$AJ$5)^($A62/4)*((1-'3. Assumptions'!$B$13)/($AJ$6)-'2. The tape'!$H$5:$H$13/12-'3. Assumptions'!$B$16)-'2. The tape'!$C$5:$C$13*'2. The tape'!$I$5:$I$13*(1+$AJ$5)^($A62/4))&gt;0)*('2. The tape'!$C$5:$C$13*'2. The tape'!$D$5:$D$13*(1-'2. The tape'!$J$5:$J$13)^($A62/4)*(1+$AJ$5)^($A62/4)*((1-'3. Assumptions'!$B$13)/($AJ$6)-'2. The tape'!$H$5:$H$13/12-'3. Assumptions'!$B$16)-'2. The tape'!$C$5:$C$13*'2. The tape'!$I$5:$I$13*(1+$AJ$5)^($A62/4)))</f>
        <v>111194645.40555</v>
      </c>
      <c r="AL62" s="33" t="n">
        <f aca="false">'2. The tape'!$C$17*(1+MIN(MAX($AL$5,'3. Assumptions'!$B$11),'3. Assumptions'!$B$10))^INT(($A62-1)/4)/4*(1-'3. Assumptions'!$B$13)</f>
        <v>3808944.99186804</v>
      </c>
      <c r="AM62" s="33" t="n">
        <f aca="false">(1-'3. Assumptions'!$B$15)*SUMPRODUCT((('2. The tape'!$C$5:$C$13*'2. The tape'!$D$5:$D$13*(1-'2. The tape'!$J$5:$J$13)^($A62/4)*(1+$AL$5)^($A62/4)*((1-'3. Assumptions'!$B$13)/($AL$6)-'2. The tape'!$H$5:$H$13/12-'3. Assumptions'!$B$16)-'2. The tape'!$C$5:$C$13*'2. The tape'!$I$5:$I$13*(1+$AL$5)^($A62/4))&gt;0)*('2. The tape'!$C$5:$C$13*'2. The tape'!$D$5:$D$13*(1-'2. The tape'!$J$5:$J$13)^($A62/4)*(1+$AL$5)^($A62/4)*((1-'3. Assumptions'!$B$13)/($AL$6)-'2. The tape'!$H$5:$H$13/12-'3. Assumptions'!$B$16)-'2. The tape'!$C$5:$C$13*'2. The tape'!$I$5:$I$13*(1+$AL$5)^($A62/4)))</f>
        <v>127873585.422634</v>
      </c>
      <c r="AN62" s="33" t="n">
        <f aca="false">'2. The tape'!$C$17*(1+MIN(MAX($AN$5,'3. Assumptions'!$B$11),'3. Assumptions'!$B$10))^INT(($A62-1)/4)/4*(1-'3. Assumptions'!$B$13)</f>
        <v>3808944.99186804</v>
      </c>
      <c r="AO62" s="33" t="n">
        <f aca="false">(1-'3. Assumptions'!$B$15)*SUMPRODUCT((('2. The tape'!$C$5:$C$13*'2. The tape'!$D$5:$D$13*(1-'2. The tape'!$J$5:$J$13)^($A62/4)*(1+$AN$5)^($A62/4)*((1-'3. Assumptions'!$B$13)/($AN$6)-'2. The tape'!$H$5:$H$13/12-'3. Assumptions'!$B$16)-'2. The tape'!$C$5:$C$13*'2. The tape'!$I$5:$I$13*(1+$AN$5)^($A62/4))&gt;0)*('2. The tape'!$C$5:$C$13*'2. The tape'!$D$5:$D$13*(1-'2. The tape'!$J$5:$J$13)^($A62/4)*(1+$AN$5)^($A62/4)*((1-'3. Assumptions'!$B$13)/($AN$6)-'2. The tape'!$H$5:$H$13/12-'3. Assumptions'!$B$16)-'2. The tape'!$C$5:$C$13*'2. The tape'!$I$5:$I$13*(1+$AN$5)^($A62/4)))</f>
        <v>130996395.190059</v>
      </c>
      <c r="AP62" s="33" t="n">
        <f aca="false">'2. The tape'!$C$17*(1+MIN(MAX($AP$5,'3. Assumptions'!$B$11),'3. Assumptions'!$B$10))^INT(($A62-1)/4)/4*(1-'3. Assumptions'!$B$13)</f>
        <v>3808944.99186804</v>
      </c>
      <c r="AQ62" s="33" t="n">
        <f aca="false">(1-'3. Assumptions'!$B$15)*SUMPRODUCT((('2. The tape'!$C$5:$C$13*'2. The tape'!$D$5:$D$13*(1-'2. The tape'!$J$5:$J$13)^($A62/4)*(1+$AP$5)^($A62/4)*((1-'3. Assumptions'!$B$13)/($AP$6)-'2. The tape'!$H$5:$H$13/12-'3. Assumptions'!$B$16)-'2. The tape'!$C$5:$C$13*'2. The tape'!$I$5:$I$13*(1+$AP$5)^($A62/4))&gt;0)*('2. The tape'!$C$5:$C$13*'2. The tape'!$D$5:$D$13*(1-'2. The tape'!$J$5:$J$13)^($A62/4)*(1+$AP$5)^($A62/4)*((1-'3. Assumptions'!$B$13)/($AP$6)-'2. The tape'!$H$5:$H$13/12-'3. Assumptions'!$B$16)-'2. The tape'!$C$5:$C$13*'2. The tape'!$I$5:$I$13*(1+$AP$5)^($A62/4)))</f>
        <v>130610890.732393</v>
      </c>
      <c r="AR62" s="33" t="n">
        <f aca="false">'2. The tape'!$C$17*(1+MIN(MAX($AR$5,'3. Assumptions'!$B$11),'3. Assumptions'!$B$10))^INT(($A62-1)/4)/4*(1-'3. Assumptions'!$B$13)</f>
        <v>3808944.99186804</v>
      </c>
      <c r="AS62" s="33" t="n">
        <f aca="false">(1-'3. Assumptions'!$B$15)*SUMPRODUCT((('2. The tape'!$C$5:$C$13*'2. The tape'!$D$5:$D$13*(1-'2. The tape'!$J$5:$J$13)^($A62/4)*(1+$AR$5)^($A62/4)*((1-'3. Assumptions'!$B$13)/($AR$6)-'2. The tape'!$H$5:$H$13/12-'3. Assumptions'!$B$16)-'2. The tape'!$C$5:$C$13*'2. The tape'!$I$5:$I$13*(1+$AR$5)^($A62/4))&gt;0)*('2. The tape'!$C$5:$C$13*'2. The tape'!$D$5:$D$13*(1-'2. The tape'!$J$5:$J$13)^($A62/4)*(1+$AR$5)^($A62/4)*((1-'3. Assumptions'!$B$13)/($AR$6)-'2. The tape'!$H$5:$H$13/12-'3. Assumptions'!$B$16)-'2. The tape'!$C$5:$C$13*'2. The tape'!$I$5:$I$13*(1+$AR$5)^($A62/4)))</f>
        <v>130617358.945016</v>
      </c>
      <c r="AT62" s="33" t="n">
        <f aca="false">'2. The tape'!$C$17*(1+MIN(MAX($AT$5,'3. Assumptions'!$B$11),'3. Assumptions'!$B$10))^INT(($A62-1)/4)/4*(1-'3. Assumptions'!$B$13)</f>
        <v>3808944.99186804</v>
      </c>
      <c r="AU62" s="33" t="n">
        <f aca="false">(1-'3. Assumptions'!$B$15)*SUMPRODUCT((('2. The tape'!$C$5:$C$13*'2. The tape'!$D$5:$D$13*(1-'2. The tape'!$J$5:$J$13)^($A62/4)*(1+$AT$5)^($A62/4)*((1-'3. Assumptions'!$B$13)/($AT$6)-'2. The tape'!$H$5:$H$13/12-'3. Assumptions'!$B$16)-'2. The tape'!$C$5:$C$13*'2. The tape'!$I$5:$I$13*(1+$AT$5)^($A62/4))&gt;0)*('2. The tape'!$C$5:$C$13*'2. The tape'!$D$5:$D$13*(1-'2. The tape'!$J$5:$J$13)^($A62/4)*(1+$AT$5)^($A62/4)*((1-'3. Assumptions'!$B$13)/($AT$6)-'2. The tape'!$H$5:$H$13/12-'3. Assumptions'!$B$16)-'2. The tape'!$C$5:$C$13*'2. The tape'!$I$5:$I$13*(1+$AT$5)^($A62/4)))</f>
        <v>130617374.007856</v>
      </c>
      <c r="AV62" s="33" t="n">
        <f aca="false">'2. The tape'!$C$17*(1+MIN(MAX($AV$5,'3. Assumptions'!$B$11),'3. Assumptions'!$B$10))^INT(($A62-1)/4)/4*(1-'3. Assumptions'!$B$13)</f>
        <v>3808944.99186804</v>
      </c>
      <c r="AW62" s="33" t="n">
        <f aca="false">(1-'3. Assumptions'!$B$15)*SUMPRODUCT((('2. The tape'!$C$5:$C$13*'2. The tape'!$D$5:$D$13*(1-'2. The tape'!$J$5:$J$13)^($A62/4)*(1+$AV$5)^($A62/4)*((1-'3. Assumptions'!$B$13)/($AV$6)-'2. The tape'!$H$5:$H$13/12-'3. Assumptions'!$B$16)-'2. The tape'!$C$5:$C$13*'2. The tape'!$I$5:$I$13*(1+$AV$5)^($A62/4))&gt;0)*('2. The tape'!$C$5:$C$13*'2. The tape'!$D$5:$D$13*(1-'2. The tape'!$J$5:$J$13)^($A62/4)*(1+$AV$5)^($A62/4)*((1-'3. Assumptions'!$B$13)/($AV$6)-'2. The tape'!$H$5:$H$13/12-'3. Assumptions'!$B$16)-'2. The tape'!$C$5:$C$13*'2. The tape'!$I$5:$I$13*(1+$AV$5)^($A62/4)))</f>
        <v>130617374.007256</v>
      </c>
      <c r="AX62" s="33" t="n">
        <f aca="false">'2. The tape'!$C$17*(1+MIN(MAX($AX$5,'3. Assumptions'!$B$11),'3. Assumptions'!$B$10))^INT(($A62-1)/4)/4*(1-'3. Assumptions'!$B$13)</f>
        <v>3808944.99186804</v>
      </c>
      <c r="AY62" s="33" t="n">
        <f aca="false">(1-'3. Assumptions'!$B$15)*SUMPRODUCT((('2. The tape'!$C$5:$C$13*'2. The tape'!$D$5:$D$13*(1-'2. The tape'!$J$5:$J$13)^($A62/4)*(1+$AX$5)^($A62/4)*((1-'3. Assumptions'!$B$13)/($AX$6)-'2. The tape'!$H$5:$H$13/12-'3. Assumptions'!$B$16)-'2. The tape'!$C$5:$C$13*'2. The tape'!$I$5:$I$13*(1+$AX$5)^($A62/4))&gt;0)*('2. The tape'!$C$5:$C$13*'2. The tape'!$D$5:$D$13*(1-'2. The tape'!$J$5:$J$13)^($A62/4)*(1+$AX$5)^($A62/4)*((1-'3. Assumptions'!$B$13)/($AX$6)-'2. The tape'!$H$5:$H$13/12-'3. Assumptions'!$B$16)-'2. The tape'!$C$5:$C$13*'2. The tape'!$I$5:$I$13*(1+$AX$5)^($A62/4)))</f>
        <v>130617374.007256</v>
      </c>
      <c r="AZ62" s="33" t="n">
        <f aca="false">'2. The tape'!$C$17*(1+MIN(MAX($AZ$5,'3. Assumptions'!$B$11),'3. Assumptions'!$B$10))^INT(($A62-1)/4)/4*(1-'3. Assumptions'!$B$13)</f>
        <v>3808944.99186804</v>
      </c>
      <c r="BA62" s="33" t="n">
        <f aca="false">(1-'3. Assumptions'!$B$15)*SUMPRODUCT((('2. The tape'!$C$5:$C$13*'2. The tape'!$D$5:$D$13*(1-'2. The tape'!$J$5:$J$13)^($A62/4)*(1+$AZ$5)^($A62/4)*((1-'3. Assumptions'!$B$13)/($AZ$6)-'2. The tape'!$H$5:$H$13/12-'3. Assumptions'!$B$16)-'2. The tape'!$C$5:$C$13*'2. The tape'!$I$5:$I$13*(1+$AZ$5)^($A62/4))&gt;0)*('2. The tape'!$C$5:$C$13*'2. The tape'!$D$5:$D$13*(1-'2. The tape'!$J$5:$J$13)^($A62/4)*(1+$AZ$5)^($A62/4)*((1-'3. Assumptions'!$B$13)/($AZ$6)-'2. The tape'!$H$5:$H$13/12-'3. Assumptions'!$B$16)-'2. The tape'!$C$5:$C$13*'2. The tape'!$I$5:$I$13*(1+$AZ$5)^($A62/4)))</f>
        <v>130617374.007256</v>
      </c>
    </row>
    <row r="63" customFormat="false" ht="15" hidden="false" customHeight="false" outlineLevel="0" collapsed="false">
      <c r="A63" s="20" t="n">
        <v>48</v>
      </c>
      <c r="B63" s="33" t="n">
        <f aca="false">'2. The tape'!$C$17*(1+MIN(MAX($B$5,'3. Assumptions'!$B$11),'3. Assumptions'!$B$10))^INT(($A63-1)/4)/4*(1-'3. Assumptions'!$B$13)</f>
        <v>3808944.99186804</v>
      </c>
      <c r="C63" s="33" t="n">
        <f aca="false">(1-'3. Assumptions'!$B$15)*SUMPRODUCT((('2. The tape'!$C$5:$C$13*'2. The tape'!$D$5:$D$13*(1-'2. The tape'!$J$5:$J$13)^($A63/4)*(1+$B$5)^($A63/4)*((1-'3. Assumptions'!$B$13)/($B$6)-'2. The tape'!$H$5:$H$13/12-'3. Assumptions'!$B$16)-'2. The tape'!$C$5:$C$13*'2. The tape'!$I$5:$I$13*(1+$B$5)^($A63/4))&gt;0)*('2. The tape'!$C$5:$C$13*'2. The tape'!$D$5:$D$13*(1-'2. The tape'!$J$5:$J$13)^($A63/4)*(1+$B$5)^($A63/4)*((1-'3. Assumptions'!$B$13)/($B$6)-'2. The tape'!$H$5:$H$13/12-'3. Assumptions'!$B$16)-'2. The tape'!$C$5:$C$13*'2. The tape'!$I$5:$I$13*(1+$B$5)^($A63/4)))</f>
        <v>77365292.8724966</v>
      </c>
      <c r="D63" s="33" t="n">
        <f aca="false">'2. The tape'!$C$17*(1+MIN(MAX($D$5,'3. Assumptions'!$B$11),'3. Assumptions'!$B$10))^INT(($A63-1)/4)/4*(1-'3. Assumptions'!$B$13)</f>
        <v>4150059.45577259</v>
      </c>
      <c r="E63" s="33" t="n">
        <f aca="false">(1-'3. Assumptions'!$B$15)*SUMPRODUCT((('2. The tape'!$C$5:$C$13*'2. The tape'!$D$5:$D$13*(1-'2. The tape'!$J$5:$J$13)^($A63/4)*(1+$D$5)^($A63/4)*((1-'3. Assumptions'!$B$13)/($D$6)-'2. The tape'!$H$5:$H$13/12-'3. Assumptions'!$B$16)-'2. The tape'!$C$5:$C$13*'2. The tape'!$I$5:$I$13*(1+$D$5)^($A63/4))&gt;0)*('2. The tape'!$C$5:$C$13*'2. The tape'!$D$5:$D$13*(1-'2. The tape'!$J$5:$J$13)^($A63/4)*(1+$D$5)^($A63/4)*((1-'3. Assumptions'!$B$13)/($D$6)-'2. The tape'!$H$5:$H$13/12-'3. Assumptions'!$B$16)-'2. The tape'!$C$5:$C$13*'2. The tape'!$I$5:$I$13*(1+$D$5)^($A63/4)))</f>
        <v>90036710.9637015</v>
      </c>
      <c r="F63" s="33" t="n">
        <f aca="false">'2. The tape'!$C$17*(1+MIN(MAX($F$5,'3. Assumptions'!$B$11),'3. Assumptions'!$B$10))^INT(($A63-1)/4)/4*(1-'3. Assumptions'!$B$13)</f>
        <v>3344875.50803925</v>
      </c>
      <c r="G63" s="33" t="n">
        <f aca="false">(1-'3. Assumptions'!$B$15)*SUMPRODUCT((('2. The tape'!$C$5:$C$13*'2. The tape'!$D$5:$D$13*(1-'2. The tape'!$J$5:$J$13)^($A63/4)*(1+$F$5)^($A63/4)*((1-'3. Assumptions'!$B$13)/($F$6)-'2. The tape'!$H$5:$H$13/12-'3. Assumptions'!$B$16)-'2. The tape'!$C$5:$C$13*'2. The tape'!$I$5:$I$13*(1+$F$5)^($A63/4))&gt;0)*('2. The tape'!$C$5:$C$13*'2. The tape'!$D$5:$D$13*(1-'2. The tape'!$J$5:$J$13)^($A63/4)*(1+$F$5)^($A63/4)*((1-'3. Assumptions'!$B$13)/($F$6)-'2. The tape'!$H$5:$H$13/12-'3. Assumptions'!$B$16)-'2. The tape'!$C$5:$C$13*'2. The tape'!$I$5:$I$13*(1+$F$5)^($A63/4)))</f>
        <v>67141634.5322297</v>
      </c>
      <c r="H63" s="33" t="n">
        <f aca="false">'2. The tape'!$C$17*(1+MIN(MAX($H$5,'3. Assumptions'!$B$11),'3. Assumptions'!$B$10))^INT(($A63-1)/4)/4*(1-'3. Assumptions'!$B$13)</f>
        <v>4150059.45577259</v>
      </c>
      <c r="I63" s="33" t="n">
        <f aca="false">(1-'3. Assumptions'!$B$15)*SUMPRODUCT((('2. The tape'!$C$5:$C$13*'2. The tape'!$D$5:$D$13*(1-'2. The tape'!$J$5:$J$13)^($A63/4)*(1+$H$5)^($A63/4)*((1-'3. Assumptions'!$B$13)/($H$6)-'2. The tape'!$H$5:$H$13/12-'3. Assumptions'!$B$16)-'2. The tape'!$C$5:$C$13*'2. The tape'!$I$5:$I$13*(1+$H$5)^($A63/4))&gt;0)*('2. The tape'!$C$5:$C$13*'2. The tape'!$D$5:$D$13*(1-'2. The tape'!$J$5:$J$13)^($A63/4)*(1+$H$5)^($A63/4)*((1-'3. Assumptions'!$B$13)/($H$6)-'2. The tape'!$H$5:$H$13/12-'3. Assumptions'!$B$16)-'2. The tape'!$C$5:$C$13*'2. The tape'!$I$5:$I$13*(1+$H$5)^($A63/4)))</f>
        <v>90036710.9637015</v>
      </c>
      <c r="J63" s="33" t="n">
        <f aca="false">'2. The tape'!$C$17*(1+MIN(MAX($J$5,'3. Assumptions'!$B$11),'3. Assumptions'!$B$10))^INT(($A63-1)/4)/4*(1-'3. Assumptions'!$B$13)</f>
        <v>3808944.99186804</v>
      </c>
      <c r="K63" s="33" t="n">
        <f aca="false">(1-'3. Assumptions'!$B$15)*SUMPRODUCT((('2. The tape'!$C$5:$C$13*'2. The tape'!$D$5:$D$13*(1-'2. The tape'!$J$5:$J$13)^($A63/4)*(1+$J$5)^($A63/4)*((1-'3. Assumptions'!$B$13)/($J$6)-'2. The tape'!$H$5:$H$13/12-'3. Assumptions'!$B$16)-'2. The tape'!$C$5:$C$13*'2. The tape'!$I$5:$I$13*(1+$J$5)^($A63/4))&gt;0)*('2. The tape'!$C$5:$C$13*'2. The tape'!$D$5:$D$13*(1-'2. The tape'!$J$5:$J$13)^($A63/4)*(1+$J$5)^($A63/4)*((1-'3. Assumptions'!$B$13)/($J$6)-'2. The tape'!$H$5:$H$13/12-'3. Assumptions'!$B$16)-'2. The tape'!$C$5:$C$13*'2. The tape'!$I$5:$I$13*(1+$J$5)^($A63/4)))</f>
        <v>63312224.9205804</v>
      </c>
      <c r="L63" s="33" t="n">
        <f aca="false">'2. The tape'!$C$17*(1+MIN(MAX($L$5,'3. Assumptions'!$B$11),'3. Assumptions'!$B$10))^INT(($A63-1)/4)/4*(1-'3. Assumptions'!$B$13)</f>
        <v>4150059.45577259</v>
      </c>
      <c r="M63" s="33" t="n">
        <f aca="false">(1-'3. Assumptions'!$B$15)*SUMPRODUCT((('2. The tape'!$C$5:$C$13*'2. The tape'!$D$5:$D$13*(1-'2. The tape'!$J$5:$J$13)^($A63/4)*(1+$L$5)^($A63/4)*((1-'3. Assumptions'!$B$13)/($L$6)-'2. The tape'!$H$5:$H$13/12-'3. Assumptions'!$B$16)-'2. The tape'!$C$5:$C$13*'2. The tape'!$I$5:$I$13*(1+$L$5)^($A63/4))&gt;0)*('2. The tape'!$C$5:$C$13*'2. The tape'!$D$5:$D$13*(1-'2. The tape'!$J$5:$J$13)^($A63/4)*(1+$L$5)^($A63/4)*((1-'3. Assumptions'!$B$13)/($L$6)-'2. The tape'!$H$5:$H$13/12-'3. Assumptions'!$B$16)-'2. The tape'!$C$5:$C$13*'2. The tape'!$I$5:$I$13*(1+$L$5)^($A63/4)))</f>
        <v>1388211545.50605</v>
      </c>
      <c r="N63" s="33" t="n">
        <f aca="false">'2. The tape'!$C$17*(1+MIN(MAX($N$5,'3. Assumptions'!$B$11),'3. Assumptions'!$B$10))^INT(($A63-1)/4)/4*(1-'3. Assumptions'!$B$13)</f>
        <v>2998091.25</v>
      </c>
      <c r="O63" s="33" t="n">
        <f aca="false">(1-'3. Assumptions'!$B$15)*SUMPRODUCT((('2. The tape'!$C$5:$C$13*'2. The tape'!$D$5:$D$13*(1-'2. The tape'!$J$5:$J$13)^($A63/4)*(1+$N$5)^($A63/4)*((1-'3. Assumptions'!$B$13)/($N$6)-'2. The tape'!$H$5:$H$13/12-'3. Assumptions'!$B$16)-'2. The tape'!$C$5:$C$13*'2. The tape'!$I$5:$I$13*(1+$N$5)^($A63/4))&gt;0)*('2. The tape'!$C$5:$C$13*'2. The tape'!$D$5:$D$13*(1-'2. The tape'!$J$5:$J$13)^($A63/4)*(1+$N$5)^($A63/4)*((1-'3. Assumptions'!$B$13)/($N$6)-'2. The tape'!$H$5:$H$13/12-'3. Assumptions'!$B$16)-'2. The tape'!$C$5:$C$13*'2. The tape'!$I$5:$I$13*(1+$N$5)^($A63/4)))</f>
        <v>41342452.4475456</v>
      </c>
      <c r="P63" s="33" t="n">
        <f aca="false">'2. The tape'!$C$17*(1+MIN(MAX($P$5,'3. Assumptions'!$B$11),'3. Assumptions'!$B$10))^INT(($A63-1)/4)/4*(1-'3. Assumptions'!$B$13)</f>
        <v>2998091.25</v>
      </c>
      <c r="Q63" s="33" t="n">
        <f aca="false">(1-'3. Assumptions'!$B$15)*SUMPRODUCT((('2. The tape'!$C$5:$C$13*'2. The tape'!$D$5:$D$13*(1-'2. The tape'!$J$5:$J$13)^($A63/4)*(1+$P$5)^($A63/4)*((1-'3. Assumptions'!$B$13)/($P$6)-'2. The tape'!$H$5:$H$13/12-'3. Assumptions'!$B$16)-'2. The tape'!$C$5:$C$13*'2. The tape'!$I$5:$I$13*(1+$P$5)^($A63/4))&gt;0)*('2. The tape'!$C$5:$C$13*'2. The tape'!$D$5:$D$13*(1-'2. The tape'!$J$5:$J$13)^($A63/4)*(1+$P$5)^($A63/4)*((1-'3. Assumptions'!$B$13)/($P$6)-'2. The tape'!$H$5:$H$13/12-'3. Assumptions'!$B$16)-'2. The tape'!$C$5:$C$13*'2. The tape'!$I$5:$I$13*(1+$P$5)^($A63/4)))</f>
        <v>46757182.4084881</v>
      </c>
      <c r="R63" s="33" t="n">
        <f aca="false">'2. The tape'!$C$17*(1+MIN(MAX($R$5,'3. Assumptions'!$B$11),'3. Assumptions'!$B$10))^INT(($A63-1)/4)/4*(1-'3. Assumptions'!$B$13)</f>
        <v>2998091.25</v>
      </c>
      <c r="S63" s="33" t="n">
        <f aca="false">(1-'3. Assumptions'!$B$15)*SUMPRODUCT((('2. The tape'!$C$5:$C$13*'2. The tape'!$D$5:$D$13*(1-'2. The tape'!$J$5:$J$13)^($A63/4)*(1+$R$5)^($A63/4)*((1-'3. Assumptions'!$B$13)/($R$6)-'2. The tape'!$H$5:$H$13/12-'3. Assumptions'!$B$16)-'2. The tape'!$C$5:$C$13*'2. The tape'!$I$5:$I$13*(1+$R$5)^($A63/4))&gt;0)*('2. The tape'!$C$5:$C$13*'2. The tape'!$D$5:$D$13*(1-'2. The tape'!$J$5:$J$13)^($A63/4)*(1+$R$5)^($A63/4)*((1-'3. Assumptions'!$B$13)/($R$6)-'2. The tape'!$H$5:$H$13/12-'3. Assumptions'!$B$16)-'2. The tape'!$C$5:$C$13*'2. The tape'!$I$5:$I$13*(1+$R$5)^($A63/4)))</f>
        <v>43406684.3288378</v>
      </c>
      <c r="T63" s="33" t="n">
        <f aca="false">'2. The tape'!$C$17*(1+MIN(MAX($T$5,'3. Assumptions'!$B$11),'3. Assumptions'!$B$10))^INT(($A63-1)/4)/4*(1-'3. Assumptions'!$B$13)</f>
        <v>2998091.25</v>
      </c>
      <c r="U63" s="33" t="n">
        <f aca="false">(1-'3. Assumptions'!$B$15)*SUMPRODUCT((('2. The tape'!$C$5:$C$13*'2. The tape'!$D$5:$D$13*(1-'2. The tape'!$J$5:$J$13)^($A63/4)*(1+$T$5)^($A63/4)*((1-'3. Assumptions'!$B$13)/($T$6)-'2. The tape'!$H$5:$H$13/12-'3. Assumptions'!$B$16)-'2. The tape'!$C$5:$C$13*'2. The tape'!$I$5:$I$13*(1+$T$5)^($A63/4))&gt;0)*('2. The tape'!$C$5:$C$13*'2. The tape'!$D$5:$D$13*(1-'2. The tape'!$J$5:$J$13)^($A63/4)*(1+$T$5)^($A63/4)*((1-'3. Assumptions'!$B$13)/($T$6)-'2. The tape'!$H$5:$H$13/12-'3. Assumptions'!$B$16)-'2. The tape'!$C$5:$C$13*'2. The tape'!$I$5:$I$13*(1+$T$5)^($A63/4)))</f>
        <v>43318951.8049481</v>
      </c>
      <c r="V63" s="33" t="n">
        <f aca="false">'2. The tape'!$C$17*(1+MIN(MAX($V$5,'3. Assumptions'!$B$11),'3. Assumptions'!$B$10))^INT(($A63-1)/4)/4*(1-'3. Assumptions'!$B$13)</f>
        <v>2998091.25</v>
      </c>
      <c r="W63" s="33" t="n">
        <f aca="false">(1-'3. Assumptions'!$B$15)*SUMPRODUCT((('2. The tape'!$C$5:$C$13*'2. The tape'!$D$5:$D$13*(1-'2. The tape'!$J$5:$J$13)^($A63/4)*(1+$V$5)^($A63/4)*((1-'3. Assumptions'!$B$13)/($V$6)-'2. The tape'!$H$5:$H$13/12-'3. Assumptions'!$B$16)-'2. The tape'!$C$5:$C$13*'2. The tape'!$I$5:$I$13*(1+$V$5)^($A63/4))&gt;0)*('2. The tape'!$C$5:$C$13*'2. The tape'!$D$5:$D$13*(1-'2. The tape'!$J$5:$J$13)^($A63/4)*(1+$V$5)^($A63/4)*((1-'3. Assumptions'!$B$13)/($V$6)-'2. The tape'!$H$5:$H$13/12-'3. Assumptions'!$B$16)-'2. The tape'!$C$5:$C$13*'2. The tape'!$I$5:$I$13*(1+$V$5)^($A63/4)))</f>
        <v>43322473.6768477</v>
      </c>
      <c r="X63" s="33" t="n">
        <f aca="false">'2. The tape'!$C$17*(1+MIN(MAX($X$5,'3. Assumptions'!$B$11),'3. Assumptions'!$B$10))^INT(($A63-1)/4)/4*(1-'3. Assumptions'!$B$13)</f>
        <v>2998091.25</v>
      </c>
      <c r="Y63" s="33" t="n">
        <f aca="false">(1-'3. Assumptions'!$B$15)*SUMPRODUCT((('2. The tape'!$C$5:$C$13*'2. The tape'!$D$5:$D$13*(1-'2. The tape'!$J$5:$J$13)^($A63/4)*(1+$X$5)^($A63/4)*((1-'3. Assumptions'!$B$13)/($X$6)-'2. The tape'!$H$5:$H$13/12-'3. Assumptions'!$B$16)-'2. The tape'!$C$5:$C$13*'2. The tape'!$I$5:$I$13*(1+$X$5)^($A63/4))&gt;0)*('2. The tape'!$C$5:$C$13*'2. The tape'!$D$5:$D$13*(1-'2. The tape'!$J$5:$J$13)^($A63/4)*(1+$X$5)^($A63/4)*((1-'3. Assumptions'!$B$13)/($X$6)-'2. The tape'!$H$5:$H$13/12-'3. Assumptions'!$B$16)-'2. The tape'!$C$5:$C$13*'2. The tape'!$I$5:$I$13*(1+$X$5)^($A63/4)))</f>
        <v>43322469.9732424</v>
      </c>
      <c r="Z63" s="33" t="n">
        <f aca="false">'2. The tape'!$C$17*(1+MIN(MAX($Z$5,'3. Assumptions'!$B$11),'3. Assumptions'!$B$10))^INT(($A63-1)/4)/4*(1-'3. Assumptions'!$B$13)</f>
        <v>2998091.25</v>
      </c>
      <c r="AA63" s="33" t="n">
        <f aca="false">(1-'3. Assumptions'!$B$15)*SUMPRODUCT((('2. The tape'!$C$5:$C$13*'2. The tape'!$D$5:$D$13*(1-'2. The tape'!$J$5:$J$13)^($A63/4)*(1+$Z$5)^($A63/4)*((1-'3. Assumptions'!$B$13)/($Z$6)-'2. The tape'!$H$5:$H$13/12-'3. Assumptions'!$B$16)-'2. The tape'!$C$5:$C$13*'2. The tape'!$I$5:$I$13*(1+$Z$5)^($A63/4))&gt;0)*('2. The tape'!$C$5:$C$13*'2. The tape'!$D$5:$D$13*(1-'2. The tape'!$J$5:$J$13)^($A63/4)*(1+$Z$5)^($A63/4)*((1-'3. Assumptions'!$B$13)/($Z$6)-'2. The tape'!$H$5:$H$13/12-'3. Assumptions'!$B$16)-'2. The tape'!$C$5:$C$13*'2. The tape'!$I$5:$I$13*(1+$Z$5)^($A63/4)))</f>
        <v>43322469.9730794</v>
      </c>
      <c r="AB63" s="33" t="n">
        <f aca="false">'2. The tape'!$C$17*(1+MIN(MAX($AB$5,'3. Assumptions'!$B$11),'3. Assumptions'!$B$10))^INT(($A63-1)/4)/4*(1-'3. Assumptions'!$B$13)</f>
        <v>2998091.25</v>
      </c>
      <c r="AC63" s="33" t="n">
        <f aca="false">(1-'3. Assumptions'!$B$15)*SUMPRODUCT((('2. The tape'!$C$5:$C$13*'2. The tape'!$D$5:$D$13*(1-'2. The tape'!$J$5:$J$13)^($A63/4)*(1+$AB$5)^($A63/4)*((1-'3. Assumptions'!$B$13)/($AB$6)-'2. The tape'!$H$5:$H$13/12-'3. Assumptions'!$B$16)-'2. The tape'!$C$5:$C$13*'2. The tape'!$I$5:$I$13*(1+$AB$5)^($A63/4))&gt;0)*('2. The tape'!$C$5:$C$13*'2. The tape'!$D$5:$D$13*(1-'2. The tape'!$J$5:$J$13)^($A63/4)*(1+$AB$5)^($A63/4)*((1-'3. Assumptions'!$B$13)/($AB$6)-'2. The tape'!$H$5:$H$13/12-'3. Assumptions'!$B$16)-'2. The tape'!$C$5:$C$13*'2. The tape'!$I$5:$I$13*(1+$AB$5)^($A63/4)))</f>
        <v>43322469.9730794</v>
      </c>
      <c r="AD63" s="33" t="n">
        <f aca="false">'2. The tape'!$C$17*(1+MIN(MAX($AD$5,'3. Assumptions'!$B$11),'3. Assumptions'!$B$10))^INT(($A63-1)/4)/4*(1-'3. Assumptions'!$B$13)</f>
        <v>2998091.25</v>
      </c>
      <c r="AE63" s="33" t="n">
        <f aca="false">(1-'3. Assumptions'!$B$15)*SUMPRODUCT((('2. The tape'!$C$5:$C$13*'2. The tape'!$D$5:$D$13*(1-'2. The tape'!$J$5:$J$13)^($A63/4)*(1+$AD$5)^($A63/4)*((1-'3. Assumptions'!$B$13)/($AD$6)-'2. The tape'!$H$5:$H$13/12-'3. Assumptions'!$B$16)-'2. The tape'!$C$5:$C$13*'2. The tape'!$I$5:$I$13*(1+$AD$5)^($A63/4))&gt;0)*('2. The tape'!$C$5:$C$13*'2. The tape'!$D$5:$D$13*(1-'2. The tape'!$J$5:$J$13)^($A63/4)*(1+$AD$5)^($A63/4)*((1-'3. Assumptions'!$B$13)/($AD$6)-'2. The tape'!$H$5:$H$13/12-'3. Assumptions'!$B$16)-'2. The tape'!$C$5:$C$13*'2. The tape'!$I$5:$I$13*(1+$AD$5)^($A63/4)))</f>
        <v>43322469.9730794</v>
      </c>
      <c r="AF63" s="33" t="n">
        <f aca="false">'2. The tape'!$C$17*(1+MIN(MAX($AF$5,'3. Assumptions'!$B$11),'3. Assumptions'!$B$10))^INT(($A63-1)/4)/4*(1-'3. Assumptions'!$B$13)</f>
        <v>2998091.25</v>
      </c>
      <c r="AG63" s="33" t="n">
        <f aca="false">(1-'3. Assumptions'!$B$15)*SUMPRODUCT((('2. The tape'!$C$5:$C$13*'2. The tape'!$D$5:$D$13*(1-'2. The tape'!$J$5:$J$13)^($A63/4)*(1+$AF$5)^($A63/4)*((1-'3. Assumptions'!$B$13)/($AF$6)-'2. The tape'!$H$5:$H$13/12-'3. Assumptions'!$B$16)-'2. The tape'!$C$5:$C$13*'2. The tape'!$I$5:$I$13*(1+$AF$5)^($A63/4))&gt;0)*('2. The tape'!$C$5:$C$13*'2. The tape'!$D$5:$D$13*(1-'2. The tape'!$J$5:$J$13)^($A63/4)*(1+$AF$5)^($A63/4)*((1-'3. Assumptions'!$B$13)/($AF$6)-'2. The tape'!$H$5:$H$13/12-'3. Assumptions'!$B$16)-'2. The tape'!$C$5:$C$13*'2. The tape'!$I$5:$I$13*(1+$AF$5)^($A63/4)))</f>
        <v>43322469.9730794</v>
      </c>
      <c r="AH63" s="33" t="n">
        <f aca="false">'2. The tape'!$C$17*(1+MIN(MAX($AH$5,'3. Assumptions'!$B$11),'3. Assumptions'!$B$10))^INT(($A63-1)/4)/4*(1-'3. Assumptions'!$B$13)</f>
        <v>3808944.99186804</v>
      </c>
      <c r="AI63" s="33" t="n">
        <f aca="false">(1-'3. Assumptions'!$B$15)*SUMPRODUCT((('2. The tape'!$C$5:$C$13*'2. The tape'!$D$5:$D$13*(1-'2. The tape'!$J$5:$J$13)^($A63/4)*(1+$AH$5)^($A63/4)*((1-'3. Assumptions'!$B$13)/($AH$6)-'2. The tape'!$H$5:$H$13/12-'3. Assumptions'!$B$16)-'2. The tape'!$C$5:$C$13*'2. The tape'!$I$5:$I$13*(1+$AH$5)^($A63/4))&gt;0)*('2. The tape'!$C$5:$C$13*'2. The tape'!$D$5:$D$13*(1-'2. The tape'!$J$5:$J$13)^($A63/4)*(1+$AH$5)^($A63/4)*((1-'3. Assumptions'!$B$13)/($AH$6)-'2. The tape'!$H$5:$H$13/12-'3. Assumptions'!$B$16)-'2. The tape'!$C$5:$C$13*'2. The tape'!$I$5:$I$13*(1+$AH$5)^($A63/4)))</f>
        <v>154095043.889959</v>
      </c>
      <c r="AJ63" s="33" t="n">
        <f aca="false">'2. The tape'!$C$17*(1+MIN(MAX($AJ$5,'3. Assumptions'!$B$11),'3. Assumptions'!$B$10))^INT(($A63-1)/4)/4*(1-'3. Assumptions'!$B$13)</f>
        <v>3808944.99186804</v>
      </c>
      <c r="AK63" s="33" t="n">
        <f aca="false">(1-'3. Assumptions'!$B$15)*SUMPRODUCT((('2. The tape'!$C$5:$C$13*'2. The tape'!$D$5:$D$13*(1-'2. The tape'!$J$5:$J$13)^($A63/4)*(1+$AJ$5)^($A63/4)*((1-'3. Assumptions'!$B$13)/($AJ$6)-'2. The tape'!$H$5:$H$13/12-'3. Assumptions'!$B$16)-'2. The tape'!$C$5:$C$13*'2. The tape'!$I$5:$I$13*(1+$AJ$5)^($A63/4))&gt;0)*('2. The tape'!$C$5:$C$13*'2. The tape'!$D$5:$D$13*(1-'2. The tape'!$J$5:$J$13)^($A63/4)*(1+$AJ$5)^($A63/4)*((1-'3. Assumptions'!$B$13)/($AJ$6)-'2. The tape'!$H$5:$H$13/12-'3. Assumptions'!$B$16)-'2. The tape'!$C$5:$C$13*'2. The tape'!$I$5:$I$13*(1+$AJ$5)^($A63/4)))</f>
        <v>111092655.957095</v>
      </c>
      <c r="AL63" s="33" t="n">
        <f aca="false">'2. The tape'!$C$17*(1+MIN(MAX($AL$5,'3. Assumptions'!$B$11),'3. Assumptions'!$B$10))^INT(($A63-1)/4)/4*(1-'3. Assumptions'!$B$13)</f>
        <v>3808944.99186804</v>
      </c>
      <c r="AM63" s="33" t="n">
        <f aca="false">(1-'3. Assumptions'!$B$15)*SUMPRODUCT((('2. The tape'!$C$5:$C$13*'2. The tape'!$D$5:$D$13*(1-'2. The tape'!$J$5:$J$13)^($A63/4)*(1+$AL$5)^($A63/4)*((1-'3. Assumptions'!$B$13)/($AL$6)-'2. The tape'!$H$5:$H$13/12-'3. Assumptions'!$B$16)-'2. The tape'!$C$5:$C$13*'2. The tape'!$I$5:$I$13*(1+$AL$5)^($A63/4))&gt;0)*('2. The tape'!$C$5:$C$13*'2. The tape'!$D$5:$D$13*(1-'2. The tape'!$J$5:$J$13)^($A63/4)*(1+$AL$5)^($A63/4)*((1-'3. Assumptions'!$B$13)/($AL$6)-'2. The tape'!$H$5:$H$13/12-'3. Assumptions'!$B$16)-'2. The tape'!$C$5:$C$13*'2. The tape'!$I$5:$I$13*(1+$AL$5)^($A63/4)))</f>
        <v>127770850.449098</v>
      </c>
      <c r="AN63" s="33" t="n">
        <f aca="false">'2. The tape'!$C$17*(1+MIN(MAX($AN$5,'3. Assumptions'!$B$11),'3. Assumptions'!$B$10))^INT(($A63-1)/4)/4*(1-'3. Assumptions'!$B$13)</f>
        <v>3808944.99186804</v>
      </c>
      <c r="AO63" s="33" t="n">
        <f aca="false">(1-'3. Assumptions'!$B$15)*SUMPRODUCT((('2. The tape'!$C$5:$C$13*'2. The tape'!$D$5:$D$13*(1-'2. The tape'!$J$5:$J$13)^($A63/4)*(1+$AN$5)^($A63/4)*((1-'3. Assumptions'!$B$13)/($AN$6)-'2. The tape'!$H$5:$H$13/12-'3. Assumptions'!$B$16)-'2. The tape'!$C$5:$C$13*'2. The tape'!$I$5:$I$13*(1+$AN$5)^($A63/4))&gt;0)*('2. The tape'!$C$5:$C$13*'2. The tape'!$D$5:$D$13*(1-'2. The tape'!$J$5:$J$13)^($A63/4)*(1+$AN$5)^($A63/4)*((1-'3. Assumptions'!$B$13)/($AN$6)-'2. The tape'!$H$5:$H$13/12-'3. Assumptions'!$B$16)-'2. The tape'!$C$5:$C$13*'2. The tape'!$I$5:$I$13*(1+$AN$5)^($A63/4)))</f>
        <v>130893520.631333</v>
      </c>
      <c r="AP63" s="33" t="n">
        <f aca="false">'2. The tape'!$C$17*(1+MIN(MAX($AP$5,'3. Assumptions'!$B$11),'3. Assumptions'!$B$10))^INT(($A63-1)/4)/4*(1-'3. Assumptions'!$B$13)</f>
        <v>3808944.99186804</v>
      </c>
      <c r="AQ63" s="33" t="n">
        <f aca="false">(1-'3. Assumptions'!$B$15)*SUMPRODUCT((('2. The tape'!$C$5:$C$13*'2. The tape'!$D$5:$D$13*(1-'2. The tape'!$J$5:$J$13)^($A63/4)*(1+$AP$5)^($A63/4)*((1-'3. Assumptions'!$B$13)/($AP$6)-'2. The tape'!$H$5:$H$13/12-'3. Assumptions'!$B$16)-'2. The tape'!$C$5:$C$13*'2. The tape'!$I$5:$I$13*(1+$AP$5)^($A63/4))&gt;0)*('2. The tape'!$C$5:$C$13*'2. The tape'!$D$5:$D$13*(1-'2. The tape'!$J$5:$J$13)^($A63/4)*(1+$AP$5)^($A63/4)*((1-'3. Assumptions'!$B$13)/($AP$6)-'2. The tape'!$H$5:$H$13/12-'3. Assumptions'!$B$16)-'2. The tape'!$C$5:$C$13*'2. The tape'!$I$5:$I$13*(1+$AP$5)^($A63/4)))</f>
        <v>130508033.405173</v>
      </c>
      <c r="AR63" s="33" t="n">
        <f aca="false">'2. The tape'!$C$17*(1+MIN(MAX($AR$5,'3. Assumptions'!$B$11),'3. Assumptions'!$B$10))^INT(($A63-1)/4)/4*(1-'3. Assumptions'!$B$13)</f>
        <v>3808944.99186804</v>
      </c>
      <c r="AS63" s="33" t="n">
        <f aca="false">(1-'3. Assumptions'!$B$15)*SUMPRODUCT((('2. The tape'!$C$5:$C$13*'2. The tape'!$D$5:$D$13*(1-'2. The tape'!$J$5:$J$13)^($A63/4)*(1+$AR$5)^($A63/4)*((1-'3. Assumptions'!$B$13)/($AR$6)-'2. The tape'!$H$5:$H$13/12-'3. Assumptions'!$B$16)-'2. The tape'!$C$5:$C$13*'2. The tape'!$I$5:$I$13*(1+$AR$5)^($A63/4))&gt;0)*('2. The tape'!$C$5:$C$13*'2. The tape'!$D$5:$D$13*(1-'2. The tape'!$J$5:$J$13)^($A63/4)*(1+$AR$5)^($A63/4)*((1-'3. Assumptions'!$B$13)/($AR$6)-'2. The tape'!$H$5:$H$13/12-'3. Assumptions'!$B$16)-'2. The tape'!$C$5:$C$13*'2. The tape'!$I$5:$I$13*(1+$AR$5)^($A63/4)))</f>
        <v>130514501.328676</v>
      </c>
      <c r="AT63" s="33" t="n">
        <f aca="false">'2. The tape'!$C$17*(1+MIN(MAX($AT$5,'3. Assumptions'!$B$11),'3. Assumptions'!$B$10))^INT(($A63-1)/4)/4*(1-'3. Assumptions'!$B$13)</f>
        <v>3808944.99186804</v>
      </c>
      <c r="AU63" s="33" t="n">
        <f aca="false">(1-'3. Assumptions'!$B$15)*SUMPRODUCT((('2. The tape'!$C$5:$C$13*'2. The tape'!$D$5:$D$13*(1-'2. The tape'!$J$5:$J$13)^($A63/4)*(1+$AT$5)^($A63/4)*((1-'3. Assumptions'!$B$13)/($AT$6)-'2. The tape'!$H$5:$H$13/12-'3. Assumptions'!$B$16)-'2. The tape'!$C$5:$C$13*'2. The tape'!$I$5:$I$13*(1+$AT$5)^($A63/4))&gt;0)*('2. The tape'!$C$5:$C$13*'2. The tape'!$D$5:$D$13*(1-'2. The tape'!$J$5:$J$13)^($A63/4)*(1+$AT$5)^($A63/4)*((1-'3. Assumptions'!$B$13)/($AT$6)-'2. The tape'!$H$5:$H$13/12-'3. Assumptions'!$B$16)-'2. The tape'!$C$5:$C$13*'2. The tape'!$I$5:$I$13*(1+$AT$5)^($A63/4)))</f>
        <v>130514516.390843</v>
      </c>
      <c r="AV63" s="33" t="n">
        <f aca="false">'2. The tape'!$C$17*(1+MIN(MAX($AV$5,'3. Assumptions'!$B$11),'3. Assumptions'!$B$10))^INT(($A63-1)/4)/4*(1-'3. Assumptions'!$B$13)</f>
        <v>3808944.99186804</v>
      </c>
      <c r="AW63" s="33" t="n">
        <f aca="false">(1-'3. Assumptions'!$B$15)*SUMPRODUCT((('2. The tape'!$C$5:$C$13*'2. The tape'!$D$5:$D$13*(1-'2. The tape'!$J$5:$J$13)^($A63/4)*(1+$AV$5)^($A63/4)*((1-'3. Assumptions'!$B$13)/($AV$6)-'2. The tape'!$H$5:$H$13/12-'3. Assumptions'!$B$16)-'2. The tape'!$C$5:$C$13*'2. The tape'!$I$5:$I$13*(1+$AV$5)^($A63/4))&gt;0)*('2. The tape'!$C$5:$C$13*'2. The tape'!$D$5:$D$13*(1-'2. The tape'!$J$5:$J$13)^($A63/4)*(1+$AV$5)^($A63/4)*((1-'3. Assumptions'!$B$13)/($AV$6)-'2. The tape'!$H$5:$H$13/12-'3. Assumptions'!$B$16)-'2. The tape'!$C$5:$C$13*'2. The tape'!$I$5:$I$13*(1+$AV$5)^($A63/4)))</f>
        <v>130514516.390243</v>
      </c>
      <c r="AX63" s="33" t="n">
        <f aca="false">'2. The tape'!$C$17*(1+MIN(MAX($AX$5,'3. Assumptions'!$B$11),'3. Assumptions'!$B$10))^INT(($A63-1)/4)/4*(1-'3. Assumptions'!$B$13)</f>
        <v>3808944.99186804</v>
      </c>
      <c r="AY63" s="33" t="n">
        <f aca="false">(1-'3. Assumptions'!$B$15)*SUMPRODUCT((('2. The tape'!$C$5:$C$13*'2. The tape'!$D$5:$D$13*(1-'2. The tape'!$J$5:$J$13)^($A63/4)*(1+$AX$5)^($A63/4)*((1-'3. Assumptions'!$B$13)/($AX$6)-'2. The tape'!$H$5:$H$13/12-'3. Assumptions'!$B$16)-'2. The tape'!$C$5:$C$13*'2. The tape'!$I$5:$I$13*(1+$AX$5)^($A63/4))&gt;0)*('2. The tape'!$C$5:$C$13*'2. The tape'!$D$5:$D$13*(1-'2. The tape'!$J$5:$J$13)^($A63/4)*(1+$AX$5)^($A63/4)*((1-'3. Assumptions'!$B$13)/($AX$6)-'2. The tape'!$H$5:$H$13/12-'3. Assumptions'!$B$16)-'2. The tape'!$C$5:$C$13*'2. The tape'!$I$5:$I$13*(1+$AX$5)^($A63/4)))</f>
        <v>130514516.390243</v>
      </c>
      <c r="AZ63" s="33" t="n">
        <f aca="false">'2. The tape'!$C$17*(1+MIN(MAX($AZ$5,'3. Assumptions'!$B$11),'3. Assumptions'!$B$10))^INT(($A63-1)/4)/4*(1-'3. Assumptions'!$B$13)</f>
        <v>3808944.99186804</v>
      </c>
      <c r="BA63" s="33" t="n">
        <f aca="false">(1-'3. Assumptions'!$B$15)*SUMPRODUCT((('2. The tape'!$C$5:$C$13*'2. The tape'!$D$5:$D$13*(1-'2. The tape'!$J$5:$J$13)^($A63/4)*(1+$AZ$5)^($A63/4)*((1-'3. Assumptions'!$B$13)/($AZ$6)-'2. The tape'!$H$5:$H$13/12-'3. Assumptions'!$B$16)-'2. The tape'!$C$5:$C$13*'2. The tape'!$I$5:$I$13*(1+$AZ$5)^($A63/4))&gt;0)*('2. The tape'!$C$5:$C$13*'2. The tape'!$D$5:$D$13*(1-'2. The tape'!$J$5:$J$13)^($A63/4)*(1+$AZ$5)^($A63/4)*((1-'3. Assumptions'!$B$13)/($AZ$6)-'2. The tape'!$H$5:$H$13/12-'3. Assumptions'!$B$16)-'2. The tape'!$C$5:$C$13*'2. The tape'!$I$5:$I$13*(1+$AZ$5)^($A63/4)))</f>
        <v>130514516.390243</v>
      </c>
    </row>
    <row r="64" customFormat="false" ht="15" hidden="false" customHeight="false" outlineLevel="0" collapsed="false">
      <c r="A64" s="20" t="n">
        <v>49</v>
      </c>
      <c r="B64" s="33" t="n">
        <f aca="false">'2. The tape'!$C$17*(1+MIN(MAX($B$5,'3. Assumptions'!$B$11),'3. Assumptions'!$B$10))^INT(($A64-1)/4)/4*(1-'3. Assumptions'!$B$13)</f>
        <v>3892741.78168913</v>
      </c>
      <c r="C64" s="33" t="n">
        <f aca="false">(1-'3. Assumptions'!$B$15)*SUMPRODUCT((('2. The tape'!$C$5:$C$13*'2. The tape'!$D$5:$D$13*(1-'2. The tape'!$J$5:$J$13)^($A64/4)*(1+$B$5)^($A64/4)*((1-'3. Assumptions'!$B$13)/($B$6)-'2. The tape'!$H$5:$H$13/12-'3. Assumptions'!$B$16)-'2. The tape'!$C$5:$C$13*'2. The tape'!$I$5:$I$13*(1+$B$5)^($A64/4))&gt;0)*('2. The tape'!$C$5:$C$13*'2. The tape'!$D$5:$D$13*(1-'2. The tape'!$J$5:$J$13)^($A64/4)*(1+$B$5)^($A64/4)*((1-'3. Assumptions'!$B$13)/($B$6)-'2. The tape'!$H$5:$H$13/12-'3. Assumptions'!$B$16)-'2. The tape'!$C$5:$C$13*'2. The tape'!$I$5:$I$13*(1+$B$5)^($A64/4)))</f>
        <v>77264510.0106331</v>
      </c>
      <c r="D64" s="33" t="n">
        <f aca="false">'2. The tape'!$C$17*(1+MIN(MAX($D$5,'3. Assumptions'!$B$11),'3. Assumptions'!$B$10))^INT(($A64-1)/4)/4*(1-'3. Assumptions'!$B$13)</f>
        <v>4274561.23944577</v>
      </c>
      <c r="E64" s="33" t="n">
        <f aca="false">(1-'3. Assumptions'!$B$15)*SUMPRODUCT((('2. The tape'!$C$5:$C$13*'2. The tape'!$D$5:$D$13*(1-'2. The tape'!$J$5:$J$13)^($A64/4)*(1+$D$5)^($A64/4)*((1-'3. Assumptions'!$B$13)/($D$6)-'2. The tape'!$H$5:$H$13/12-'3. Assumptions'!$B$16)-'2. The tape'!$C$5:$C$13*'2. The tape'!$I$5:$I$13*(1+$D$5)^($A64/4))&gt;0)*('2. The tape'!$C$5:$C$13*'2. The tape'!$D$5:$D$13*(1-'2. The tape'!$J$5:$J$13)^($A64/4)*(1+$D$5)^($A64/4)*((1-'3. Assumptions'!$B$13)/($D$6)-'2. The tape'!$H$5:$H$13/12-'3. Assumptions'!$B$16)-'2. The tape'!$C$5:$C$13*'2. The tape'!$I$5:$I$13*(1+$D$5)^($A64/4)))</f>
        <v>90204014.5204073</v>
      </c>
      <c r="F64" s="33" t="n">
        <f aca="false">'2. The tape'!$C$17*(1+MIN(MAX($F$5,'3. Assumptions'!$B$11),'3. Assumptions'!$B$10))^INT(($A64-1)/4)/4*(1-'3. Assumptions'!$B$13)</f>
        <v>3378324.26311965</v>
      </c>
      <c r="G64" s="33" t="n">
        <f aca="false">(1-'3. Assumptions'!$B$15)*SUMPRODUCT((('2. The tape'!$C$5:$C$13*'2. The tape'!$D$5:$D$13*(1-'2. The tape'!$J$5:$J$13)^($A64/4)*(1+$F$5)^($A64/4)*((1-'3. Assumptions'!$B$13)/($F$6)-'2. The tape'!$H$5:$H$13/12-'3. Assumptions'!$B$16)-'2. The tape'!$C$5:$C$13*'2. The tape'!$I$5:$I$13*(1+$F$5)^($A64/4))&gt;0)*('2. The tape'!$C$5:$C$13*'2. The tape'!$D$5:$D$13*(1-'2. The tape'!$J$5:$J$13)^($A64/4)*(1+$F$5)^($A64/4)*((1-'3. Assumptions'!$B$13)/($F$6)-'2. The tape'!$H$5:$H$13/12-'3. Assumptions'!$B$16)-'2. The tape'!$C$5:$C$13*'2. The tape'!$I$5:$I$13*(1+$F$5)^($A64/4)))</f>
        <v>66856465.0466825</v>
      </c>
      <c r="H64" s="33" t="n">
        <f aca="false">'2. The tape'!$C$17*(1+MIN(MAX($H$5,'3. Assumptions'!$B$11),'3. Assumptions'!$B$10))^INT(($A64-1)/4)/4*(1-'3. Assumptions'!$B$13)</f>
        <v>4274561.23944577</v>
      </c>
      <c r="I64" s="33" t="n">
        <f aca="false">(1-'3. Assumptions'!$B$15)*SUMPRODUCT((('2. The tape'!$C$5:$C$13*'2. The tape'!$D$5:$D$13*(1-'2. The tape'!$J$5:$J$13)^($A64/4)*(1+$H$5)^($A64/4)*((1-'3. Assumptions'!$B$13)/($H$6)-'2. The tape'!$H$5:$H$13/12-'3. Assumptions'!$B$16)-'2. The tape'!$C$5:$C$13*'2. The tape'!$I$5:$I$13*(1+$H$5)^($A64/4))&gt;0)*('2. The tape'!$C$5:$C$13*'2. The tape'!$D$5:$D$13*(1-'2. The tape'!$J$5:$J$13)^($A64/4)*(1+$H$5)^($A64/4)*((1-'3. Assumptions'!$B$13)/($H$6)-'2. The tape'!$H$5:$H$13/12-'3. Assumptions'!$B$16)-'2. The tape'!$C$5:$C$13*'2. The tape'!$I$5:$I$13*(1+$H$5)^($A64/4)))</f>
        <v>90204014.5204073</v>
      </c>
      <c r="J64" s="33" t="n">
        <f aca="false">'2. The tape'!$C$17*(1+MIN(MAX($J$5,'3. Assumptions'!$B$11),'3. Assumptions'!$B$10))^INT(($A64-1)/4)/4*(1-'3. Assumptions'!$B$13)</f>
        <v>3892741.78168913</v>
      </c>
      <c r="K64" s="33" t="n">
        <f aca="false">(1-'3. Assumptions'!$B$15)*SUMPRODUCT((('2. The tape'!$C$5:$C$13*'2. The tape'!$D$5:$D$13*(1-'2. The tape'!$J$5:$J$13)^($A64/4)*(1+$J$5)^($A64/4)*((1-'3. Assumptions'!$B$13)/($J$6)-'2. The tape'!$H$5:$H$13/12-'3. Assumptions'!$B$16)-'2. The tape'!$C$5:$C$13*'2. The tape'!$I$5:$I$13*(1+$J$5)^($A64/4))&gt;0)*('2. The tape'!$C$5:$C$13*'2. The tape'!$D$5:$D$13*(1-'2. The tape'!$J$5:$J$13)^($A64/4)*(1+$J$5)^($A64/4)*((1-'3. Assumptions'!$B$13)/($J$6)-'2. The tape'!$H$5:$H$13/12-'3. Assumptions'!$B$16)-'2. The tape'!$C$5:$C$13*'2. The tape'!$I$5:$I$13*(1+$J$5)^($A64/4)))</f>
        <v>63212030.3023231</v>
      </c>
      <c r="L64" s="33" t="n">
        <f aca="false">'2. The tape'!$C$17*(1+MIN(MAX($L$5,'3. Assumptions'!$B$11),'3. Assumptions'!$B$10))^INT(($A64-1)/4)/4*(1-'3. Assumptions'!$B$13)</f>
        <v>4274561.23944577</v>
      </c>
      <c r="M64" s="33" t="n">
        <f aca="false">(1-'3. Assumptions'!$B$15)*SUMPRODUCT((('2. The tape'!$C$5:$C$13*'2. The tape'!$D$5:$D$13*(1-'2. The tape'!$J$5:$J$13)^($A64/4)*(1+$L$5)^($A64/4)*((1-'3. Assumptions'!$B$13)/($L$6)-'2. The tape'!$H$5:$H$13/12-'3. Assumptions'!$B$16)-'2. The tape'!$C$5:$C$13*'2. The tape'!$I$5:$I$13*(1+$L$5)^($A64/4))&gt;0)*('2. The tape'!$C$5:$C$13*'2. The tape'!$D$5:$D$13*(1-'2. The tape'!$J$5:$J$13)^($A64/4)*(1+$L$5)^($A64/4)*((1-'3. Assumptions'!$B$13)/($L$6)-'2. The tape'!$H$5:$H$13/12-'3. Assumptions'!$B$16)-'2. The tape'!$C$5:$C$13*'2. The tape'!$I$5:$I$13*(1+$L$5)^($A64/4)))</f>
        <v>1472355377.9611</v>
      </c>
      <c r="N64" s="33" t="n">
        <f aca="false">'2. The tape'!$C$17*(1+MIN(MAX($N$5,'3. Assumptions'!$B$11),'3. Assumptions'!$B$10))^INT(($A64-1)/4)/4*(1-'3. Assumptions'!$B$13)</f>
        <v>2998091.25</v>
      </c>
      <c r="O64" s="33" t="n">
        <f aca="false">(1-'3. Assumptions'!$B$15)*SUMPRODUCT((('2. The tape'!$C$5:$C$13*'2. The tape'!$D$5:$D$13*(1-'2. The tape'!$J$5:$J$13)^($A64/4)*(1+$N$5)^($A64/4)*((1-'3. Assumptions'!$B$13)/($N$6)-'2. The tape'!$H$5:$H$13/12-'3. Assumptions'!$B$16)-'2. The tape'!$C$5:$C$13*'2. The tape'!$I$5:$I$13*(1+$N$5)^($A64/4))&gt;0)*('2. The tape'!$C$5:$C$13*'2. The tape'!$D$5:$D$13*(1-'2. The tape'!$J$5:$J$13)^($A64/4)*(1+$N$5)^($A64/4)*((1-'3. Assumptions'!$B$13)/($N$6)-'2. The tape'!$H$5:$H$13/12-'3. Assumptions'!$B$16)-'2. The tape'!$C$5:$C$13*'2. The tape'!$I$5:$I$13*(1+$N$5)^($A64/4)))</f>
        <v>40753069.5806037</v>
      </c>
      <c r="P64" s="33" t="n">
        <f aca="false">'2. The tape'!$C$17*(1+MIN(MAX($P$5,'3. Assumptions'!$B$11),'3. Assumptions'!$B$10))^INT(($A64-1)/4)/4*(1-'3. Assumptions'!$B$13)</f>
        <v>2998091.25</v>
      </c>
      <c r="Q64" s="33" t="n">
        <f aca="false">(1-'3. Assumptions'!$B$15)*SUMPRODUCT((('2. The tape'!$C$5:$C$13*'2. The tape'!$D$5:$D$13*(1-'2. The tape'!$J$5:$J$13)^($A64/4)*(1+$P$5)^($A64/4)*((1-'3. Assumptions'!$B$13)/($P$6)-'2. The tape'!$H$5:$H$13/12-'3. Assumptions'!$B$16)-'2. The tape'!$C$5:$C$13*'2. The tape'!$I$5:$I$13*(1+$P$5)^($A64/4))&gt;0)*('2. The tape'!$C$5:$C$13*'2. The tape'!$D$5:$D$13*(1-'2. The tape'!$J$5:$J$13)^($A64/4)*(1+$P$5)^($A64/4)*((1-'3. Assumptions'!$B$13)/($P$6)-'2. The tape'!$H$5:$H$13/12-'3. Assumptions'!$B$16)-'2. The tape'!$C$5:$C$13*'2. The tape'!$I$5:$I$13*(1+$P$5)^($A64/4)))</f>
        <v>46208940.2388142</v>
      </c>
      <c r="R64" s="33" t="n">
        <f aca="false">'2. The tape'!$C$17*(1+MIN(MAX($R$5,'3. Assumptions'!$B$11),'3. Assumptions'!$B$10))^INT(($A64-1)/4)/4*(1-'3. Assumptions'!$B$13)</f>
        <v>2998091.25</v>
      </c>
      <c r="S64" s="33" t="n">
        <f aca="false">(1-'3. Assumptions'!$B$15)*SUMPRODUCT((('2. The tape'!$C$5:$C$13*'2. The tape'!$D$5:$D$13*(1-'2. The tape'!$J$5:$J$13)^($A64/4)*(1+$R$5)^($A64/4)*((1-'3. Assumptions'!$B$13)/($R$6)-'2. The tape'!$H$5:$H$13/12-'3. Assumptions'!$B$16)-'2. The tape'!$C$5:$C$13*'2. The tape'!$I$5:$I$13*(1+$R$5)^($A64/4))&gt;0)*('2. The tape'!$C$5:$C$13*'2. The tape'!$D$5:$D$13*(1-'2. The tape'!$J$5:$J$13)^($A64/4)*(1+$R$5)^($A64/4)*((1-'3. Assumptions'!$B$13)/($R$6)-'2. The tape'!$H$5:$H$13/12-'3. Assumptions'!$B$16)-'2. The tape'!$C$5:$C$13*'2. The tape'!$I$5:$I$13*(1+$R$5)^($A64/4)))</f>
        <v>42831328.4542715</v>
      </c>
      <c r="T64" s="33" t="n">
        <f aca="false">'2. The tape'!$C$17*(1+MIN(MAX($T$5,'3. Assumptions'!$B$11),'3. Assumptions'!$B$10))^INT(($A64-1)/4)/4*(1-'3. Assumptions'!$B$13)</f>
        <v>2998091.25</v>
      </c>
      <c r="U64" s="33" t="n">
        <f aca="false">(1-'3. Assumptions'!$B$15)*SUMPRODUCT((('2. The tape'!$C$5:$C$13*'2. The tape'!$D$5:$D$13*(1-'2. The tape'!$J$5:$J$13)^($A64/4)*(1+$T$5)^($A64/4)*((1-'3. Assumptions'!$B$13)/($T$6)-'2. The tape'!$H$5:$H$13/12-'3. Assumptions'!$B$16)-'2. The tape'!$C$5:$C$13*'2. The tape'!$I$5:$I$13*(1+$T$5)^($A64/4))&gt;0)*('2. The tape'!$C$5:$C$13*'2. The tape'!$D$5:$D$13*(1-'2. The tape'!$J$5:$J$13)^($A64/4)*(1+$T$5)^($A64/4)*((1-'3. Assumptions'!$B$13)/($T$6)-'2. The tape'!$H$5:$H$13/12-'3. Assumptions'!$B$16)-'2. The tape'!$C$5:$C$13*'2. The tape'!$I$5:$I$13*(1+$T$5)^($A64/4)))</f>
        <v>42742957.1534369</v>
      </c>
      <c r="V64" s="33" t="n">
        <f aca="false">'2. The tape'!$C$17*(1+MIN(MAX($V$5,'3. Assumptions'!$B$11),'3. Assumptions'!$B$10))^INT(($A64-1)/4)/4*(1-'3. Assumptions'!$B$13)</f>
        <v>2998091.25</v>
      </c>
      <c r="W64" s="33" t="n">
        <f aca="false">(1-'3. Assumptions'!$B$15)*SUMPRODUCT((('2. The tape'!$C$5:$C$13*'2. The tape'!$D$5:$D$13*(1-'2. The tape'!$J$5:$J$13)^($A64/4)*(1+$V$5)^($A64/4)*((1-'3. Assumptions'!$B$13)/($V$6)-'2. The tape'!$H$5:$H$13/12-'3. Assumptions'!$B$16)-'2. The tape'!$C$5:$C$13*'2. The tape'!$I$5:$I$13*(1+$V$5)^($A64/4))&gt;0)*('2. The tape'!$C$5:$C$13*'2. The tape'!$D$5:$D$13*(1-'2. The tape'!$J$5:$J$13)^($A64/4)*(1+$V$5)^($A64/4)*((1-'3. Assumptions'!$B$13)/($V$6)-'2. The tape'!$H$5:$H$13/12-'3. Assumptions'!$B$16)-'2. The tape'!$C$5:$C$13*'2. The tape'!$I$5:$I$13*(1+$V$5)^($A64/4)))</f>
        <v>42746504.5961576</v>
      </c>
      <c r="X64" s="33" t="n">
        <f aca="false">'2. The tape'!$C$17*(1+MIN(MAX($X$5,'3. Assumptions'!$B$11),'3. Assumptions'!$B$10))^INT(($A64-1)/4)/4*(1-'3. Assumptions'!$B$13)</f>
        <v>2998091.25</v>
      </c>
      <c r="Y64" s="33" t="n">
        <f aca="false">(1-'3. Assumptions'!$B$15)*SUMPRODUCT((('2. The tape'!$C$5:$C$13*'2. The tape'!$D$5:$D$13*(1-'2. The tape'!$J$5:$J$13)^($A64/4)*(1+$X$5)^($A64/4)*((1-'3. Assumptions'!$B$13)/($X$6)-'2. The tape'!$H$5:$H$13/12-'3. Assumptions'!$B$16)-'2. The tape'!$C$5:$C$13*'2. The tape'!$I$5:$I$13*(1+$X$5)^($A64/4))&gt;0)*('2. The tape'!$C$5:$C$13*'2. The tape'!$D$5:$D$13*(1-'2. The tape'!$J$5:$J$13)^($A64/4)*(1+$X$5)^($A64/4)*((1-'3. Assumptions'!$B$13)/($X$6)-'2. The tape'!$H$5:$H$13/12-'3. Assumptions'!$B$16)-'2. The tape'!$C$5:$C$13*'2. The tape'!$I$5:$I$13*(1+$X$5)^($A64/4)))</f>
        <v>42746500.8656589</v>
      </c>
      <c r="Z64" s="33" t="n">
        <f aca="false">'2. The tape'!$C$17*(1+MIN(MAX($Z$5,'3. Assumptions'!$B$11),'3. Assumptions'!$B$10))^INT(($A64-1)/4)/4*(1-'3. Assumptions'!$B$13)</f>
        <v>2998091.25</v>
      </c>
      <c r="AA64" s="33" t="n">
        <f aca="false">(1-'3. Assumptions'!$B$15)*SUMPRODUCT((('2. The tape'!$C$5:$C$13*'2. The tape'!$D$5:$D$13*(1-'2. The tape'!$J$5:$J$13)^($A64/4)*(1+$Z$5)^($A64/4)*((1-'3. Assumptions'!$B$13)/($Z$6)-'2. The tape'!$H$5:$H$13/12-'3. Assumptions'!$B$16)-'2. The tape'!$C$5:$C$13*'2. The tape'!$I$5:$I$13*(1+$Z$5)^($A64/4))&gt;0)*('2. The tape'!$C$5:$C$13*'2. The tape'!$D$5:$D$13*(1-'2. The tape'!$J$5:$J$13)^($A64/4)*(1+$Z$5)^($A64/4)*((1-'3. Assumptions'!$B$13)/($Z$6)-'2. The tape'!$H$5:$H$13/12-'3. Assumptions'!$B$16)-'2. The tape'!$C$5:$C$13*'2. The tape'!$I$5:$I$13*(1+$Z$5)^($A64/4)))</f>
        <v>42746500.8654947</v>
      </c>
      <c r="AB64" s="33" t="n">
        <f aca="false">'2. The tape'!$C$17*(1+MIN(MAX($AB$5,'3. Assumptions'!$B$11),'3. Assumptions'!$B$10))^INT(($A64-1)/4)/4*(1-'3. Assumptions'!$B$13)</f>
        <v>2998091.25</v>
      </c>
      <c r="AC64" s="33" t="n">
        <f aca="false">(1-'3. Assumptions'!$B$15)*SUMPRODUCT((('2. The tape'!$C$5:$C$13*'2. The tape'!$D$5:$D$13*(1-'2. The tape'!$J$5:$J$13)^($A64/4)*(1+$AB$5)^($A64/4)*((1-'3. Assumptions'!$B$13)/($AB$6)-'2. The tape'!$H$5:$H$13/12-'3. Assumptions'!$B$16)-'2. The tape'!$C$5:$C$13*'2. The tape'!$I$5:$I$13*(1+$AB$5)^($A64/4))&gt;0)*('2. The tape'!$C$5:$C$13*'2. The tape'!$D$5:$D$13*(1-'2. The tape'!$J$5:$J$13)^($A64/4)*(1+$AB$5)^($A64/4)*((1-'3. Assumptions'!$B$13)/($AB$6)-'2. The tape'!$H$5:$H$13/12-'3. Assumptions'!$B$16)-'2. The tape'!$C$5:$C$13*'2. The tape'!$I$5:$I$13*(1+$AB$5)^($A64/4)))</f>
        <v>42746500.8654947</v>
      </c>
      <c r="AD64" s="33" t="n">
        <f aca="false">'2. The tape'!$C$17*(1+MIN(MAX($AD$5,'3. Assumptions'!$B$11),'3. Assumptions'!$B$10))^INT(($A64-1)/4)/4*(1-'3. Assumptions'!$B$13)</f>
        <v>2998091.25</v>
      </c>
      <c r="AE64" s="33" t="n">
        <f aca="false">(1-'3. Assumptions'!$B$15)*SUMPRODUCT((('2. The tape'!$C$5:$C$13*'2. The tape'!$D$5:$D$13*(1-'2. The tape'!$J$5:$J$13)^($A64/4)*(1+$AD$5)^($A64/4)*((1-'3. Assumptions'!$B$13)/($AD$6)-'2. The tape'!$H$5:$H$13/12-'3. Assumptions'!$B$16)-'2. The tape'!$C$5:$C$13*'2. The tape'!$I$5:$I$13*(1+$AD$5)^($A64/4))&gt;0)*('2. The tape'!$C$5:$C$13*'2. The tape'!$D$5:$D$13*(1-'2. The tape'!$J$5:$J$13)^($A64/4)*(1+$AD$5)^($A64/4)*((1-'3. Assumptions'!$B$13)/($AD$6)-'2. The tape'!$H$5:$H$13/12-'3. Assumptions'!$B$16)-'2. The tape'!$C$5:$C$13*'2. The tape'!$I$5:$I$13*(1+$AD$5)^($A64/4)))</f>
        <v>42746500.8654947</v>
      </c>
      <c r="AF64" s="33" t="n">
        <f aca="false">'2. The tape'!$C$17*(1+MIN(MAX($AF$5,'3. Assumptions'!$B$11),'3. Assumptions'!$B$10))^INT(($A64-1)/4)/4*(1-'3. Assumptions'!$B$13)</f>
        <v>2998091.25</v>
      </c>
      <c r="AG64" s="33" t="n">
        <f aca="false">(1-'3. Assumptions'!$B$15)*SUMPRODUCT((('2. The tape'!$C$5:$C$13*'2. The tape'!$D$5:$D$13*(1-'2. The tape'!$J$5:$J$13)^($A64/4)*(1+$AF$5)^($A64/4)*((1-'3. Assumptions'!$B$13)/($AF$6)-'2. The tape'!$H$5:$H$13/12-'3. Assumptions'!$B$16)-'2. The tape'!$C$5:$C$13*'2. The tape'!$I$5:$I$13*(1+$AF$5)^($A64/4))&gt;0)*('2. The tape'!$C$5:$C$13*'2. The tape'!$D$5:$D$13*(1-'2. The tape'!$J$5:$J$13)^($A64/4)*(1+$AF$5)^($A64/4)*((1-'3. Assumptions'!$B$13)/($AF$6)-'2. The tape'!$H$5:$H$13/12-'3. Assumptions'!$B$16)-'2. The tape'!$C$5:$C$13*'2. The tape'!$I$5:$I$13*(1+$AF$5)^($A64/4)))</f>
        <v>42746500.8654947</v>
      </c>
      <c r="AH64" s="33" t="n">
        <f aca="false">'2. The tape'!$C$17*(1+MIN(MAX($AH$5,'3. Assumptions'!$B$11),'3. Assumptions'!$B$10))^INT(($A64-1)/4)/4*(1-'3. Assumptions'!$B$13)</f>
        <v>3892741.78168913</v>
      </c>
      <c r="AI64" s="33" t="n">
        <f aca="false">(1-'3. Assumptions'!$B$15)*SUMPRODUCT((('2. The tape'!$C$5:$C$13*'2. The tape'!$D$5:$D$13*(1-'2. The tape'!$J$5:$J$13)^($A64/4)*(1+$AH$5)^($A64/4)*((1-'3. Assumptions'!$B$13)/($AH$6)-'2. The tape'!$H$5:$H$13/12-'3. Assumptions'!$B$16)-'2. The tape'!$C$5:$C$13*'2. The tape'!$I$5:$I$13*(1+$AH$5)^($A64/4))&gt;0)*('2. The tape'!$C$5:$C$13*'2. The tape'!$D$5:$D$13*(1-'2. The tape'!$J$5:$J$13)^($A64/4)*(1+$AH$5)^($A64/4)*((1-'3. Assumptions'!$B$13)/($AH$6)-'2. The tape'!$H$5:$H$13/12-'3. Assumptions'!$B$16)-'2. The tape'!$C$5:$C$13*'2. The tape'!$I$5:$I$13*(1+$AH$5)^($A64/4)))</f>
        <v>153991049.218005</v>
      </c>
      <c r="AJ64" s="33" t="n">
        <f aca="false">'2. The tape'!$C$17*(1+MIN(MAX($AJ$5,'3. Assumptions'!$B$11),'3. Assumptions'!$B$10))^INT(($A64-1)/4)/4*(1-'3. Assumptions'!$B$13)</f>
        <v>3892741.78168913</v>
      </c>
      <c r="AK64" s="33" t="n">
        <f aca="false">(1-'3. Assumptions'!$B$15)*SUMPRODUCT((('2. The tape'!$C$5:$C$13*'2. The tape'!$D$5:$D$13*(1-'2. The tape'!$J$5:$J$13)^($A64/4)*(1+$AJ$5)^($A64/4)*((1-'3. Assumptions'!$B$13)/($AJ$6)-'2. The tape'!$H$5:$H$13/12-'3. Assumptions'!$B$16)-'2. The tape'!$C$5:$C$13*'2. The tape'!$I$5:$I$13*(1+$AJ$5)^($A64/4))&gt;0)*('2. The tape'!$C$5:$C$13*'2. The tape'!$D$5:$D$13*(1-'2. The tape'!$J$5:$J$13)^($A64/4)*(1+$AJ$5)^($A64/4)*((1-'3. Assumptions'!$B$13)/($AJ$6)-'2. The tape'!$H$5:$H$13/12-'3. Assumptions'!$B$16)-'2. The tape'!$C$5:$C$13*'2. The tape'!$I$5:$I$13*(1+$AJ$5)^($A64/4)))</f>
        <v>110990461.310577</v>
      </c>
      <c r="AL64" s="33" t="n">
        <f aca="false">'2. The tape'!$C$17*(1+MIN(MAX($AL$5,'3. Assumptions'!$B$11),'3. Assumptions'!$B$10))^INT(($A64-1)/4)/4*(1-'3. Assumptions'!$B$13)</f>
        <v>3892741.78168913</v>
      </c>
      <c r="AM64" s="33" t="n">
        <f aca="false">(1-'3. Assumptions'!$B$15)*SUMPRODUCT((('2. The tape'!$C$5:$C$13*'2. The tape'!$D$5:$D$13*(1-'2. The tape'!$J$5:$J$13)^($A64/4)*(1+$AL$5)^($A64/4)*((1-'3. Assumptions'!$B$13)/($AL$6)-'2. The tape'!$H$5:$H$13/12-'3. Assumptions'!$B$16)-'2. The tape'!$C$5:$C$13*'2. The tape'!$I$5:$I$13*(1+$AL$5)^($A64/4))&gt;0)*('2. The tape'!$C$5:$C$13*'2. The tape'!$D$5:$D$13*(1-'2. The tape'!$J$5:$J$13)^($A64/4)*(1+$AL$5)^($A64/4)*((1-'3. Assumptions'!$B$13)/($AL$6)-'2. The tape'!$H$5:$H$13/12-'3. Assumptions'!$B$16)-'2. The tape'!$C$5:$C$13*'2. The tape'!$I$5:$I$13*(1+$AL$5)^($A64/4)))</f>
        <v>127667957.674505</v>
      </c>
      <c r="AN64" s="33" t="n">
        <f aca="false">'2. The tape'!$C$17*(1+MIN(MAX($AN$5,'3. Assumptions'!$B$11),'3. Assumptions'!$B$10))^INT(($A64-1)/4)/4*(1-'3. Assumptions'!$B$13)</f>
        <v>3892741.78168913</v>
      </c>
      <c r="AO64" s="33" t="n">
        <f aca="false">(1-'3. Assumptions'!$B$15)*SUMPRODUCT((('2. The tape'!$C$5:$C$13*'2. The tape'!$D$5:$D$13*(1-'2. The tape'!$J$5:$J$13)^($A64/4)*(1+$AN$5)^($A64/4)*((1-'3. Assumptions'!$B$13)/($AN$6)-'2. The tape'!$H$5:$H$13/12-'3. Assumptions'!$B$16)-'2. The tape'!$C$5:$C$13*'2. The tape'!$I$5:$I$13*(1+$AN$5)^($A64/4))&gt;0)*('2. The tape'!$C$5:$C$13*'2. The tape'!$D$5:$D$13*(1-'2. The tape'!$J$5:$J$13)^($A64/4)*(1+$AN$5)^($A64/4)*((1-'3. Assumptions'!$B$13)/($AN$6)-'2. The tape'!$H$5:$H$13/12-'3. Assumptions'!$B$16)-'2. The tape'!$C$5:$C$13*'2. The tape'!$I$5:$I$13*(1+$AN$5)^($A64/4)))</f>
        <v>130790497.145725</v>
      </c>
      <c r="AP64" s="33" t="n">
        <f aca="false">'2. The tape'!$C$17*(1+MIN(MAX($AP$5,'3. Assumptions'!$B$11),'3. Assumptions'!$B$10))^INT(($A64-1)/4)/4*(1-'3. Assumptions'!$B$13)</f>
        <v>3892741.78168913</v>
      </c>
      <c r="AQ64" s="33" t="n">
        <f aca="false">(1-'3. Assumptions'!$B$15)*SUMPRODUCT((('2. The tape'!$C$5:$C$13*'2. The tape'!$D$5:$D$13*(1-'2. The tape'!$J$5:$J$13)^($A64/4)*(1+$AP$5)^($A64/4)*((1-'3. Assumptions'!$B$13)/($AP$6)-'2. The tape'!$H$5:$H$13/12-'3. Assumptions'!$B$16)-'2. The tape'!$C$5:$C$13*'2. The tape'!$I$5:$I$13*(1+$AP$5)^($A64/4))&gt;0)*('2. The tape'!$C$5:$C$13*'2. The tape'!$D$5:$D$13*(1-'2. The tape'!$J$5:$J$13)^($A64/4)*(1+$AP$5)^($A64/4)*((1-'3. Assumptions'!$B$13)/($AP$6)-'2. The tape'!$H$5:$H$13/12-'3. Assumptions'!$B$16)-'2. The tape'!$C$5:$C$13*'2. The tape'!$I$5:$I$13*(1+$AP$5)^($A64/4)))</f>
        <v>130405026.055572</v>
      </c>
      <c r="AR64" s="33" t="n">
        <f aca="false">'2. The tape'!$C$17*(1+MIN(MAX($AR$5,'3. Assumptions'!$B$11),'3. Assumptions'!$B$10))^INT(($A64-1)/4)/4*(1-'3. Assumptions'!$B$13)</f>
        <v>3892741.78168913</v>
      </c>
      <c r="AS64" s="33" t="n">
        <f aca="false">(1-'3. Assumptions'!$B$15)*SUMPRODUCT((('2. The tape'!$C$5:$C$13*'2. The tape'!$D$5:$D$13*(1-'2. The tape'!$J$5:$J$13)^($A64/4)*(1+$AR$5)^($A64/4)*((1-'3. Assumptions'!$B$13)/($AR$6)-'2. The tape'!$H$5:$H$13/12-'3. Assumptions'!$B$16)-'2. The tape'!$C$5:$C$13*'2. The tape'!$I$5:$I$13*(1+$AR$5)^($A64/4))&gt;0)*('2. The tape'!$C$5:$C$13*'2. The tape'!$D$5:$D$13*(1-'2. The tape'!$J$5:$J$13)^($A64/4)*(1+$AR$5)^($A64/4)*((1-'3. Assumptions'!$B$13)/($AR$6)-'2. The tape'!$H$5:$H$13/12-'3. Assumptions'!$B$16)-'2. The tape'!$C$5:$C$13*'2. The tape'!$I$5:$I$13*(1+$AR$5)^($A64/4)))</f>
        <v>130411493.708336</v>
      </c>
      <c r="AT64" s="33" t="n">
        <f aca="false">'2. The tape'!$C$17*(1+MIN(MAX($AT$5,'3. Assumptions'!$B$11),'3. Assumptions'!$B$10))^INT(($A64-1)/4)/4*(1-'3. Assumptions'!$B$13)</f>
        <v>3892741.78168913</v>
      </c>
      <c r="AU64" s="33" t="n">
        <f aca="false">(1-'3. Assumptions'!$B$15)*SUMPRODUCT((('2. The tape'!$C$5:$C$13*'2. The tape'!$D$5:$D$13*(1-'2. The tape'!$J$5:$J$13)^($A64/4)*(1+$AT$5)^($A64/4)*((1-'3. Assumptions'!$B$13)/($AT$6)-'2. The tape'!$H$5:$H$13/12-'3. Assumptions'!$B$16)-'2. The tape'!$C$5:$C$13*'2. The tape'!$I$5:$I$13*(1+$AT$5)^($A64/4))&gt;0)*('2. The tape'!$C$5:$C$13*'2. The tape'!$D$5:$D$13*(1-'2. The tape'!$J$5:$J$13)^($A64/4)*(1+$AT$5)^($A64/4)*((1-'3. Assumptions'!$B$13)/($AT$6)-'2. The tape'!$H$5:$H$13/12-'3. Assumptions'!$B$16)-'2. The tape'!$C$5:$C$13*'2. The tape'!$I$5:$I$13*(1+$AT$5)^($A64/4)))</f>
        <v>130411508.769872</v>
      </c>
      <c r="AV64" s="33" t="n">
        <f aca="false">'2. The tape'!$C$17*(1+MIN(MAX($AV$5,'3. Assumptions'!$B$11),'3. Assumptions'!$B$10))^INT(($A64-1)/4)/4*(1-'3. Assumptions'!$B$13)</f>
        <v>3892741.78168913</v>
      </c>
      <c r="AW64" s="33" t="n">
        <f aca="false">(1-'3. Assumptions'!$B$15)*SUMPRODUCT((('2. The tape'!$C$5:$C$13*'2. The tape'!$D$5:$D$13*(1-'2. The tape'!$J$5:$J$13)^($A64/4)*(1+$AV$5)^($A64/4)*((1-'3. Assumptions'!$B$13)/($AV$6)-'2. The tape'!$H$5:$H$13/12-'3. Assumptions'!$B$16)-'2. The tape'!$C$5:$C$13*'2. The tape'!$I$5:$I$13*(1+$AV$5)^($A64/4))&gt;0)*('2. The tape'!$C$5:$C$13*'2. The tape'!$D$5:$D$13*(1-'2. The tape'!$J$5:$J$13)^($A64/4)*(1+$AV$5)^($A64/4)*((1-'3. Assumptions'!$B$13)/($AV$6)-'2. The tape'!$H$5:$H$13/12-'3. Assumptions'!$B$16)-'2. The tape'!$C$5:$C$13*'2. The tape'!$I$5:$I$13*(1+$AV$5)^($A64/4)))</f>
        <v>130411508.769272</v>
      </c>
      <c r="AX64" s="33" t="n">
        <f aca="false">'2. The tape'!$C$17*(1+MIN(MAX($AX$5,'3. Assumptions'!$B$11),'3. Assumptions'!$B$10))^INT(($A64-1)/4)/4*(1-'3. Assumptions'!$B$13)</f>
        <v>3892741.78168913</v>
      </c>
      <c r="AY64" s="33" t="n">
        <f aca="false">(1-'3. Assumptions'!$B$15)*SUMPRODUCT((('2. The tape'!$C$5:$C$13*'2. The tape'!$D$5:$D$13*(1-'2. The tape'!$J$5:$J$13)^($A64/4)*(1+$AX$5)^($A64/4)*((1-'3. Assumptions'!$B$13)/($AX$6)-'2. The tape'!$H$5:$H$13/12-'3. Assumptions'!$B$16)-'2. The tape'!$C$5:$C$13*'2. The tape'!$I$5:$I$13*(1+$AX$5)^($A64/4))&gt;0)*('2. The tape'!$C$5:$C$13*'2. The tape'!$D$5:$D$13*(1-'2. The tape'!$J$5:$J$13)^($A64/4)*(1+$AX$5)^($A64/4)*((1-'3. Assumptions'!$B$13)/($AX$6)-'2. The tape'!$H$5:$H$13/12-'3. Assumptions'!$B$16)-'2. The tape'!$C$5:$C$13*'2. The tape'!$I$5:$I$13*(1+$AX$5)^($A64/4)))</f>
        <v>130411508.769272</v>
      </c>
      <c r="AZ64" s="33" t="n">
        <f aca="false">'2. The tape'!$C$17*(1+MIN(MAX($AZ$5,'3. Assumptions'!$B$11),'3. Assumptions'!$B$10))^INT(($A64-1)/4)/4*(1-'3. Assumptions'!$B$13)</f>
        <v>3892741.78168913</v>
      </c>
      <c r="BA64" s="33" t="n">
        <f aca="false">(1-'3. Assumptions'!$B$15)*SUMPRODUCT((('2. The tape'!$C$5:$C$13*'2. The tape'!$D$5:$D$13*(1-'2. The tape'!$J$5:$J$13)^($A64/4)*(1+$AZ$5)^($A64/4)*((1-'3. Assumptions'!$B$13)/($AZ$6)-'2. The tape'!$H$5:$H$13/12-'3. Assumptions'!$B$16)-'2. The tape'!$C$5:$C$13*'2. The tape'!$I$5:$I$13*(1+$AZ$5)^($A64/4))&gt;0)*('2. The tape'!$C$5:$C$13*'2. The tape'!$D$5:$D$13*(1-'2. The tape'!$J$5:$J$13)^($A64/4)*(1+$AZ$5)^($A64/4)*((1-'3. Assumptions'!$B$13)/($AZ$6)-'2. The tape'!$H$5:$H$13/12-'3. Assumptions'!$B$16)-'2. The tape'!$C$5:$C$13*'2. The tape'!$I$5:$I$13*(1+$AZ$5)^($A64/4)))</f>
        <v>130411508.769272</v>
      </c>
    </row>
    <row r="65" customFormat="false" ht="15" hidden="false" customHeight="false" outlineLevel="0" collapsed="false">
      <c r="A65" s="20" t="n">
        <v>50</v>
      </c>
      <c r="B65" s="33" t="n">
        <f aca="false">'2. The tape'!$C$17*(1+MIN(MAX($B$5,'3. Assumptions'!$B$11),'3. Assumptions'!$B$10))^INT(($A65-1)/4)/4*(1-'3. Assumptions'!$B$13)</f>
        <v>3892741.78168913</v>
      </c>
      <c r="C65" s="33" t="n">
        <f aca="false">(1-'3. Assumptions'!$B$15)*SUMPRODUCT((('2. The tape'!$C$5:$C$13*'2. The tape'!$D$5:$D$13*(1-'2. The tape'!$J$5:$J$13)^($A65/4)*(1+$B$5)^($A65/4)*((1-'3. Assumptions'!$B$13)/($B$6)-'2. The tape'!$H$5:$H$13/12-'3. Assumptions'!$B$16)-'2. The tape'!$C$5:$C$13*'2. The tape'!$I$5:$I$13*(1+$B$5)^($A65/4))&gt;0)*('2. The tape'!$C$5:$C$13*'2. The tape'!$D$5:$D$13*(1-'2. The tape'!$J$5:$J$13)^($A65/4)*(1+$B$5)^($A65/4)*((1-'3. Assumptions'!$B$13)/($B$6)-'2. The tape'!$H$5:$H$13/12-'3. Assumptions'!$B$16)-'2. The tape'!$C$5:$C$13*'2. The tape'!$I$5:$I$13*(1+$B$5)^($A65/4)))</f>
        <v>77163422.8894443</v>
      </c>
      <c r="D65" s="33" t="n">
        <f aca="false">'2. The tape'!$C$17*(1+MIN(MAX($D$5,'3. Assumptions'!$B$11),'3. Assumptions'!$B$10))^INT(($A65-1)/4)/4*(1-'3. Assumptions'!$B$13)</f>
        <v>4274561.23944577</v>
      </c>
      <c r="E65" s="33" t="n">
        <f aca="false">(1-'3. Assumptions'!$B$15)*SUMPRODUCT((('2. The tape'!$C$5:$C$13*'2. The tape'!$D$5:$D$13*(1-'2. The tape'!$J$5:$J$13)^($A65/4)*(1+$D$5)^($A65/4)*((1-'3. Assumptions'!$B$13)/($D$6)-'2. The tape'!$H$5:$H$13/12-'3. Assumptions'!$B$16)-'2. The tape'!$C$5:$C$13*'2. The tape'!$I$5:$I$13*(1+$D$5)^($A65/4))&gt;0)*('2. The tape'!$C$5:$C$13*'2. The tape'!$D$5:$D$13*(1-'2. The tape'!$J$5:$J$13)^($A65/4)*(1+$D$5)^($A65/4)*((1-'3. Assumptions'!$B$13)/($D$6)-'2. The tape'!$H$5:$H$13/12-'3. Assumptions'!$B$16)-'2. The tape'!$C$5:$C$13*'2. The tape'!$I$5:$I$13*(1+$D$5)^($A65/4)))</f>
        <v>90371118.8569845</v>
      </c>
      <c r="F65" s="33" t="n">
        <f aca="false">'2. The tape'!$C$17*(1+MIN(MAX($F$5,'3. Assumptions'!$B$11),'3. Assumptions'!$B$10))^INT(($A65-1)/4)/4*(1-'3. Assumptions'!$B$13)</f>
        <v>3378324.26311965</v>
      </c>
      <c r="G65" s="33" t="n">
        <f aca="false">(1-'3. Assumptions'!$B$15)*SUMPRODUCT((('2. The tape'!$C$5:$C$13*'2. The tape'!$D$5:$D$13*(1-'2. The tape'!$J$5:$J$13)^($A65/4)*(1+$F$5)^($A65/4)*((1-'3. Assumptions'!$B$13)/($F$6)-'2. The tape'!$H$5:$H$13/12-'3. Assumptions'!$B$16)-'2. The tape'!$C$5:$C$13*'2. The tape'!$I$5:$I$13*(1+$F$5)^($A65/4))&gt;0)*('2. The tape'!$C$5:$C$13*'2. The tape'!$D$5:$D$13*(1-'2. The tape'!$J$5:$J$13)^($A65/4)*(1+$F$5)^($A65/4)*((1-'3. Assumptions'!$B$13)/($F$6)-'2. The tape'!$H$5:$H$13/12-'3. Assumptions'!$B$16)-'2. The tape'!$C$5:$C$13*'2. The tape'!$I$5:$I$13*(1+$F$5)^($A65/4)))</f>
        <v>66572130.9909195</v>
      </c>
      <c r="H65" s="33" t="n">
        <f aca="false">'2. The tape'!$C$17*(1+MIN(MAX($H$5,'3. Assumptions'!$B$11),'3. Assumptions'!$B$10))^INT(($A65-1)/4)/4*(1-'3. Assumptions'!$B$13)</f>
        <v>4274561.23944577</v>
      </c>
      <c r="I65" s="33" t="n">
        <f aca="false">(1-'3. Assumptions'!$B$15)*SUMPRODUCT((('2. The tape'!$C$5:$C$13*'2. The tape'!$D$5:$D$13*(1-'2. The tape'!$J$5:$J$13)^($A65/4)*(1+$H$5)^($A65/4)*((1-'3. Assumptions'!$B$13)/($H$6)-'2. The tape'!$H$5:$H$13/12-'3. Assumptions'!$B$16)-'2. The tape'!$C$5:$C$13*'2. The tape'!$I$5:$I$13*(1+$H$5)^($A65/4))&gt;0)*('2. The tape'!$C$5:$C$13*'2. The tape'!$D$5:$D$13*(1-'2. The tape'!$J$5:$J$13)^($A65/4)*(1+$H$5)^($A65/4)*((1-'3. Assumptions'!$B$13)/($H$6)-'2. The tape'!$H$5:$H$13/12-'3. Assumptions'!$B$16)-'2. The tape'!$C$5:$C$13*'2. The tape'!$I$5:$I$13*(1+$H$5)^($A65/4)))</f>
        <v>90371118.8569845</v>
      </c>
      <c r="J65" s="33" t="n">
        <f aca="false">'2. The tape'!$C$17*(1+MIN(MAX($J$5,'3. Assumptions'!$B$11),'3. Assumptions'!$B$10))^INT(($A65-1)/4)/4*(1-'3. Assumptions'!$B$13)</f>
        <v>3892741.78168913</v>
      </c>
      <c r="K65" s="33" t="n">
        <f aca="false">(1-'3. Assumptions'!$B$15)*SUMPRODUCT((('2. The tape'!$C$5:$C$13*'2. The tape'!$D$5:$D$13*(1-'2. The tape'!$J$5:$J$13)^($A65/4)*(1+$J$5)^($A65/4)*((1-'3. Assumptions'!$B$13)/($J$6)-'2. The tape'!$H$5:$H$13/12-'3. Assumptions'!$B$16)-'2. The tape'!$C$5:$C$13*'2. The tape'!$I$5:$I$13*(1+$J$5)^($A65/4))&gt;0)*('2. The tape'!$C$5:$C$13*'2. The tape'!$D$5:$D$13*(1-'2. The tape'!$J$5:$J$13)^($A65/4)*(1+$J$5)^($A65/4)*((1-'3. Assumptions'!$B$13)/($J$6)-'2. The tape'!$H$5:$H$13/12-'3. Assumptions'!$B$16)-'2. The tape'!$C$5:$C$13*'2. The tape'!$I$5:$I$13*(1+$J$5)^($A65/4)))</f>
        <v>63111491.5064515</v>
      </c>
      <c r="L65" s="33" t="n">
        <f aca="false">'2. The tape'!$C$17*(1+MIN(MAX($L$5,'3. Assumptions'!$B$11),'3. Assumptions'!$B$10))^INT(($A65-1)/4)/4*(1-'3. Assumptions'!$B$13)</f>
        <v>4274561.23944577</v>
      </c>
      <c r="M65" s="33" t="n">
        <f aca="false">(1-'3. Assumptions'!$B$15)*SUMPRODUCT((('2. The tape'!$C$5:$C$13*'2. The tape'!$D$5:$D$13*(1-'2. The tape'!$J$5:$J$13)^($A65/4)*(1+$L$5)^($A65/4)*((1-'3. Assumptions'!$B$13)/($L$6)-'2. The tape'!$H$5:$H$13/12-'3. Assumptions'!$B$16)-'2. The tape'!$C$5:$C$13*'2. The tape'!$I$5:$I$13*(1+$L$5)^($A65/4))&gt;0)*('2. The tape'!$C$5:$C$13*'2. The tape'!$D$5:$D$13*(1-'2. The tape'!$J$5:$J$13)^($A65/4)*(1+$L$5)^($A65/4)*((1-'3. Assumptions'!$B$13)/($L$6)-'2. The tape'!$H$5:$H$13/12-'3. Assumptions'!$B$16)-'2. The tape'!$C$5:$C$13*'2. The tape'!$I$5:$I$13*(1+$L$5)^($A65/4)))</f>
        <v>1561590616.2186</v>
      </c>
      <c r="N65" s="33" t="n">
        <f aca="false">'2. The tape'!$C$17*(1+MIN(MAX($N$5,'3. Assumptions'!$B$11),'3. Assumptions'!$B$10))^INT(($A65-1)/4)/4*(1-'3. Assumptions'!$B$13)</f>
        <v>2998091.25</v>
      </c>
      <c r="O65" s="33" t="n">
        <f aca="false">(1-'3. Assumptions'!$B$15)*SUMPRODUCT((('2. The tape'!$C$5:$C$13*'2. The tape'!$D$5:$D$13*(1-'2. The tape'!$J$5:$J$13)^($A65/4)*(1+$N$5)^($A65/4)*((1-'3. Assumptions'!$B$13)/($N$6)-'2. The tape'!$H$5:$H$13/12-'3. Assumptions'!$B$16)-'2. The tape'!$C$5:$C$13*'2. The tape'!$I$5:$I$13*(1+$N$5)^($A65/4))&gt;0)*('2. The tape'!$C$5:$C$13*'2. The tape'!$D$5:$D$13*(1-'2. The tape'!$J$5:$J$13)^($A65/4)*(1+$N$5)^($A65/4)*((1-'3. Assumptions'!$B$13)/($N$6)-'2. The tape'!$H$5:$H$13/12-'3. Assumptions'!$B$16)-'2. The tape'!$C$5:$C$13*'2. The tape'!$I$5:$I$13*(1+$N$5)^($A65/4)))</f>
        <v>40171862.2755902</v>
      </c>
      <c r="P65" s="33" t="n">
        <f aca="false">'2. The tape'!$C$17*(1+MIN(MAX($P$5,'3. Assumptions'!$B$11),'3. Assumptions'!$B$10))^INT(($A65-1)/4)/4*(1-'3. Assumptions'!$B$13)</f>
        <v>2998091.25</v>
      </c>
      <c r="Q65" s="33" t="n">
        <f aca="false">(1-'3. Assumptions'!$B$15)*SUMPRODUCT((('2. The tape'!$C$5:$C$13*'2. The tape'!$D$5:$D$13*(1-'2. The tape'!$J$5:$J$13)^($A65/4)*(1+$P$5)^($A65/4)*((1-'3. Assumptions'!$B$13)/($P$6)-'2. The tape'!$H$5:$H$13/12-'3. Assumptions'!$B$16)-'2. The tape'!$C$5:$C$13*'2. The tape'!$I$5:$I$13*(1+$P$5)^($A65/4))&gt;0)*('2. The tape'!$C$5:$C$13*'2. The tape'!$D$5:$D$13*(1-'2. The tape'!$J$5:$J$13)^($A65/4)*(1+$P$5)^($A65/4)*((1-'3. Assumptions'!$B$13)/($P$6)-'2. The tape'!$H$5:$H$13/12-'3. Assumptions'!$B$16)-'2. The tape'!$C$5:$C$13*'2. The tape'!$I$5:$I$13*(1+$P$5)^($A65/4)))</f>
        <v>45666868.6090771</v>
      </c>
      <c r="R65" s="33" t="n">
        <f aca="false">'2. The tape'!$C$17*(1+MIN(MAX($R$5,'3. Assumptions'!$B$11),'3. Assumptions'!$B$10))^INT(($A65-1)/4)/4*(1-'3. Assumptions'!$B$13)</f>
        <v>2998091.25</v>
      </c>
      <c r="S65" s="33" t="n">
        <f aca="false">(1-'3. Assumptions'!$B$15)*SUMPRODUCT((('2. The tape'!$C$5:$C$13*'2. The tape'!$D$5:$D$13*(1-'2. The tape'!$J$5:$J$13)^($A65/4)*(1+$R$5)^($A65/4)*((1-'3. Assumptions'!$B$13)/($R$6)-'2. The tape'!$H$5:$H$13/12-'3. Assumptions'!$B$16)-'2. The tape'!$C$5:$C$13*'2. The tape'!$I$5:$I$13*(1+$R$5)^($A65/4))&gt;0)*('2. The tape'!$C$5:$C$13*'2. The tape'!$D$5:$D$13*(1-'2. The tape'!$J$5:$J$13)^($A65/4)*(1+$R$5)^($A65/4)*((1-'3. Assumptions'!$B$13)/($R$6)-'2. The tape'!$H$5:$H$13/12-'3. Assumptions'!$B$16)-'2. The tape'!$C$5:$C$13*'2. The tape'!$I$5:$I$13*(1+$R$5)^($A65/4)))</f>
        <v>42263360.3704401</v>
      </c>
      <c r="T65" s="33" t="n">
        <f aca="false">'2. The tape'!$C$17*(1+MIN(MAX($T$5,'3. Assumptions'!$B$11),'3. Assumptions'!$B$10))^INT(($A65-1)/4)/4*(1-'3. Assumptions'!$B$13)</f>
        <v>2998091.25</v>
      </c>
      <c r="U65" s="33" t="n">
        <f aca="false">(1-'3. Assumptions'!$B$15)*SUMPRODUCT((('2. The tape'!$C$5:$C$13*'2. The tape'!$D$5:$D$13*(1-'2. The tape'!$J$5:$J$13)^($A65/4)*(1+$T$5)^($A65/4)*((1-'3. Assumptions'!$B$13)/($T$6)-'2. The tape'!$H$5:$H$13/12-'3. Assumptions'!$B$16)-'2. The tape'!$C$5:$C$13*'2. The tape'!$I$5:$I$13*(1+$T$5)^($A65/4))&gt;0)*('2. The tape'!$C$5:$C$13*'2. The tape'!$D$5:$D$13*(1-'2. The tape'!$J$5:$J$13)^($A65/4)*(1+$T$5)^($A65/4)*((1-'3. Assumptions'!$B$13)/($T$6)-'2. The tape'!$H$5:$H$13/12-'3. Assumptions'!$B$16)-'2. The tape'!$C$5:$C$13*'2. The tape'!$I$5:$I$13*(1+$T$5)^($A65/4)))</f>
        <v>42174383.2179914</v>
      </c>
      <c r="V65" s="33" t="n">
        <f aca="false">'2. The tape'!$C$17*(1+MIN(MAX($V$5,'3. Assumptions'!$B$11),'3. Assumptions'!$B$10))^INT(($A65-1)/4)/4*(1-'3. Assumptions'!$B$13)</f>
        <v>2998091.25</v>
      </c>
      <c r="W65" s="33" t="n">
        <f aca="false">(1-'3. Assumptions'!$B$15)*SUMPRODUCT((('2. The tape'!$C$5:$C$13*'2. The tape'!$D$5:$D$13*(1-'2. The tape'!$J$5:$J$13)^($A65/4)*(1+$V$5)^($A65/4)*((1-'3. Assumptions'!$B$13)/($V$6)-'2. The tape'!$H$5:$H$13/12-'3. Assumptions'!$B$16)-'2. The tape'!$C$5:$C$13*'2. The tape'!$I$5:$I$13*(1+$V$5)^($A65/4))&gt;0)*('2. The tape'!$C$5:$C$13*'2. The tape'!$D$5:$D$13*(1-'2. The tape'!$J$5:$J$13)^($A65/4)*(1+$V$5)^($A65/4)*((1-'3. Assumptions'!$B$13)/($V$6)-'2. The tape'!$H$5:$H$13/12-'3. Assumptions'!$B$16)-'2. The tape'!$C$5:$C$13*'2. The tape'!$I$5:$I$13*(1+$V$5)^($A65/4)))</f>
        <v>42177954.908819</v>
      </c>
      <c r="X65" s="33" t="n">
        <f aca="false">'2. The tape'!$C$17*(1+MIN(MAX($X$5,'3. Assumptions'!$B$11),'3. Assumptions'!$B$10))^INT(($A65-1)/4)/4*(1-'3. Assumptions'!$B$13)</f>
        <v>2998091.25</v>
      </c>
      <c r="Y65" s="33" t="n">
        <f aca="false">(1-'3. Assumptions'!$B$15)*SUMPRODUCT((('2. The tape'!$C$5:$C$13*'2. The tape'!$D$5:$D$13*(1-'2. The tape'!$J$5:$J$13)^($A65/4)*(1+$X$5)^($A65/4)*((1-'3. Assumptions'!$B$13)/($X$6)-'2. The tape'!$H$5:$H$13/12-'3. Assumptions'!$B$16)-'2. The tape'!$C$5:$C$13*'2. The tape'!$I$5:$I$13*(1+$X$5)^($A65/4))&gt;0)*('2. The tape'!$C$5:$C$13*'2. The tape'!$D$5:$D$13*(1-'2. The tape'!$J$5:$J$13)^($A65/4)*(1+$X$5)^($A65/4)*((1-'3. Assumptions'!$B$13)/($X$6)-'2. The tape'!$H$5:$H$13/12-'3. Assumptions'!$B$16)-'2. The tape'!$C$5:$C$13*'2. The tape'!$I$5:$I$13*(1+$X$5)^($A65/4)))</f>
        <v>42177951.1528177</v>
      </c>
      <c r="Z65" s="33" t="n">
        <f aca="false">'2. The tape'!$C$17*(1+MIN(MAX($Z$5,'3. Assumptions'!$B$11),'3. Assumptions'!$B$10))^INT(($A65-1)/4)/4*(1-'3. Assumptions'!$B$13)</f>
        <v>2998091.25</v>
      </c>
      <c r="AA65" s="33" t="n">
        <f aca="false">(1-'3. Assumptions'!$B$15)*SUMPRODUCT((('2. The tape'!$C$5:$C$13*'2. The tape'!$D$5:$D$13*(1-'2. The tape'!$J$5:$J$13)^($A65/4)*(1+$Z$5)^($A65/4)*((1-'3. Assumptions'!$B$13)/($Z$6)-'2. The tape'!$H$5:$H$13/12-'3. Assumptions'!$B$16)-'2. The tape'!$C$5:$C$13*'2. The tape'!$I$5:$I$13*(1+$Z$5)^($A65/4))&gt;0)*('2. The tape'!$C$5:$C$13*'2. The tape'!$D$5:$D$13*(1-'2. The tape'!$J$5:$J$13)^($A65/4)*(1+$Z$5)^($A65/4)*((1-'3. Assumptions'!$B$13)/($Z$6)-'2. The tape'!$H$5:$H$13/12-'3. Assumptions'!$B$16)-'2. The tape'!$C$5:$C$13*'2. The tape'!$I$5:$I$13*(1+$Z$5)^($A65/4)))</f>
        <v>42177951.1526524</v>
      </c>
      <c r="AB65" s="33" t="n">
        <f aca="false">'2. The tape'!$C$17*(1+MIN(MAX($AB$5,'3. Assumptions'!$B$11),'3. Assumptions'!$B$10))^INT(($A65-1)/4)/4*(1-'3. Assumptions'!$B$13)</f>
        <v>2998091.25</v>
      </c>
      <c r="AC65" s="33" t="n">
        <f aca="false">(1-'3. Assumptions'!$B$15)*SUMPRODUCT((('2. The tape'!$C$5:$C$13*'2. The tape'!$D$5:$D$13*(1-'2. The tape'!$J$5:$J$13)^($A65/4)*(1+$AB$5)^($A65/4)*((1-'3. Assumptions'!$B$13)/($AB$6)-'2. The tape'!$H$5:$H$13/12-'3. Assumptions'!$B$16)-'2. The tape'!$C$5:$C$13*'2. The tape'!$I$5:$I$13*(1+$AB$5)^($A65/4))&gt;0)*('2. The tape'!$C$5:$C$13*'2. The tape'!$D$5:$D$13*(1-'2. The tape'!$J$5:$J$13)^($A65/4)*(1+$AB$5)^($A65/4)*((1-'3. Assumptions'!$B$13)/($AB$6)-'2. The tape'!$H$5:$H$13/12-'3. Assumptions'!$B$16)-'2. The tape'!$C$5:$C$13*'2. The tape'!$I$5:$I$13*(1+$AB$5)^($A65/4)))</f>
        <v>42177951.1526524</v>
      </c>
      <c r="AD65" s="33" t="n">
        <f aca="false">'2. The tape'!$C$17*(1+MIN(MAX($AD$5,'3. Assumptions'!$B$11),'3. Assumptions'!$B$10))^INT(($A65-1)/4)/4*(1-'3. Assumptions'!$B$13)</f>
        <v>2998091.25</v>
      </c>
      <c r="AE65" s="33" t="n">
        <f aca="false">(1-'3. Assumptions'!$B$15)*SUMPRODUCT((('2. The tape'!$C$5:$C$13*'2. The tape'!$D$5:$D$13*(1-'2. The tape'!$J$5:$J$13)^($A65/4)*(1+$AD$5)^($A65/4)*((1-'3. Assumptions'!$B$13)/($AD$6)-'2. The tape'!$H$5:$H$13/12-'3. Assumptions'!$B$16)-'2. The tape'!$C$5:$C$13*'2. The tape'!$I$5:$I$13*(1+$AD$5)^($A65/4))&gt;0)*('2. The tape'!$C$5:$C$13*'2. The tape'!$D$5:$D$13*(1-'2. The tape'!$J$5:$J$13)^($A65/4)*(1+$AD$5)^($A65/4)*((1-'3. Assumptions'!$B$13)/($AD$6)-'2. The tape'!$H$5:$H$13/12-'3. Assumptions'!$B$16)-'2. The tape'!$C$5:$C$13*'2. The tape'!$I$5:$I$13*(1+$AD$5)^($A65/4)))</f>
        <v>42177951.1526524</v>
      </c>
      <c r="AF65" s="33" t="n">
        <f aca="false">'2. The tape'!$C$17*(1+MIN(MAX($AF$5,'3. Assumptions'!$B$11),'3. Assumptions'!$B$10))^INT(($A65-1)/4)/4*(1-'3. Assumptions'!$B$13)</f>
        <v>2998091.25</v>
      </c>
      <c r="AG65" s="33" t="n">
        <f aca="false">(1-'3. Assumptions'!$B$15)*SUMPRODUCT((('2. The tape'!$C$5:$C$13*'2. The tape'!$D$5:$D$13*(1-'2. The tape'!$J$5:$J$13)^($A65/4)*(1+$AF$5)^($A65/4)*((1-'3. Assumptions'!$B$13)/($AF$6)-'2. The tape'!$H$5:$H$13/12-'3. Assumptions'!$B$16)-'2. The tape'!$C$5:$C$13*'2. The tape'!$I$5:$I$13*(1+$AF$5)^($A65/4))&gt;0)*('2. The tape'!$C$5:$C$13*'2. The tape'!$D$5:$D$13*(1-'2. The tape'!$J$5:$J$13)^($A65/4)*(1+$AF$5)^($A65/4)*((1-'3. Assumptions'!$B$13)/($AF$6)-'2. The tape'!$H$5:$H$13/12-'3. Assumptions'!$B$16)-'2. The tape'!$C$5:$C$13*'2. The tape'!$I$5:$I$13*(1+$AF$5)^($A65/4)))</f>
        <v>42177951.1526524</v>
      </c>
      <c r="AH65" s="33" t="n">
        <f aca="false">'2. The tape'!$C$17*(1+MIN(MAX($AH$5,'3. Assumptions'!$B$11),'3. Assumptions'!$B$10))^INT(($A65-1)/4)/4*(1-'3. Assumptions'!$B$13)</f>
        <v>3892741.78168913</v>
      </c>
      <c r="AI65" s="33" t="n">
        <f aca="false">(1-'3. Assumptions'!$B$15)*SUMPRODUCT((('2. The tape'!$C$5:$C$13*'2. The tape'!$D$5:$D$13*(1-'2. The tape'!$J$5:$J$13)^($A65/4)*(1+$AH$5)^($A65/4)*((1-'3. Assumptions'!$B$13)/($AH$6)-'2. The tape'!$H$5:$H$13/12-'3. Assumptions'!$B$16)-'2. The tape'!$C$5:$C$13*'2. The tape'!$I$5:$I$13*(1+$AH$5)^($A65/4))&gt;0)*('2. The tape'!$C$5:$C$13*'2. The tape'!$D$5:$D$13*(1-'2. The tape'!$J$5:$J$13)^($A65/4)*(1+$AH$5)^($A65/4)*((1-'3. Assumptions'!$B$13)/($AH$6)-'2. The tape'!$H$5:$H$13/12-'3. Assumptions'!$B$16)-'2. The tape'!$C$5:$C$13*'2. The tape'!$I$5:$I$13*(1+$AH$5)^($A65/4)))</f>
        <v>153886968.240585</v>
      </c>
      <c r="AJ65" s="33" t="n">
        <f aca="false">'2. The tape'!$C$17*(1+MIN(MAX($AJ$5,'3. Assumptions'!$B$11),'3. Assumptions'!$B$10))^INT(($A65-1)/4)/4*(1-'3. Assumptions'!$B$13)</f>
        <v>3892741.78168913</v>
      </c>
      <c r="AK65" s="33" t="n">
        <f aca="false">(1-'3. Assumptions'!$B$15)*SUMPRODUCT((('2. The tape'!$C$5:$C$13*'2. The tape'!$D$5:$D$13*(1-'2. The tape'!$J$5:$J$13)^($A65/4)*(1+$AJ$5)^($A65/4)*((1-'3. Assumptions'!$B$13)/($AJ$6)-'2. The tape'!$H$5:$H$13/12-'3. Assumptions'!$B$16)-'2. The tape'!$C$5:$C$13*'2. The tape'!$I$5:$I$13*(1+$AJ$5)^($A65/4))&gt;0)*('2. The tape'!$C$5:$C$13*'2. The tape'!$D$5:$D$13*(1-'2. The tape'!$J$5:$J$13)^($A65/4)*(1+$AJ$5)^($A65/4)*((1-'3. Assumptions'!$B$13)/($AJ$6)-'2. The tape'!$H$5:$H$13/12-'3. Assumptions'!$B$16)-'2. The tape'!$C$5:$C$13*'2. The tape'!$I$5:$I$13*(1+$AJ$5)^($A65/4)))</f>
        <v>110888058.208627</v>
      </c>
      <c r="AL65" s="33" t="n">
        <f aca="false">'2. The tape'!$C$17*(1+MIN(MAX($AL$5,'3. Assumptions'!$B$11),'3. Assumptions'!$B$10))^INT(($A65-1)/4)/4*(1-'3. Assumptions'!$B$13)</f>
        <v>3892741.78168913</v>
      </c>
      <c r="AM65" s="33" t="n">
        <f aca="false">(1-'3. Assumptions'!$B$15)*SUMPRODUCT((('2. The tape'!$C$5:$C$13*'2. The tape'!$D$5:$D$13*(1-'2. The tape'!$J$5:$J$13)^($A65/4)*(1+$AL$5)^($A65/4)*((1-'3. Assumptions'!$B$13)/($AL$6)-'2. The tape'!$H$5:$H$13/12-'3. Assumptions'!$B$16)-'2. The tape'!$C$5:$C$13*'2. The tape'!$I$5:$I$13*(1+$AL$5)^($A65/4))&gt;0)*('2. The tape'!$C$5:$C$13*'2. The tape'!$D$5:$D$13*(1-'2. The tape'!$J$5:$J$13)^($A65/4)*(1+$AL$5)^($A65/4)*((1-'3. Assumptions'!$B$13)/($AL$6)-'2. The tape'!$H$5:$H$13/12-'3. Assumptions'!$B$16)-'2. The tape'!$C$5:$C$13*'2. The tape'!$I$5:$I$13*(1+$AL$5)^($A65/4)))</f>
        <v>127564903.819544</v>
      </c>
      <c r="AN65" s="33" t="n">
        <f aca="false">'2. The tape'!$C$17*(1+MIN(MAX($AN$5,'3. Assumptions'!$B$11),'3. Assumptions'!$B$10))^INT(($A65-1)/4)/4*(1-'3. Assumptions'!$B$13)</f>
        <v>3892741.78168913</v>
      </c>
      <c r="AO65" s="33" t="n">
        <f aca="false">(1-'3. Assumptions'!$B$15)*SUMPRODUCT((('2. The tape'!$C$5:$C$13*'2. The tape'!$D$5:$D$13*(1-'2. The tape'!$J$5:$J$13)^($A65/4)*(1+$AN$5)^($A65/4)*((1-'3. Assumptions'!$B$13)/($AN$6)-'2. The tape'!$H$5:$H$13/12-'3. Assumptions'!$B$16)-'2. The tape'!$C$5:$C$13*'2. The tape'!$I$5:$I$13*(1+$AN$5)^($A65/4))&gt;0)*('2. The tape'!$C$5:$C$13*'2. The tape'!$D$5:$D$13*(1-'2. The tape'!$J$5:$J$13)^($A65/4)*(1+$AN$5)^($A65/4)*((1-'3. Assumptions'!$B$13)/($AN$6)-'2. The tape'!$H$5:$H$13/12-'3. Assumptions'!$B$16)-'2. The tape'!$C$5:$C$13*'2. The tape'!$I$5:$I$13*(1+$AN$5)^($A65/4)))</f>
        <v>130687321.449816</v>
      </c>
      <c r="AP65" s="33" t="n">
        <f aca="false">'2. The tape'!$C$17*(1+MIN(MAX($AP$5,'3. Assumptions'!$B$11),'3. Assumptions'!$B$10))^INT(($A65-1)/4)/4*(1-'3. Assumptions'!$B$13)</f>
        <v>3892741.78168913</v>
      </c>
      <c r="AQ65" s="33" t="n">
        <f aca="false">(1-'3. Assumptions'!$B$15)*SUMPRODUCT((('2. The tape'!$C$5:$C$13*'2. The tape'!$D$5:$D$13*(1-'2. The tape'!$J$5:$J$13)^($A65/4)*(1+$AP$5)^($A65/4)*((1-'3. Assumptions'!$B$13)/($AP$6)-'2. The tape'!$H$5:$H$13/12-'3. Assumptions'!$B$16)-'2. The tape'!$C$5:$C$13*'2. The tape'!$I$5:$I$13*(1+$AP$5)^($A65/4))&gt;0)*('2. The tape'!$C$5:$C$13*'2. The tape'!$D$5:$D$13*(1-'2. The tape'!$J$5:$J$13)^($A65/4)*(1+$AP$5)^($A65/4)*((1-'3. Assumptions'!$B$13)/($AP$6)-'2. The tape'!$H$5:$H$13/12-'3. Assumptions'!$B$16)-'2. The tape'!$C$5:$C$13*'2. The tape'!$I$5:$I$13*(1+$AP$5)^($A65/4)))</f>
        <v>130301865.400678</v>
      </c>
      <c r="AR65" s="33" t="n">
        <f aca="false">'2. The tape'!$C$17*(1+MIN(MAX($AR$5,'3. Assumptions'!$B$11),'3. Assumptions'!$B$10))^INT(($A65-1)/4)/4*(1-'3. Assumptions'!$B$13)</f>
        <v>3892741.78168913</v>
      </c>
      <c r="AS65" s="33" t="n">
        <f aca="false">(1-'3. Assumptions'!$B$15)*SUMPRODUCT((('2. The tape'!$C$5:$C$13*'2. The tape'!$D$5:$D$13*(1-'2. The tape'!$J$5:$J$13)^($A65/4)*(1+$AR$5)^($A65/4)*((1-'3. Assumptions'!$B$13)/($AR$6)-'2. The tape'!$H$5:$H$13/12-'3. Assumptions'!$B$16)-'2. The tape'!$C$5:$C$13*'2. The tape'!$I$5:$I$13*(1+$AR$5)^($A65/4))&gt;0)*('2. The tape'!$C$5:$C$13*'2. The tape'!$D$5:$D$13*(1-'2. The tape'!$J$5:$J$13)^($A65/4)*(1+$AR$5)^($A65/4)*((1-'3. Assumptions'!$B$13)/($AR$6)-'2. The tape'!$H$5:$H$13/12-'3. Assumptions'!$B$16)-'2. The tape'!$C$5:$C$13*'2. The tape'!$I$5:$I$13*(1+$AR$5)^($A65/4)))</f>
        <v>130308332.801075</v>
      </c>
      <c r="AT65" s="33" t="n">
        <f aca="false">'2. The tape'!$C$17*(1+MIN(MAX($AT$5,'3. Assumptions'!$B$11),'3. Assumptions'!$B$10))^INT(($A65-1)/4)/4*(1-'3. Assumptions'!$B$13)</f>
        <v>3892741.78168913</v>
      </c>
      <c r="AU65" s="33" t="n">
        <f aca="false">(1-'3. Assumptions'!$B$15)*SUMPRODUCT((('2. The tape'!$C$5:$C$13*'2. The tape'!$D$5:$D$13*(1-'2. The tape'!$J$5:$J$13)^($A65/4)*(1+$AT$5)^($A65/4)*((1-'3. Assumptions'!$B$13)/($AT$6)-'2. The tape'!$H$5:$H$13/12-'3. Assumptions'!$B$16)-'2. The tape'!$C$5:$C$13*'2. The tape'!$I$5:$I$13*(1+$AT$5)^($A65/4))&gt;0)*('2. The tape'!$C$5:$C$13*'2. The tape'!$D$5:$D$13*(1-'2. The tape'!$J$5:$J$13)^($A65/4)*(1+$AT$5)^($A65/4)*((1-'3. Assumptions'!$B$13)/($AT$6)-'2. The tape'!$H$5:$H$13/12-'3. Assumptions'!$B$16)-'2. The tape'!$C$5:$C$13*'2. The tape'!$I$5:$I$13*(1+$AT$5)^($A65/4)))</f>
        <v>130308347.862023</v>
      </c>
      <c r="AV65" s="33" t="n">
        <f aca="false">'2. The tape'!$C$17*(1+MIN(MAX($AV$5,'3. Assumptions'!$B$11),'3. Assumptions'!$B$10))^INT(($A65-1)/4)/4*(1-'3. Assumptions'!$B$13)</f>
        <v>3892741.78168913</v>
      </c>
      <c r="AW65" s="33" t="n">
        <f aca="false">(1-'3. Assumptions'!$B$15)*SUMPRODUCT((('2. The tape'!$C$5:$C$13*'2. The tape'!$D$5:$D$13*(1-'2. The tape'!$J$5:$J$13)^($A65/4)*(1+$AV$5)^($A65/4)*((1-'3. Assumptions'!$B$13)/($AV$6)-'2. The tape'!$H$5:$H$13/12-'3. Assumptions'!$B$16)-'2. The tape'!$C$5:$C$13*'2. The tape'!$I$5:$I$13*(1+$AV$5)^($A65/4))&gt;0)*('2. The tape'!$C$5:$C$13*'2. The tape'!$D$5:$D$13*(1-'2. The tape'!$J$5:$J$13)^($A65/4)*(1+$AV$5)^($A65/4)*((1-'3. Assumptions'!$B$13)/($AV$6)-'2. The tape'!$H$5:$H$13/12-'3. Assumptions'!$B$16)-'2. The tape'!$C$5:$C$13*'2. The tape'!$I$5:$I$13*(1+$AV$5)^($A65/4)))</f>
        <v>130308347.861424</v>
      </c>
      <c r="AX65" s="33" t="n">
        <f aca="false">'2. The tape'!$C$17*(1+MIN(MAX($AX$5,'3. Assumptions'!$B$11),'3. Assumptions'!$B$10))^INT(($A65-1)/4)/4*(1-'3. Assumptions'!$B$13)</f>
        <v>3892741.78168913</v>
      </c>
      <c r="AY65" s="33" t="n">
        <f aca="false">(1-'3. Assumptions'!$B$15)*SUMPRODUCT((('2. The tape'!$C$5:$C$13*'2. The tape'!$D$5:$D$13*(1-'2. The tape'!$J$5:$J$13)^($A65/4)*(1+$AX$5)^($A65/4)*((1-'3. Assumptions'!$B$13)/($AX$6)-'2. The tape'!$H$5:$H$13/12-'3. Assumptions'!$B$16)-'2. The tape'!$C$5:$C$13*'2. The tape'!$I$5:$I$13*(1+$AX$5)^($A65/4))&gt;0)*('2. The tape'!$C$5:$C$13*'2. The tape'!$D$5:$D$13*(1-'2. The tape'!$J$5:$J$13)^($A65/4)*(1+$AX$5)^($A65/4)*((1-'3. Assumptions'!$B$13)/($AX$6)-'2. The tape'!$H$5:$H$13/12-'3. Assumptions'!$B$16)-'2. The tape'!$C$5:$C$13*'2. The tape'!$I$5:$I$13*(1+$AX$5)^($A65/4)))</f>
        <v>130308347.861424</v>
      </c>
      <c r="AZ65" s="33" t="n">
        <f aca="false">'2. The tape'!$C$17*(1+MIN(MAX($AZ$5,'3. Assumptions'!$B$11),'3. Assumptions'!$B$10))^INT(($A65-1)/4)/4*(1-'3. Assumptions'!$B$13)</f>
        <v>3892741.78168913</v>
      </c>
      <c r="BA65" s="33" t="n">
        <f aca="false">(1-'3. Assumptions'!$B$15)*SUMPRODUCT((('2. The tape'!$C$5:$C$13*'2. The tape'!$D$5:$D$13*(1-'2. The tape'!$J$5:$J$13)^($A65/4)*(1+$AZ$5)^($A65/4)*((1-'3. Assumptions'!$B$13)/($AZ$6)-'2. The tape'!$H$5:$H$13/12-'3. Assumptions'!$B$16)-'2. The tape'!$C$5:$C$13*'2. The tape'!$I$5:$I$13*(1+$AZ$5)^($A65/4))&gt;0)*('2. The tape'!$C$5:$C$13*'2. The tape'!$D$5:$D$13*(1-'2. The tape'!$J$5:$J$13)^($A65/4)*(1+$AZ$5)^($A65/4)*((1-'3. Assumptions'!$B$13)/($AZ$6)-'2. The tape'!$H$5:$H$13/12-'3. Assumptions'!$B$16)-'2. The tape'!$C$5:$C$13*'2. The tape'!$I$5:$I$13*(1+$AZ$5)^($A65/4)))</f>
        <v>130308347.861424</v>
      </c>
    </row>
    <row r="66" customFormat="false" ht="15" hidden="false" customHeight="false" outlineLevel="0" collapsed="false">
      <c r="A66" s="20" t="n">
        <v>51</v>
      </c>
      <c r="B66" s="33" t="n">
        <f aca="false">'2. The tape'!$C$17*(1+MIN(MAX($B$5,'3. Assumptions'!$B$11),'3. Assumptions'!$B$10))^INT(($A66-1)/4)/4*(1-'3. Assumptions'!$B$13)</f>
        <v>3892741.78168913</v>
      </c>
      <c r="C66" s="33" t="n">
        <f aca="false">(1-'3. Assumptions'!$B$15)*SUMPRODUCT((('2. The tape'!$C$5:$C$13*'2. The tape'!$D$5:$D$13*(1-'2. The tape'!$J$5:$J$13)^($A66/4)*(1+$B$5)^($A66/4)*((1-'3. Assumptions'!$B$13)/($B$6)-'2. The tape'!$H$5:$H$13/12-'3. Assumptions'!$B$16)-'2. The tape'!$C$5:$C$13*'2. The tape'!$I$5:$I$13*(1+$B$5)^($A66/4))&gt;0)*('2. The tape'!$C$5:$C$13*'2. The tape'!$D$5:$D$13*(1-'2. The tape'!$J$5:$J$13)^($A66/4)*(1+$B$5)^($A66/4)*((1-'3. Assumptions'!$B$13)/($B$6)-'2. The tape'!$H$5:$H$13/12-'3. Assumptions'!$B$16)-'2. The tape'!$C$5:$C$13*'2. The tape'!$I$5:$I$13*(1+$B$5)^($A66/4)))</f>
        <v>77062028.2799005</v>
      </c>
      <c r="D66" s="33" t="n">
        <f aca="false">'2. The tape'!$C$17*(1+MIN(MAX($D$5,'3. Assumptions'!$B$11),'3. Assumptions'!$B$10))^INT(($A66-1)/4)/4*(1-'3. Assumptions'!$B$13)</f>
        <v>4274561.23944577</v>
      </c>
      <c r="E66" s="33" t="n">
        <f aca="false">(1-'3. Assumptions'!$B$15)*SUMPRODUCT((('2. The tape'!$C$5:$C$13*'2. The tape'!$D$5:$D$13*(1-'2. The tape'!$J$5:$J$13)^($A66/4)*(1+$D$5)^($A66/4)*((1-'3. Assumptions'!$B$13)/($D$6)-'2. The tape'!$H$5:$H$13/12-'3. Assumptions'!$B$16)-'2. The tape'!$C$5:$C$13*'2. The tape'!$I$5:$I$13*(1+$D$5)^($A66/4))&gt;0)*('2. The tape'!$C$5:$C$13*'2. The tape'!$D$5:$D$13*(1-'2. The tape'!$J$5:$J$13)^($A66/4)*(1+$D$5)^($A66/4)*((1-'3. Assumptions'!$B$13)/($D$6)-'2. The tape'!$H$5:$H$13/12-'3. Assumptions'!$B$16)-'2. The tape'!$C$5:$C$13*'2. The tape'!$I$5:$I$13*(1+$D$5)^($A66/4)))</f>
        <v>90538016.1149792</v>
      </c>
      <c r="F66" s="33" t="n">
        <f aca="false">'2. The tape'!$C$17*(1+MIN(MAX($F$5,'3. Assumptions'!$B$11),'3. Assumptions'!$B$10))^INT(($A66-1)/4)/4*(1-'3. Assumptions'!$B$13)</f>
        <v>3378324.26311965</v>
      </c>
      <c r="G66" s="33" t="n">
        <f aca="false">(1-'3. Assumptions'!$B$15)*SUMPRODUCT((('2. The tape'!$C$5:$C$13*'2. The tape'!$D$5:$D$13*(1-'2. The tape'!$J$5:$J$13)^($A66/4)*(1+$F$5)^($A66/4)*((1-'3. Assumptions'!$B$13)/($F$6)-'2. The tape'!$H$5:$H$13/12-'3. Assumptions'!$B$16)-'2. The tape'!$C$5:$C$13*'2. The tape'!$I$5:$I$13*(1+$F$5)^($A66/4))&gt;0)*('2. The tape'!$C$5:$C$13*'2. The tape'!$D$5:$D$13*(1-'2. The tape'!$J$5:$J$13)^($A66/4)*(1+$F$5)^($A66/4)*((1-'3. Assumptions'!$B$13)/($F$6)-'2. The tape'!$H$5:$H$13/12-'3. Assumptions'!$B$16)-'2. The tape'!$C$5:$C$13*'2. The tape'!$I$5:$I$13*(1+$F$5)^($A66/4)))</f>
        <v>66288627.9139255</v>
      </c>
      <c r="H66" s="33" t="n">
        <f aca="false">'2. The tape'!$C$17*(1+MIN(MAX($H$5,'3. Assumptions'!$B$11),'3. Assumptions'!$B$10))^INT(($A66-1)/4)/4*(1-'3. Assumptions'!$B$13)</f>
        <v>4274561.23944577</v>
      </c>
      <c r="I66" s="33" t="n">
        <f aca="false">(1-'3. Assumptions'!$B$15)*SUMPRODUCT((('2. The tape'!$C$5:$C$13*'2. The tape'!$D$5:$D$13*(1-'2. The tape'!$J$5:$J$13)^($A66/4)*(1+$H$5)^($A66/4)*((1-'3. Assumptions'!$B$13)/($H$6)-'2. The tape'!$H$5:$H$13/12-'3. Assumptions'!$B$16)-'2. The tape'!$C$5:$C$13*'2. The tape'!$I$5:$I$13*(1+$H$5)^($A66/4))&gt;0)*('2. The tape'!$C$5:$C$13*'2. The tape'!$D$5:$D$13*(1-'2. The tape'!$J$5:$J$13)^($A66/4)*(1+$H$5)^($A66/4)*((1-'3. Assumptions'!$B$13)/($H$6)-'2. The tape'!$H$5:$H$13/12-'3. Assumptions'!$B$16)-'2. The tape'!$C$5:$C$13*'2. The tape'!$I$5:$I$13*(1+$H$5)^($A66/4)))</f>
        <v>90538016.1149792</v>
      </c>
      <c r="J66" s="33" t="n">
        <f aca="false">'2. The tape'!$C$17*(1+MIN(MAX($J$5,'3. Assumptions'!$B$11),'3. Assumptions'!$B$10))^INT(($A66-1)/4)/4*(1-'3. Assumptions'!$B$13)</f>
        <v>3892741.78168913</v>
      </c>
      <c r="K66" s="33" t="n">
        <f aca="false">(1-'3. Assumptions'!$B$15)*SUMPRODUCT((('2. The tape'!$C$5:$C$13*'2. The tape'!$D$5:$D$13*(1-'2. The tape'!$J$5:$J$13)^($A66/4)*(1+$J$5)^($A66/4)*((1-'3. Assumptions'!$B$13)/($J$6)-'2. The tape'!$H$5:$H$13/12-'3. Assumptions'!$B$16)-'2. The tape'!$C$5:$C$13*'2. The tape'!$I$5:$I$13*(1+$J$5)^($A66/4))&gt;0)*('2. The tape'!$C$5:$C$13*'2. The tape'!$D$5:$D$13*(1-'2. The tape'!$J$5:$J$13)^($A66/4)*(1+$J$5)^($A66/4)*((1-'3. Assumptions'!$B$13)/($J$6)-'2. The tape'!$H$5:$H$13/12-'3. Assumptions'!$B$16)-'2. The tape'!$C$5:$C$13*'2. The tape'!$I$5:$I$13*(1+$J$5)^($A66/4)))</f>
        <v>63010605.3222789</v>
      </c>
      <c r="L66" s="33" t="n">
        <f aca="false">'2. The tape'!$C$17*(1+MIN(MAX($L$5,'3. Assumptions'!$B$11),'3. Assumptions'!$B$10))^INT(($A66-1)/4)/4*(1-'3. Assumptions'!$B$13)</f>
        <v>4274561.23944577</v>
      </c>
      <c r="M66" s="33" t="n">
        <f aca="false">(1-'3. Assumptions'!$B$15)*SUMPRODUCT((('2. The tape'!$C$5:$C$13*'2. The tape'!$D$5:$D$13*(1-'2. The tape'!$J$5:$J$13)^($A66/4)*(1+$L$5)^($A66/4)*((1-'3. Assumptions'!$B$13)/($L$6)-'2. The tape'!$H$5:$H$13/12-'3. Assumptions'!$B$16)-'2. The tape'!$C$5:$C$13*'2. The tape'!$I$5:$I$13*(1+$L$5)^($A66/4))&gt;0)*('2. The tape'!$C$5:$C$13*'2. The tape'!$D$5:$D$13*(1-'2. The tape'!$J$5:$J$13)^($A66/4)*(1+$L$5)^($A66/4)*((1-'3. Assumptions'!$B$13)/($L$6)-'2. The tape'!$H$5:$H$13/12-'3. Assumptions'!$B$16)-'2. The tape'!$C$5:$C$13*'2. The tape'!$I$5:$I$13*(1+$L$5)^($A66/4)))</f>
        <v>1656224695.42781</v>
      </c>
      <c r="N66" s="33" t="n">
        <f aca="false">'2. The tape'!$C$17*(1+MIN(MAX($N$5,'3. Assumptions'!$B$11),'3. Assumptions'!$B$10))^INT(($A66-1)/4)/4*(1-'3. Assumptions'!$B$13)</f>
        <v>2998091.25</v>
      </c>
      <c r="O66" s="33" t="n">
        <f aca="false">(1-'3. Assumptions'!$B$15)*SUMPRODUCT((('2. The tape'!$C$5:$C$13*'2. The tape'!$D$5:$D$13*(1-'2. The tape'!$J$5:$J$13)^($A66/4)*(1+$N$5)^($A66/4)*((1-'3. Assumptions'!$B$13)/($N$6)-'2. The tape'!$H$5:$H$13/12-'3. Assumptions'!$B$16)-'2. The tape'!$C$5:$C$13*'2. The tape'!$I$5:$I$13*(1+$N$5)^($A66/4))&gt;0)*('2. The tape'!$C$5:$C$13*'2. The tape'!$D$5:$D$13*(1-'2. The tape'!$J$5:$J$13)^($A66/4)*(1+$N$5)^($A66/4)*((1-'3. Assumptions'!$B$13)/($N$6)-'2. The tape'!$H$5:$H$13/12-'3. Assumptions'!$B$16)-'2. The tape'!$C$5:$C$13*'2. The tape'!$I$5:$I$13*(1+$N$5)^($A66/4)))</f>
        <v>39598717.9998412</v>
      </c>
      <c r="P66" s="33" t="n">
        <f aca="false">'2. The tape'!$C$17*(1+MIN(MAX($P$5,'3. Assumptions'!$B$11),'3. Assumptions'!$B$10))^INT(($A66-1)/4)/4*(1-'3. Assumptions'!$B$13)</f>
        <v>2998091.25</v>
      </c>
      <c r="Q66" s="33" t="n">
        <f aca="false">(1-'3. Assumptions'!$B$15)*SUMPRODUCT((('2. The tape'!$C$5:$C$13*'2. The tape'!$D$5:$D$13*(1-'2. The tape'!$J$5:$J$13)^($A66/4)*(1+$P$5)^($A66/4)*((1-'3. Assumptions'!$B$13)/($P$6)-'2. The tape'!$H$5:$H$13/12-'3. Assumptions'!$B$16)-'2. The tape'!$C$5:$C$13*'2. The tape'!$I$5:$I$13*(1+$P$5)^($A66/4))&gt;0)*('2. The tape'!$C$5:$C$13*'2. The tape'!$D$5:$D$13*(1-'2. The tape'!$J$5:$J$13)^($A66/4)*(1+$P$5)^($A66/4)*((1-'3. Assumptions'!$B$13)/($P$6)-'2. The tape'!$H$5:$H$13/12-'3. Assumptions'!$B$16)-'2. The tape'!$C$5:$C$13*'2. The tape'!$I$5:$I$13*(1+$P$5)^($A66/4)))</f>
        <v>45130898.4248392</v>
      </c>
      <c r="R66" s="33" t="n">
        <f aca="false">'2. The tape'!$C$17*(1+MIN(MAX($R$5,'3. Assumptions'!$B$11),'3. Assumptions'!$B$10))^INT(($A66-1)/4)/4*(1-'3. Assumptions'!$B$13)</f>
        <v>2998091.25</v>
      </c>
      <c r="S66" s="33" t="n">
        <f aca="false">(1-'3. Assumptions'!$B$15)*SUMPRODUCT((('2. The tape'!$C$5:$C$13*'2. The tape'!$D$5:$D$13*(1-'2. The tape'!$J$5:$J$13)^($A66/4)*(1+$R$5)^($A66/4)*((1-'3. Assumptions'!$B$13)/($R$6)-'2. The tape'!$H$5:$H$13/12-'3. Assumptions'!$B$16)-'2. The tape'!$C$5:$C$13*'2. The tape'!$I$5:$I$13*(1+$R$5)^($A66/4))&gt;0)*('2. The tape'!$C$5:$C$13*'2. The tape'!$D$5:$D$13*(1-'2. The tape'!$J$5:$J$13)^($A66/4)*(1+$R$5)^($A66/4)*((1-'3. Assumptions'!$B$13)/($R$6)-'2. The tape'!$H$5:$H$13/12-'3. Assumptions'!$B$16)-'2. The tape'!$C$5:$C$13*'2. The tape'!$I$5:$I$13*(1+$R$5)^($A66/4)))</f>
        <v>41702685.900236</v>
      </c>
      <c r="T66" s="33" t="n">
        <f aca="false">'2. The tape'!$C$17*(1+MIN(MAX($T$5,'3. Assumptions'!$B$11),'3. Assumptions'!$B$10))^INT(($A66-1)/4)/4*(1-'3. Assumptions'!$B$13)</f>
        <v>2998091.25</v>
      </c>
      <c r="U66" s="33" t="n">
        <f aca="false">(1-'3. Assumptions'!$B$15)*SUMPRODUCT((('2. The tape'!$C$5:$C$13*'2. The tape'!$D$5:$D$13*(1-'2. The tape'!$J$5:$J$13)^($A66/4)*(1+$T$5)^($A66/4)*((1-'3. Assumptions'!$B$13)/($T$6)-'2. The tape'!$H$5:$H$13/12-'3. Assumptions'!$B$16)-'2. The tape'!$C$5:$C$13*'2. The tape'!$I$5:$I$13*(1+$T$5)^($A66/4))&gt;0)*('2. The tape'!$C$5:$C$13*'2. The tape'!$D$5:$D$13*(1-'2. The tape'!$J$5:$J$13)^($A66/4)*(1+$T$5)^($A66/4)*((1-'3. Assumptions'!$B$13)/($T$6)-'2. The tape'!$H$5:$H$13/12-'3. Assumptions'!$B$16)-'2. The tape'!$C$5:$C$13*'2. The tape'!$I$5:$I$13*(1+$T$5)^($A66/4)))</f>
        <v>41613135.088464</v>
      </c>
      <c r="V66" s="33" t="n">
        <f aca="false">'2. The tape'!$C$17*(1+MIN(MAX($V$5,'3. Assumptions'!$B$11),'3. Assumptions'!$B$10))^INT(($A66-1)/4)/4*(1-'3. Assumptions'!$B$13)</f>
        <v>2998091.25</v>
      </c>
      <c r="W66" s="33" t="n">
        <f aca="false">(1-'3. Assumptions'!$B$15)*SUMPRODUCT((('2. The tape'!$C$5:$C$13*'2. The tape'!$D$5:$D$13*(1-'2. The tape'!$J$5:$J$13)^($A66/4)*(1+$V$5)^($A66/4)*((1-'3. Assumptions'!$B$13)/($V$6)-'2. The tape'!$H$5:$H$13/12-'3. Assumptions'!$B$16)-'2. The tape'!$C$5:$C$13*'2. The tape'!$I$5:$I$13*(1+$V$5)^($A66/4))&gt;0)*('2. The tape'!$C$5:$C$13*'2. The tape'!$D$5:$D$13*(1-'2. The tape'!$J$5:$J$13)^($A66/4)*(1+$V$5)^($A66/4)*((1-'3. Assumptions'!$B$13)/($V$6)-'2. The tape'!$H$5:$H$13/12-'3. Assumptions'!$B$16)-'2. The tape'!$C$5:$C$13*'2. The tape'!$I$5:$I$13*(1+$V$5)^($A66/4)))</f>
        <v>41616729.7341891</v>
      </c>
      <c r="X66" s="33" t="n">
        <f aca="false">'2. The tape'!$C$17*(1+MIN(MAX($X$5,'3. Assumptions'!$B$11),'3. Assumptions'!$B$10))^INT(($A66-1)/4)/4*(1-'3. Assumptions'!$B$13)</f>
        <v>2998091.25</v>
      </c>
      <c r="Y66" s="33" t="n">
        <f aca="false">(1-'3. Assumptions'!$B$15)*SUMPRODUCT((('2. The tape'!$C$5:$C$13*'2. The tape'!$D$5:$D$13*(1-'2. The tape'!$J$5:$J$13)^($A66/4)*(1+$X$5)^($A66/4)*((1-'3. Assumptions'!$B$13)/($X$6)-'2. The tape'!$H$5:$H$13/12-'3. Assumptions'!$B$16)-'2. The tape'!$C$5:$C$13*'2. The tape'!$I$5:$I$13*(1+$X$5)^($A66/4))&gt;0)*('2. The tape'!$C$5:$C$13*'2. The tape'!$D$5:$D$13*(1-'2. The tape'!$J$5:$J$13)^($A66/4)*(1+$X$5)^($A66/4)*((1-'3. Assumptions'!$B$13)/($X$6)-'2. The tape'!$H$5:$H$13/12-'3. Assumptions'!$B$16)-'2. The tape'!$C$5:$C$13*'2. The tape'!$I$5:$I$13*(1+$X$5)^($A66/4)))</f>
        <v>41616725.9540453</v>
      </c>
      <c r="Z66" s="33" t="n">
        <f aca="false">'2. The tape'!$C$17*(1+MIN(MAX($Z$5,'3. Assumptions'!$B$11),'3. Assumptions'!$B$10))^INT(($A66-1)/4)/4*(1-'3. Assumptions'!$B$13)</f>
        <v>2998091.25</v>
      </c>
      <c r="AA66" s="33" t="n">
        <f aca="false">(1-'3. Assumptions'!$B$15)*SUMPRODUCT((('2. The tape'!$C$5:$C$13*'2. The tape'!$D$5:$D$13*(1-'2. The tape'!$J$5:$J$13)^($A66/4)*(1+$Z$5)^($A66/4)*((1-'3. Assumptions'!$B$13)/($Z$6)-'2. The tape'!$H$5:$H$13/12-'3. Assumptions'!$B$16)-'2. The tape'!$C$5:$C$13*'2. The tape'!$I$5:$I$13*(1+$Z$5)^($A66/4))&gt;0)*('2. The tape'!$C$5:$C$13*'2. The tape'!$D$5:$D$13*(1-'2. The tape'!$J$5:$J$13)^($A66/4)*(1+$Z$5)^($A66/4)*((1-'3. Assumptions'!$B$13)/($Z$6)-'2. The tape'!$H$5:$H$13/12-'3. Assumptions'!$B$16)-'2. The tape'!$C$5:$C$13*'2. The tape'!$I$5:$I$13*(1+$Z$5)^($A66/4)))</f>
        <v>41616725.9538789</v>
      </c>
      <c r="AB66" s="33" t="n">
        <f aca="false">'2. The tape'!$C$17*(1+MIN(MAX($AB$5,'3. Assumptions'!$B$11),'3. Assumptions'!$B$10))^INT(($A66-1)/4)/4*(1-'3. Assumptions'!$B$13)</f>
        <v>2998091.25</v>
      </c>
      <c r="AC66" s="33" t="n">
        <f aca="false">(1-'3. Assumptions'!$B$15)*SUMPRODUCT((('2. The tape'!$C$5:$C$13*'2. The tape'!$D$5:$D$13*(1-'2. The tape'!$J$5:$J$13)^($A66/4)*(1+$AB$5)^($A66/4)*((1-'3. Assumptions'!$B$13)/($AB$6)-'2. The tape'!$H$5:$H$13/12-'3. Assumptions'!$B$16)-'2. The tape'!$C$5:$C$13*'2. The tape'!$I$5:$I$13*(1+$AB$5)^($A66/4))&gt;0)*('2. The tape'!$C$5:$C$13*'2. The tape'!$D$5:$D$13*(1-'2. The tape'!$J$5:$J$13)^($A66/4)*(1+$AB$5)^($A66/4)*((1-'3. Assumptions'!$B$13)/($AB$6)-'2. The tape'!$H$5:$H$13/12-'3. Assumptions'!$B$16)-'2. The tape'!$C$5:$C$13*'2. The tape'!$I$5:$I$13*(1+$AB$5)^($A66/4)))</f>
        <v>41616725.9538789</v>
      </c>
      <c r="AD66" s="33" t="n">
        <f aca="false">'2. The tape'!$C$17*(1+MIN(MAX($AD$5,'3. Assumptions'!$B$11),'3. Assumptions'!$B$10))^INT(($A66-1)/4)/4*(1-'3. Assumptions'!$B$13)</f>
        <v>2998091.25</v>
      </c>
      <c r="AE66" s="33" t="n">
        <f aca="false">(1-'3. Assumptions'!$B$15)*SUMPRODUCT((('2. The tape'!$C$5:$C$13*'2. The tape'!$D$5:$D$13*(1-'2. The tape'!$J$5:$J$13)^($A66/4)*(1+$AD$5)^($A66/4)*((1-'3. Assumptions'!$B$13)/($AD$6)-'2. The tape'!$H$5:$H$13/12-'3. Assumptions'!$B$16)-'2. The tape'!$C$5:$C$13*'2. The tape'!$I$5:$I$13*(1+$AD$5)^($A66/4))&gt;0)*('2. The tape'!$C$5:$C$13*'2. The tape'!$D$5:$D$13*(1-'2. The tape'!$J$5:$J$13)^($A66/4)*(1+$AD$5)^($A66/4)*((1-'3. Assumptions'!$B$13)/($AD$6)-'2. The tape'!$H$5:$H$13/12-'3. Assumptions'!$B$16)-'2. The tape'!$C$5:$C$13*'2. The tape'!$I$5:$I$13*(1+$AD$5)^($A66/4)))</f>
        <v>41616725.9538789</v>
      </c>
      <c r="AF66" s="33" t="n">
        <f aca="false">'2. The tape'!$C$17*(1+MIN(MAX($AF$5,'3. Assumptions'!$B$11),'3. Assumptions'!$B$10))^INT(($A66-1)/4)/4*(1-'3. Assumptions'!$B$13)</f>
        <v>2998091.25</v>
      </c>
      <c r="AG66" s="33" t="n">
        <f aca="false">(1-'3. Assumptions'!$B$15)*SUMPRODUCT((('2. The tape'!$C$5:$C$13*'2. The tape'!$D$5:$D$13*(1-'2. The tape'!$J$5:$J$13)^($A66/4)*(1+$AF$5)^($A66/4)*((1-'3. Assumptions'!$B$13)/($AF$6)-'2. The tape'!$H$5:$H$13/12-'3. Assumptions'!$B$16)-'2. The tape'!$C$5:$C$13*'2. The tape'!$I$5:$I$13*(1+$AF$5)^($A66/4))&gt;0)*('2. The tape'!$C$5:$C$13*'2. The tape'!$D$5:$D$13*(1-'2. The tape'!$J$5:$J$13)^($A66/4)*(1+$AF$5)^($A66/4)*((1-'3. Assumptions'!$B$13)/($AF$6)-'2. The tape'!$H$5:$H$13/12-'3. Assumptions'!$B$16)-'2. The tape'!$C$5:$C$13*'2. The tape'!$I$5:$I$13*(1+$AF$5)^($A66/4)))</f>
        <v>41616725.9538789</v>
      </c>
      <c r="AH66" s="33" t="n">
        <f aca="false">'2. The tape'!$C$17*(1+MIN(MAX($AH$5,'3. Assumptions'!$B$11),'3. Assumptions'!$B$10))^INT(($A66-1)/4)/4*(1-'3. Assumptions'!$B$13)</f>
        <v>3892741.78168913</v>
      </c>
      <c r="AI66" s="33" t="n">
        <f aca="false">(1-'3. Assumptions'!$B$15)*SUMPRODUCT((('2. The tape'!$C$5:$C$13*'2. The tape'!$D$5:$D$13*(1-'2. The tape'!$J$5:$J$13)^($A66/4)*(1+$AH$5)^($A66/4)*((1-'3. Assumptions'!$B$13)/($AH$6)-'2. The tape'!$H$5:$H$13/12-'3. Assumptions'!$B$16)-'2. The tape'!$C$5:$C$13*'2. The tape'!$I$5:$I$13*(1+$AH$5)^($A66/4))&gt;0)*('2. The tape'!$C$5:$C$13*'2. The tape'!$D$5:$D$13*(1-'2. The tape'!$J$5:$J$13)^($A66/4)*(1+$AH$5)^($A66/4)*((1-'3. Assumptions'!$B$13)/($AH$6)-'2. The tape'!$H$5:$H$13/12-'3. Assumptions'!$B$16)-'2. The tape'!$C$5:$C$13*'2. The tape'!$I$5:$I$13*(1+$AH$5)^($A66/4)))</f>
        <v>153782797.628515</v>
      </c>
      <c r="AJ66" s="33" t="n">
        <f aca="false">'2. The tape'!$C$17*(1+MIN(MAX($AJ$5,'3. Assumptions'!$B$11),'3. Assumptions'!$B$10))^INT(($A66-1)/4)/4*(1-'3. Assumptions'!$B$13)</f>
        <v>3892741.78168913</v>
      </c>
      <c r="AK66" s="33" t="n">
        <f aca="false">(1-'3. Assumptions'!$B$15)*SUMPRODUCT((('2. The tape'!$C$5:$C$13*'2. The tape'!$D$5:$D$13*(1-'2. The tape'!$J$5:$J$13)^($A66/4)*(1+$AJ$5)^($A66/4)*((1-'3. Assumptions'!$B$13)/($AJ$6)-'2. The tape'!$H$5:$H$13/12-'3. Assumptions'!$B$16)-'2. The tape'!$C$5:$C$13*'2. The tape'!$I$5:$I$13*(1+$AJ$5)^($A66/4))&gt;0)*('2. The tape'!$C$5:$C$13*'2. The tape'!$D$5:$D$13*(1-'2. The tape'!$J$5:$J$13)^($A66/4)*(1+$AJ$5)^($A66/4)*((1-'3. Assumptions'!$B$13)/($AJ$6)-'2. The tape'!$H$5:$H$13/12-'3. Assumptions'!$B$16)-'2. The tape'!$C$5:$C$13*'2. The tape'!$I$5:$I$13*(1+$AJ$5)^($A66/4)))</f>
        <v>110785443.378193</v>
      </c>
      <c r="AL66" s="33" t="n">
        <f aca="false">'2. The tape'!$C$17*(1+MIN(MAX($AL$5,'3. Assumptions'!$B$11),'3. Assumptions'!$B$10))^INT(($A66-1)/4)/4*(1-'3. Assumptions'!$B$13)</f>
        <v>3892741.78168913</v>
      </c>
      <c r="AM66" s="33" t="n">
        <f aca="false">(1-'3. Assumptions'!$B$15)*SUMPRODUCT((('2. The tape'!$C$5:$C$13*'2. The tape'!$D$5:$D$13*(1-'2. The tape'!$J$5:$J$13)^($A66/4)*(1+$AL$5)^($A66/4)*((1-'3. Assumptions'!$B$13)/($AL$6)-'2. The tape'!$H$5:$H$13/12-'3. Assumptions'!$B$16)-'2. The tape'!$C$5:$C$13*'2. The tape'!$I$5:$I$13*(1+$AL$5)^($A66/4))&gt;0)*('2. The tape'!$C$5:$C$13*'2. The tape'!$D$5:$D$13*(1-'2. The tape'!$J$5:$J$13)^($A66/4)*(1+$AL$5)^($A66/4)*((1-'3. Assumptions'!$B$13)/($AL$6)-'2. The tape'!$H$5:$H$13/12-'3. Assumptions'!$B$16)-'2. The tape'!$C$5:$C$13*'2. The tape'!$I$5:$I$13*(1+$AL$5)^($A66/4)))</f>
        <v>127461685.589392</v>
      </c>
      <c r="AN66" s="33" t="n">
        <f aca="false">'2. The tape'!$C$17*(1+MIN(MAX($AN$5,'3. Assumptions'!$B$11),'3. Assumptions'!$B$10))^INT(($A66-1)/4)/4*(1-'3. Assumptions'!$B$13)</f>
        <v>3892741.78168913</v>
      </c>
      <c r="AO66" s="33" t="n">
        <f aca="false">(1-'3. Assumptions'!$B$15)*SUMPRODUCT((('2. The tape'!$C$5:$C$13*'2. The tape'!$D$5:$D$13*(1-'2. The tape'!$J$5:$J$13)^($A66/4)*(1+$AN$5)^($A66/4)*((1-'3. Assumptions'!$B$13)/($AN$6)-'2. The tape'!$H$5:$H$13/12-'3. Assumptions'!$B$16)-'2. The tape'!$C$5:$C$13*'2. The tape'!$I$5:$I$13*(1+$AN$5)^($A66/4))&gt;0)*('2. The tape'!$C$5:$C$13*'2. The tape'!$D$5:$D$13*(1-'2. The tape'!$J$5:$J$13)^($A66/4)*(1+$AN$5)^($A66/4)*((1-'3. Assumptions'!$B$13)/($AN$6)-'2. The tape'!$H$5:$H$13/12-'3. Assumptions'!$B$16)-'2. The tape'!$C$5:$C$13*'2. The tape'!$I$5:$I$13*(1+$AN$5)^($A66/4)))</f>
        <v>130583990.244708</v>
      </c>
      <c r="AP66" s="33" t="n">
        <f aca="false">'2. The tape'!$C$17*(1+MIN(MAX($AP$5,'3. Assumptions'!$B$11),'3. Assumptions'!$B$10))^INT(($A66-1)/4)/4*(1-'3. Assumptions'!$B$13)</f>
        <v>3892741.78168913</v>
      </c>
      <c r="AQ66" s="33" t="n">
        <f aca="false">(1-'3. Assumptions'!$B$15)*SUMPRODUCT((('2. The tape'!$C$5:$C$13*'2. The tape'!$D$5:$D$13*(1-'2. The tape'!$J$5:$J$13)^($A66/4)*(1+$AP$5)^($A66/4)*((1-'3. Assumptions'!$B$13)/($AP$6)-'2. The tape'!$H$5:$H$13/12-'3. Assumptions'!$B$16)-'2. The tape'!$C$5:$C$13*'2. The tape'!$I$5:$I$13*(1+$AP$5)^($A66/4))&gt;0)*('2. The tape'!$C$5:$C$13*'2. The tape'!$D$5:$D$13*(1-'2. The tape'!$J$5:$J$13)^($A66/4)*(1+$AP$5)^($A66/4)*((1-'3. Assumptions'!$B$13)/($AP$6)-'2. The tape'!$H$5:$H$13/12-'3. Assumptions'!$B$16)-'2. The tape'!$C$5:$C$13*'2. The tape'!$I$5:$I$13*(1+$AP$5)^($A66/4)))</f>
        <v>130198548.142096</v>
      </c>
      <c r="AR66" s="33" t="n">
        <f aca="false">'2. The tape'!$C$17*(1+MIN(MAX($AR$5,'3. Assumptions'!$B$11),'3. Assumptions'!$B$10))^INT(($A66-1)/4)/4*(1-'3. Assumptions'!$B$13)</f>
        <v>3892741.78168913</v>
      </c>
      <c r="AS66" s="33" t="n">
        <f aca="false">(1-'3. Assumptions'!$B$15)*SUMPRODUCT((('2. The tape'!$C$5:$C$13*'2. The tape'!$D$5:$D$13*(1-'2. The tape'!$J$5:$J$13)^($A66/4)*(1+$AR$5)^($A66/4)*((1-'3. Assumptions'!$B$13)/($AR$6)-'2. The tape'!$H$5:$H$13/12-'3. Assumptions'!$B$16)-'2. The tape'!$C$5:$C$13*'2. The tape'!$I$5:$I$13*(1+$AR$5)^($A66/4))&gt;0)*('2. The tape'!$C$5:$C$13*'2. The tape'!$D$5:$D$13*(1-'2. The tape'!$J$5:$J$13)^($A66/4)*(1+$AR$5)^($A66/4)*((1-'3. Assumptions'!$B$13)/($AR$6)-'2. The tape'!$H$5:$H$13/12-'3. Assumptions'!$B$16)-'2. The tape'!$C$5:$C$13*'2. The tape'!$I$5:$I$13*(1+$AR$5)^($A66/4)))</f>
        <v>130205015.308491</v>
      </c>
      <c r="AT66" s="33" t="n">
        <f aca="false">'2. The tape'!$C$17*(1+MIN(MAX($AT$5,'3. Assumptions'!$B$11),'3. Assumptions'!$B$10))^INT(($A66-1)/4)/4*(1-'3. Assumptions'!$B$13)</f>
        <v>3892741.78168913</v>
      </c>
      <c r="AU66" s="33" t="n">
        <f aca="false">(1-'3. Assumptions'!$B$15)*SUMPRODUCT((('2. The tape'!$C$5:$C$13*'2. The tape'!$D$5:$D$13*(1-'2. The tape'!$J$5:$J$13)^($A66/4)*(1+$AT$5)^($A66/4)*((1-'3. Assumptions'!$B$13)/($AT$6)-'2. The tape'!$H$5:$H$13/12-'3. Assumptions'!$B$16)-'2. The tape'!$C$5:$C$13*'2. The tape'!$I$5:$I$13*(1+$AT$5)^($A66/4))&gt;0)*('2. The tape'!$C$5:$C$13*'2. The tape'!$D$5:$D$13*(1-'2. The tape'!$J$5:$J$13)^($A66/4)*(1+$AT$5)^($A66/4)*((1-'3. Assumptions'!$B$13)/($AT$6)-'2. The tape'!$H$5:$H$13/12-'3. Assumptions'!$B$16)-'2. The tape'!$C$5:$C$13*'2. The tape'!$I$5:$I$13*(1+$AT$5)^($A66/4)))</f>
        <v>130205030.368894</v>
      </c>
      <c r="AV66" s="33" t="n">
        <f aca="false">'2. The tape'!$C$17*(1+MIN(MAX($AV$5,'3. Assumptions'!$B$11),'3. Assumptions'!$B$10))^INT(($A66-1)/4)/4*(1-'3. Assumptions'!$B$13)</f>
        <v>3892741.78168913</v>
      </c>
      <c r="AW66" s="33" t="n">
        <f aca="false">(1-'3. Assumptions'!$B$15)*SUMPRODUCT((('2. The tape'!$C$5:$C$13*'2. The tape'!$D$5:$D$13*(1-'2. The tape'!$J$5:$J$13)^($A66/4)*(1+$AV$5)^($A66/4)*((1-'3. Assumptions'!$B$13)/($AV$6)-'2. The tape'!$H$5:$H$13/12-'3. Assumptions'!$B$16)-'2. The tape'!$C$5:$C$13*'2. The tape'!$I$5:$I$13*(1+$AV$5)^($A66/4))&gt;0)*('2. The tape'!$C$5:$C$13*'2. The tape'!$D$5:$D$13*(1-'2. The tape'!$J$5:$J$13)^($A66/4)*(1+$AV$5)^($A66/4)*((1-'3. Assumptions'!$B$13)/($AV$6)-'2. The tape'!$H$5:$H$13/12-'3. Assumptions'!$B$16)-'2. The tape'!$C$5:$C$13*'2. The tape'!$I$5:$I$13*(1+$AV$5)^($A66/4)))</f>
        <v>130205030.368294</v>
      </c>
      <c r="AX66" s="33" t="n">
        <f aca="false">'2. The tape'!$C$17*(1+MIN(MAX($AX$5,'3. Assumptions'!$B$11),'3. Assumptions'!$B$10))^INT(($A66-1)/4)/4*(1-'3. Assumptions'!$B$13)</f>
        <v>3892741.78168913</v>
      </c>
      <c r="AY66" s="33" t="n">
        <f aca="false">(1-'3. Assumptions'!$B$15)*SUMPRODUCT((('2. The tape'!$C$5:$C$13*'2. The tape'!$D$5:$D$13*(1-'2. The tape'!$J$5:$J$13)^($A66/4)*(1+$AX$5)^($A66/4)*((1-'3. Assumptions'!$B$13)/($AX$6)-'2. The tape'!$H$5:$H$13/12-'3. Assumptions'!$B$16)-'2. The tape'!$C$5:$C$13*'2. The tape'!$I$5:$I$13*(1+$AX$5)^($A66/4))&gt;0)*('2. The tape'!$C$5:$C$13*'2. The tape'!$D$5:$D$13*(1-'2. The tape'!$J$5:$J$13)^($A66/4)*(1+$AX$5)^($A66/4)*((1-'3. Assumptions'!$B$13)/($AX$6)-'2. The tape'!$H$5:$H$13/12-'3. Assumptions'!$B$16)-'2. The tape'!$C$5:$C$13*'2. The tape'!$I$5:$I$13*(1+$AX$5)^($A66/4)))</f>
        <v>130205030.368294</v>
      </c>
      <c r="AZ66" s="33" t="n">
        <f aca="false">'2. The tape'!$C$17*(1+MIN(MAX($AZ$5,'3. Assumptions'!$B$11),'3. Assumptions'!$B$10))^INT(($A66-1)/4)/4*(1-'3. Assumptions'!$B$13)</f>
        <v>3892741.78168913</v>
      </c>
      <c r="BA66" s="33" t="n">
        <f aca="false">(1-'3. Assumptions'!$B$15)*SUMPRODUCT((('2. The tape'!$C$5:$C$13*'2. The tape'!$D$5:$D$13*(1-'2. The tape'!$J$5:$J$13)^($A66/4)*(1+$AZ$5)^($A66/4)*((1-'3. Assumptions'!$B$13)/($AZ$6)-'2. The tape'!$H$5:$H$13/12-'3. Assumptions'!$B$16)-'2. The tape'!$C$5:$C$13*'2. The tape'!$I$5:$I$13*(1+$AZ$5)^($A66/4))&gt;0)*('2. The tape'!$C$5:$C$13*'2. The tape'!$D$5:$D$13*(1-'2. The tape'!$J$5:$J$13)^($A66/4)*(1+$AZ$5)^($A66/4)*((1-'3. Assumptions'!$B$13)/($AZ$6)-'2. The tape'!$H$5:$H$13/12-'3. Assumptions'!$B$16)-'2. The tape'!$C$5:$C$13*'2. The tape'!$I$5:$I$13*(1+$AZ$5)^($A66/4)))</f>
        <v>130205030.368294</v>
      </c>
    </row>
    <row r="67" customFormat="false" ht="15" hidden="false" customHeight="false" outlineLevel="0" collapsed="false">
      <c r="A67" s="20" t="n">
        <v>52</v>
      </c>
      <c r="B67" s="33" t="n">
        <f aca="false">'2. The tape'!$C$17*(1+MIN(MAX($B$5,'3. Assumptions'!$B$11),'3. Assumptions'!$B$10))^INT(($A67-1)/4)/4*(1-'3. Assumptions'!$B$13)</f>
        <v>3892741.78168913</v>
      </c>
      <c r="C67" s="33" t="n">
        <f aca="false">(1-'3. Assumptions'!$B$15)*SUMPRODUCT((('2. The tape'!$C$5:$C$13*'2. The tape'!$D$5:$D$13*(1-'2. The tape'!$J$5:$J$13)^($A67/4)*(1+$B$5)^($A67/4)*((1-'3. Assumptions'!$B$13)/($B$6)-'2. The tape'!$H$5:$H$13/12-'3. Assumptions'!$B$16)-'2. The tape'!$C$5:$C$13*'2. The tape'!$I$5:$I$13*(1+$B$5)^($A67/4))&gt;0)*('2. The tape'!$C$5:$C$13*'2. The tape'!$D$5:$D$13*(1-'2. The tape'!$J$5:$J$13)^($A67/4)*(1+$B$5)^($A67/4)*((1-'3. Assumptions'!$B$13)/($B$6)-'2. The tape'!$H$5:$H$13/12-'3. Assumptions'!$B$16)-'2. The tape'!$C$5:$C$13*'2. The tape'!$I$5:$I$13*(1+$B$5)^($A67/4)))</f>
        <v>76960322.9368431</v>
      </c>
      <c r="D67" s="33" t="n">
        <f aca="false">'2. The tape'!$C$17*(1+MIN(MAX($D$5,'3. Assumptions'!$B$11),'3. Assumptions'!$B$10))^INT(($A67-1)/4)/4*(1-'3. Assumptions'!$B$13)</f>
        <v>4274561.23944577</v>
      </c>
      <c r="E67" s="33" t="n">
        <f aca="false">(1-'3. Assumptions'!$B$15)*SUMPRODUCT((('2. The tape'!$C$5:$C$13*'2. The tape'!$D$5:$D$13*(1-'2. The tape'!$J$5:$J$13)^($A67/4)*(1+$D$5)^($A67/4)*((1-'3. Assumptions'!$B$13)/($D$6)-'2. The tape'!$H$5:$H$13/12-'3. Assumptions'!$B$16)-'2. The tape'!$C$5:$C$13*'2. The tape'!$I$5:$I$13*(1+$D$5)^($A67/4))&gt;0)*('2. The tape'!$C$5:$C$13*'2. The tape'!$D$5:$D$13*(1-'2. The tape'!$J$5:$J$13)^($A67/4)*(1+$D$5)^($A67/4)*((1-'3. Assumptions'!$B$13)/($D$6)-'2. The tape'!$H$5:$H$13/12-'3. Assumptions'!$B$16)-'2. The tape'!$C$5:$C$13*'2. The tape'!$I$5:$I$13*(1+$D$5)^($A67/4)))</f>
        <v>90704698.3415967</v>
      </c>
      <c r="F67" s="33" t="n">
        <f aca="false">'2. The tape'!$C$17*(1+MIN(MAX($F$5,'3. Assumptions'!$B$11),'3. Assumptions'!$B$10))^INT(($A67-1)/4)/4*(1-'3. Assumptions'!$B$13)</f>
        <v>3378324.26311965</v>
      </c>
      <c r="G67" s="33" t="n">
        <f aca="false">(1-'3. Assumptions'!$B$15)*SUMPRODUCT((('2. The tape'!$C$5:$C$13*'2. The tape'!$D$5:$D$13*(1-'2. The tape'!$J$5:$J$13)^($A67/4)*(1+$F$5)^($A67/4)*((1-'3. Assumptions'!$B$13)/($F$6)-'2. The tape'!$H$5:$H$13/12-'3. Assumptions'!$B$16)-'2. The tape'!$C$5:$C$13*'2. The tape'!$I$5:$I$13*(1+$F$5)^($A67/4))&gt;0)*('2. The tape'!$C$5:$C$13*'2. The tape'!$D$5:$D$13*(1-'2. The tape'!$J$5:$J$13)^($A67/4)*(1+$F$5)^($A67/4)*((1-'3. Assumptions'!$B$13)/($F$6)-'2. The tape'!$H$5:$H$13/12-'3. Assumptions'!$B$16)-'2. The tape'!$C$5:$C$13*'2. The tape'!$I$5:$I$13*(1+$F$5)^($A67/4)))</f>
        <v>66005951.3839332</v>
      </c>
      <c r="H67" s="33" t="n">
        <f aca="false">'2. The tape'!$C$17*(1+MIN(MAX($H$5,'3. Assumptions'!$B$11),'3. Assumptions'!$B$10))^INT(($A67-1)/4)/4*(1-'3. Assumptions'!$B$13)</f>
        <v>4274561.23944577</v>
      </c>
      <c r="I67" s="33" t="n">
        <f aca="false">(1-'3. Assumptions'!$B$15)*SUMPRODUCT((('2. The tape'!$C$5:$C$13*'2. The tape'!$D$5:$D$13*(1-'2. The tape'!$J$5:$J$13)^($A67/4)*(1+$H$5)^($A67/4)*((1-'3. Assumptions'!$B$13)/($H$6)-'2. The tape'!$H$5:$H$13/12-'3. Assumptions'!$B$16)-'2. The tape'!$C$5:$C$13*'2. The tape'!$I$5:$I$13*(1+$H$5)^($A67/4))&gt;0)*('2. The tape'!$C$5:$C$13*'2. The tape'!$D$5:$D$13*(1-'2. The tape'!$J$5:$J$13)^($A67/4)*(1+$H$5)^($A67/4)*((1-'3. Assumptions'!$B$13)/($H$6)-'2. The tape'!$H$5:$H$13/12-'3. Assumptions'!$B$16)-'2. The tape'!$C$5:$C$13*'2. The tape'!$I$5:$I$13*(1+$H$5)^($A67/4)))</f>
        <v>90704698.3415967</v>
      </c>
      <c r="J67" s="33" t="n">
        <f aca="false">'2. The tape'!$C$17*(1+MIN(MAX($J$5,'3. Assumptions'!$B$11),'3. Assumptions'!$B$10))^INT(($A67-1)/4)/4*(1-'3. Assumptions'!$B$13)</f>
        <v>3892741.78168913</v>
      </c>
      <c r="K67" s="33" t="n">
        <f aca="false">(1-'3. Assumptions'!$B$15)*SUMPRODUCT((('2. The tape'!$C$5:$C$13*'2. The tape'!$D$5:$D$13*(1-'2. The tape'!$J$5:$J$13)^($A67/4)*(1+$J$5)^($A67/4)*((1-'3. Assumptions'!$B$13)/($J$6)-'2. The tape'!$H$5:$H$13/12-'3. Assumptions'!$B$16)-'2. The tape'!$C$5:$C$13*'2. The tape'!$I$5:$I$13*(1+$J$5)^($A67/4))&gt;0)*('2. The tape'!$C$5:$C$13*'2. The tape'!$D$5:$D$13*(1-'2. The tape'!$J$5:$J$13)^($A67/4)*(1+$J$5)^($A67/4)*((1-'3. Assumptions'!$B$13)/($J$6)-'2. The tape'!$H$5:$H$13/12-'3. Assumptions'!$B$16)-'2. The tape'!$C$5:$C$13*'2. The tape'!$I$5:$I$13*(1+$J$5)^($A67/4)))</f>
        <v>62909368.5228434</v>
      </c>
      <c r="L67" s="33" t="n">
        <f aca="false">'2. The tape'!$C$17*(1+MIN(MAX($L$5,'3. Assumptions'!$B$11),'3. Assumptions'!$B$10))^INT(($A67-1)/4)/4*(1-'3. Assumptions'!$B$13)</f>
        <v>4274561.23944577</v>
      </c>
      <c r="M67" s="33" t="n">
        <f aca="false">(1-'3. Assumptions'!$B$15)*SUMPRODUCT((('2. The tape'!$C$5:$C$13*'2. The tape'!$D$5:$D$13*(1-'2. The tape'!$J$5:$J$13)^($A67/4)*(1+$L$5)^($A67/4)*((1-'3. Assumptions'!$B$13)/($L$6)-'2. The tape'!$H$5:$H$13/12-'3. Assumptions'!$B$16)-'2. The tape'!$C$5:$C$13*'2. The tape'!$I$5:$I$13*(1+$L$5)^($A67/4))&gt;0)*('2. The tape'!$C$5:$C$13*'2. The tape'!$D$5:$D$13*(1-'2. The tape'!$J$5:$J$13)^($A67/4)*(1+$L$5)^($A67/4)*((1-'3. Assumptions'!$B$13)/($L$6)-'2. The tape'!$H$5:$H$13/12-'3. Assumptions'!$B$16)-'2. The tape'!$C$5:$C$13*'2. The tape'!$I$5:$I$13*(1+$L$5)^($A67/4)))</f>
        <v>1756583568.74937</v>
      </c>
      <c r="N67" s="33" t="n">
        <f aca="false">'2. The tape'!$C$17*(1+MIN(MAX($N$5,'3. Assumptions'!$B$11),'3. Assumptions'!$B$10))^INT(($A67-1)/4)/4*(1-'3. Assumptions'!$B$13)</f>
        <v>2998091.25</v>
      </c>
      <c r="O67" s="33" t="n">
        <f aca="false">(1-'3. Assumptions'!$B$15)*SUMPRODUCT((('2. The tape'!$C$5:$C$13*'2. The tape'!$D$5:$D$13*(1-'2. The tape'!$J$5:$J$13)^($A67/4)*(1+$N$5)^($A67/4)*((1-'3. Assumptions'!$B$13)/($N$6)-'2. The tape'!$H$5:$H$13/12-'3. Assumptions'!$B$16)-'2. The tape'!$C$5:$C$13*'2. The tape'!$I$5:$I$13*(1+$N$5)^($A67/4))&gt;0)*('2. The tape'!$C$5:$C$13*'2. The tape'!$D$5:$D$13*(1-'2. The tape'!$J$5:$J$13)^($A67/4)*(1+$N$5)^($A67/4)*((1-'3. Assumptions'!$B$13)/($N$6)-'2. The tape'!$H$5:$H$13/12-'3. Assumptions'!$B$16)-'2. The tape'!$C$5:$C$13*'2. The tape'!$I$5:$I$13*(1+$N$5)^($A67/4)))</f>
        <v>39033525.7727083</v>
      </c>
      <c r="P67" s="33" t="n">
        <f aca="false">'2. The tape'!$C$17*(1+MIN(MAX($P$5,'3. Assumptions'!$B$11),'3. Assumptions'!$B$10))^INT(($A67-1)/4)/4*(1-'3. Assumptions'!$B$13)</f>
        <v>2998091.25</v>
      </c>
      <c r="Q67" s="33" t="n">
        <f aca="false">(1-'3. Assumptions'!$B$15)*SUMPRODUCT((('2. The tape'!$C$5:$C$13*'2. The tape'!$D$5:$D$13*(1-'2. The tape'!$J$5:$J$13)^($A67/4)*(1+$P$5)^($A67/4)*((1-'3. Assumptions'!$B$13)/($P$6)-'2. The tape'!$H$5:$H$13/12-'3. Assumptions'!$B$16)-'2. The tape'!$C$5:$C$13*'2. The tape'!$I$5:$I$13*(1+$P$5)^($A67/4))&gt;0)*('2. The tape'!$C$5:$C$13*'2. The tape'!$D$5:$D$13*(1-'2. The tape'!$J$5:$J$13)^($A67/4)*(1+$P$5)^($A67/4)*((1-'3. Assumptions'!$B$13)/($P$6)-'2. The tape'!$H$5:$H$13/12-'3. Assumptions'!$B$16)-'2. The tape'!$C$5:$C$13*'2. The tape'!$I$5:$I$13*(1+$P$5)^($A67/4)))</f>
        <v>44600961.3722818</v>
      </c>
      <c r="R67" s="33" t="n">
        <f aca="false">'2. The tape'!$C$17*(1+MIN(MAX($R$5,'3. Assumptions'!$B$11),'3. Assumptions'!$B$10))^INT(($A67-1)/4)/4*(1-'3. Assumptions'!$B$13)</f>
        <v>2998091.25</v>
      </c>
      <c r="S67" s="33" t="n">
        <f aca="false">(1-'3. Assumptions'!$B$15)*SUMPRODUCT((('2. The tape'!$C$5:$C$13*'2. The tape'!$D$5:$D$13*(1-'2. The tape'!$J$5:$J$13)^($A67/4)*(1+$R$5)^($A67/4)*((1-'3. Assumptions'!$B$13)/($R$6)-'2. The tape'!$H$5:$H$13/12-'3. Assumptions'!$B$16)-'2. The tape'!$C$5:$C$13*'2. The tape'!$I$5:$I$13*(1+$R$5)^($A67/4))&gt;0)*('2. The tape'!$C$5:$C$13*'2. The tape'!$D$5:$D$13*(1-'2. The tape'!$J$5:$J$13)^($A67/4)*(1+$R$5)^($A67/4)*((1-'3. Assumptions'!$B$13)/($R$6)-'2. The tape'!$H$5:$H$13/12-'3. Assumptions'!$B$16)-'2. The tape'!$C$5:$C$13*'2. The tape'!$I$5:$I$13*(1+$R$5)^($A67/4)))</f>
        <v>41149212.0719312</v>
      </c>
      <c r="T67" s="33" t="n">
        <f aca="false">'2. The tape'!$C$17*(1+MIN(MAX($T$5,'3. Assumptions'!$B$11),'3. Assumptions'!$B$10))^INT(($A67-1)/4)/4*(1-'3. Assumptions'!$B$13)</f>
        <v>2998091.25</v>
      </c>
      <c r="U67" s="33" t="n">
        <f aca="false">(1-'3. Assumptions'!$B$15)*SUMPRODUCT((('2. The tape'!$C$5:$C$13*'2. The tape'!$D$5:$D$13*(1-'2. The tape'!$J$5:$J$13)^($A67/4)*(1+$T$5)^($A67/4)*((1-'3. Assumptions'!$B$13)/($T$6)-'2. The tape'!$H$5:$H$13/12-'3. Assumptions'!$B$16)-'2. The tape'!$C$5:$C$13*'2. The tape'!$I$5:$I$13*(1+$T$5)^($A67/4))&gt;0)*('2. The tape'!$C$5:$C$13*'2. The tape'!$D$5:$D$13*(1-'2. The tape'!$J$5:$J$13)^($A67/4)*(1+$T$5)^($A67/4)*((1-'3. Assumptions'!$B$13)/($T$6)-'2. The tape'!$H$5:$H$13/12-'3. Assumptions'!$B$16)-'2. The tape'!$C$5:$C$13*'2. The tape'!$I$5:$I$13*(1+$T$5)^($A67/4)))</f>
        <v>41059119.0733701</v>
      </c>
      <c r="V67" s="33" t="n">
        <f aca="false">'2. The tape'!$C$17*(1+MIN(MAX($V$5,'3. Assumptions'!$B$11),'3. Assumptions'!$B$10))^INT(($A67-1)/4)/4*(1-'3. Assumptions'!$B$13)</f>
        <v>2998091.25</v>
      </c>
      <c r="W67" s="33" t="n">
        <f aca="false">(1-'3. Assumptions'!$B$15)*SUMPRODUCT((('2. The tape'!$C$5:$C$13*'2. The tape'!$D$5:$D$13*(1-'2. The tape'!$J$5:$J$13)^($A67/4)*(1+$V$5)^($A67/4)*((1-'3. Assumptions'!$B$13)/($V$6)-'2. The tape'!$H$5:$H$13/12-'3. Assumptions'!$B$16)-'2. The tape'!$C$5:$C$13*'2. The tape'!$I$5:$I$13*(1+$V$5)^($A67/4))&gt;0)*('2. The tape'!$C$5:$C$13*'2. The tape'!$D$5:$D$13*(1-'2. The tape'!$J$5:$J$13)^($A67/4)*(1+$V$5)^($A67/4)*((1-'3. Assumptions'!$B$13)/($V$6)-'2. The tape'!$H$5:$H$13/12-'3. Assumptions'!$B$16)-'2. The tape'!$C$5:$C$13*'2. The tape'!$I$5:$I$13*(1+$V$5)^($A67/4)))</f>
        <v>41062735.4097531</v>
      </c>
      <c r="X67" s="33" t="n">
        <f aca="false">'2. The tape'!$C$17*(1+MIN(MAX($X$5,'3. Assumptions'!$B$11),'3. Assumptions'!$B$10))^INT(($A67-1)/4)/4*(1-'3. Assumptions'!$B$13)</f>
        <v>2998091.25</v>
      </c>
      <c r="Y67" s="33" t="n">
        <f aca="false">(1-'3. Assumptions'!$B$15)*SUMPRODUCT((('2. The tape'!$C$5:$C$13*'2. The tape'!$D$5:$D$13*(1-'2. The tape'!$J$5:$J$13)^($A67/4)*(1+$X$5)^($A67/4)*((1-'3. Assumptions'!$B$13)/($X$6)-'2. The tape'!$H$5:$H$13/12-'3. Assumptions'!$B$16)-'2. The tape'!$C$5:$C$13*'2. The tape'!$I$5:$I$13*(1+$X$5)^($A67/4))&gt;0)*('2. The tape'!$C$5:$C$13*'2. The tape'!$D$5:$D$13*(1-'2. The tape'!$J$5:$J$13)^($A67/4)*(1+$X$5)^($A67/4)*((1-'3. Assumptions'!$B$13)/($X$6)-'2. The tape'!$H$5:$H$13/12-'3. Assumptions'!$B$16)-'2. The tape'!$C$5:$C$13*'2. The tape'!$I$5:$I$13*(1+$X$5)^($A67/4)))</f>
        <v>41062731.606796</v>
      </c>
      <c r="Z67" s="33" t="n">
        <f aca="false">'2. The tape'!$C$17*(1+MIN(MAX($Z$5,'3. Assumptions'!$B$11),'3. Assumptions'!$B$10))^INT(($A67-1)/4)/4*(1-'3. Assumptions'!$B$13)</f>
        <v>2998091.25</v>
      </c>
      <c r="AA67" s="33" t="n">
        <f aca="false">(1-'3. Assumptions'!$B$15)*SUMPRODUCT((('2. The tape'!$C$5:$C$13*'2. The tape'!$D$5:$D$13*(1-'2. The tape'!$J$5:$J$13)^($A67/4)*(1+$Z$5)^($A67/4)*((1-'3. Assumptions'!$B$13)/($Z$6)-'2. The tape'!$H$5:$H$13/12-'3. Assumptions'!$B$16)-'2. The tape'!$C$5:$C$13*'2. The tape'!$I$5:$I$13*(1+$Z$5)^($A67/4))&gt;0)*('2. The tape'!$C$5:$C$13*'2. The tape'!$D$5:$D$13*(1-'2. The tape'!$J$5:$J$13)^($A67/4)*(1+$Z$5)^($A67/4)*((1-'3. Assumptions'!$B$13)/($Z$6)-'2. The tape'!$H$5:$H$13/12-'3. Assumptions'!$B$16)-'2. The tape'!$C$5:$C$13*'2. The tape'!$I$5:$I$13*(1+$Z$5)^($A67/4)))</f>
        <v>41062731.6066286</v>
      </c>
      <c r="AB67" s="33" t="n">
        <f aca="false">'2. The tape'!$C$17*(1+MIN(MAX($AB$5,'3. Assumptions'!$B$11),'3. Assumptions'!$B$10))^INT(($A67-1)/4)/4*(1-'3. Assumptions'!$B$13)</f>
        <v>2998091.25</v>
      </c>
      <c r="AC67" s="33" t="n">
        <f aca="false">(1-'3. Assumptions'!$B$15)*SUMPRODUCT((('2. The tape'!$C$5:$C$13*'2. The tape'!$D$5:$D$13*(1-'2. The tape'!$J$5:$J$13)^($A67/4)*(1+$AB$5)^($A67/4)*((1-'3. Assumptions'!$B$13)/($AB$6)-'2. The tape'!$H$5:$H$13/12-'3. Assumptions'!$B$16)-'2. The tape'!$C$5:$C$13*'2. The tape'!$I$5:$I$13*(1+$AB$5)^($A67/4))&gt;0)*('2. The tape'!$C$5:$C$13*'2. The tape'!$D$5:$D$13*(1-'2. The tape'!$J$5:$J$13)^($A67/4)*(1+$AB$5)^($A67/4)*((1-'3. Assumptions'!$B$13)/($AB$6)-'2. The tape'!$H$5:$H$13/12-'3. Assumptions'!$B$16)-'2. The tape'!$C$5:$C$13*'2. The tape'!$I$5:$I$13*(1+$AB$5)^($A67/4)))</f>
        <v>41062731.6066286</v>
      </c>
      <c r="AD67" s="33" t="n">
        <f aca="false">'2. The tape'!$C$17*(1+MIN(MAX($AD$5,'3. Assumptions'!$B$11),'3. Assumptions'!$B$10))^INT(($A67-1)/4)/4*(1-'3. Assumptions'!$B$13)</f>
        <v>2998091.25</v>
      </c>
      <c r="AE67" s="33" t="n">
        <f aca="false">(1-'3. Assumptions'!$B$15)*SUMPRODUCT((('2. The tape'!$C$5:$C$13*'2. The tape'!$D$5:$D$13*(1-'2. The tape'!$J$5:$J$13)^($A67/4)*(1+$AD$5)^($A67/4)*((1-'3. Assumptions'!$B$13)/($AD$6)-'2. The tape'!$H$5:$H$13/12-'3. Assumptions'!$B$16)-'2. The tape'!$C$5:$C$13*'2. The tape'!$I$5:$I$13*(1+$AD$5)^($A67/4))&gt;0)*('2. The tape'!$C$5:$C$13*'2. The tape'!$D$5:$D$13*(1-'2. The tape'!$J$5:$J$13)^($A67/4)*(1+$AD$5)^($A67/4)*((1-'3. Assumptions'!$B$13)/($AD$6)-'2. The tape'!$H$5:$H$13/12-'3. Assumptions'!$B$16)-'2. The tape'!$C$5:$C$13*'2. The tape'!$I$5:$I$13*(1+$AD$5)^($A67/4)))</f>
        <v>41062731.6066286</v>
      </c>
      <c r="AF67" s="33" t="n">
        <f aca="false">'2. The tape'!$C$17*(1+MIN(MAX($AF$5,'3. Assumptions'!$B$11),'3. Assumptions'!$B$10))^INT(($A67-1)/4)/4*(1-'3. Assumptions'!$B$13)</f>
        <v>2998091.25</v>
      </c>
      <c r="AG67" s="33" t="n">
        <f aca="false">(1-'3. Assumptions'!$B$15)*SUMPRODUCT((('2. The tape'!$C$5:$C$13*'2. The tape'!$D$5:$D$13*(1-'2. The tape'!$J$5:$J$13)^($A67/4)*(1+$AF$5)^($A67/4)*((1-'3. Assumptions'!$B$13)/($AF$6)-'2. The tape'!$H$5:$H$13/12-'3. Assumptions'!$B$16)-'2. The tape'!$C$5:$C$13*'2. The tape'!$I$5:$I$13*(1+$AF$5)^($A67/4))&gt;0)*('2. The tape'!$C$5:$C$13*'2. The tape'!$D$5:$D$13*(1-'2. The tape'!$J$5:$J$13)^($A67/4)*(1+$AF$5)^($A67/4)*((1-'3. Assumptions'!$B$13)/($AF$6)-'2. The tape'!$H$5:$H$13/12-'3. Assumptions'!$B$16)-'2. The tape'!$C$5:$C$13*'2. The tape'!$I$5:$I$13*(1+$AF$5)^($A67/4)))</f>
        <v>41062731.6066286</v>
      </c>
      <c r="AH67" s="33" t="n">
        <f aca="false">'2. The tape'!$C$17*(1+MIN(MAX($AH$5,'3. Assumptions'!$B$11),'3. Assumptions'!$B$10))^INT(($A67-1)/4)/4*(1-'3. Assumptions'!$B$13)</f>
        <v>3892741.78168913</v>
      </c>
      <c r="AI67" s="33" t="n">
        <f aca="false">(1-'3. Assumptions'!$B$15)*SUMPRODUCT((('2. The tape'!$C$5:$C$13*'2. The tape'!$D$5:$D$13*(1-'2. The tape'!$J$5:$J$13)^($A67/4)*(1+$AH$5)^($A67/4)*((1-'3. Assumptions'!$B$13)/($AH$6)-'2. The tape'!$H$5:$H$13/12-'3. Assumptions'!$B$16)-'2. The tape'!$C$5:$C$13*'2. The tape'!$I$5:$I$13*(1+$AH$5)^($A67/4))&gt;0)*('2. The tape'!$C$5:$C$13*'2. The tape'!$D$5:$D$13*(1-'2. The tape'!$J$5:$J$13)^($A67/4)*(1+$AH$5)^($A67/4)*((1-'3. Assumptions'!$B$13)/($AH$6)-'2. The tape'!$H$5:$H$13/12-'3. Assumptions'!$B$16)-'2. The tape'!$C$5:$C$13*'2. The tape'!$I$5:$I$13*(1+$AH$5)^($A67/4)))</f>
        <v>153678534.037282</v>
      </c>
      <c r="AJ67" s="33" t="n">
        <f aca="false">'2. The tape'!$C$17*(1+MIN(MAX($AJ$5,'3. Assumptions'!$B$11),'3. Assumptions'!$B$10))^INT(($A67-1)/4)/4*(1-'3. Assumptions'!$B$13)</f>
        <v>3892741.78168913</v>
      </c>
      <c r="AK67" s="33" t="n">
        <f aca="false">(1-'3. Assumptions'!$B$15)*SUMPRODUCT((('2. The tape'!$C$5:$C$13*'2. The tape'!$D$5:$D$13*(1-'2. The tape'!$J$5:$J$13)^($A67/4)*(1+$AJ$5)^($A67/4)*((1-'3. Assumptions'!$B$13)/($AJ$6)-'2. The tape'!$H$5:$H$13/12-'3. Assumptions'!$B$16)-'2. The tape'!$C$5:$C$13*'2. The tape'!$I$5:$I$13*(1+$AJ$5)^($A67/4))&gt;0)*('2. The tape'!$C$5:$C$13*'2. The tape'!$D$5:$D$13*(1-'2. The tape'!$J$5:$J$13)^($A67/4)*(1+$AJ$5)^($A67/4)*((1-'3. Assumptions'!$B$13)/($AJ$6)-'2. The tape'!$H$5:$H$13/12-'3. Assumptions'!$B$16)-'2. The tape'!$C$5:$C$13*'2. The tape'!$I$5:$I$13*(1+$AJ$5)^($A67/4)))</f>
        <v>110682613.530443</v>
      </c>
      <c r="AL67" s="33" t="n">
        <f aca="false">'2. The tape'!$C$17*(1+MIN(MAX($AL$5,'3. Assumptions'!$B$11),'3. Assumptions'!$B$10))^INT(($A67-1)/4)/4*(1-'3. Assumptions'!$B$13)</f>
        <v>3892741.78168913</v>
      </c>
      <c r="AM67" s="33" t="n">
        <f aca="false">(1-'3. Assumptions'!$B$15)*SUMPRODUCT((('2. The tape'!$C$5:$C$13*'2. The tape'!$D$5:$D$13*(1-'2. The tape'!$J$5:$J$13)^($A67/4)*(1+$AL$5)^($A67/4)*((1-'3. Assumptions'!$B$13)/($AL$6)-'2. The tape'!$H$5:$H$13/12-'3. Assumptions'!$B$16)-'2. The tape'!$C$5:$C$13*'2. The tape'!$I$5:$I$13*(1+$AL$5)^($A67/4))&gt;0)*('2. The tape'!$C$5:$C$13*'2. The tape'!$D$5:$D$13*(1-'2. The tape'!$J$5:$J$13)^($A67/4)*(1+$AL$5)^($A67/4)*((1-'3. Assumptions'!$B$13)/($AL$6)-'2. The tape'!$H$5:$H$13/12-'3. Assumptions'!$B$16)-'2. The tape'!$C$5:$C$13*'2. The tape'!$I$5:$I$13*(1+$AL$5)^($A67/4)))</f>
        <v>127358299.673624</v>
      </c>
      <c r="AN67" s="33" t="n">
        <f aca="false">'2. The tape'!$C$17*(1+MIN(MAX($AN$5,'3. Assumptions'!$B$11),'3. Assumptions'!$B$10))^INT(($A67-1)/4)/4*(1-'3. Assumptions'!$B$13)</f>
        <v>3892741.78168913</v>
      </c>
      <c r="AO67" s="33" t="n">
        <f aca="false">(1-'3. Assumptions'!$B$15)*SUMPRODUCT((('2. The tape'!$C$5:$C$13*'2. The tape'!$D$5:$D$13*(1-'2. The tape'!$J$5:$J$13)^($A67/4)*(1+$AN$5)^($A67/4)*((1-'3. Assumptions'!$B$13)/($AN$6)-'2. The tape'!$H$5:$H$13/12-'3. Assumptions'!$B$16)-'2. The tape'!$C$5:$C$13*'2. The tape'!$I$5:$I$13*(1+$AN$5)^($A67/4))&gt;0)*('2. The tape'!$C$5:$C$13*'2. The tape'!$D$5:$D$13*(1-'2. The tape'!$J$5:$J$13)^($A67/4)*(1+$AN$5)^($A67/4)*((1-'3. Assumptions'!$B$13)/($AN$6)-'2. The tape'!$H$5:$H$13/12-'3. Assumptions'!$B$16)-'2. The tape'!$C$5:$C$13*'2. The tape'!$I$5:$I$13*(1+$AN$5)^($A67/4)))</f>
        <v>130480500.21593</v>
      </c>
      <c r="AP67" s="33" t="n">
        <f aca="false">'2. The tape'!$C$17*(1+MIN(MAX($AP$5,'3. Assumptions'!$B$11),'3. Assumptions'!$B$10))^INT(($A67-1)/4)/4*(1-'3. Assumptions'!$B$13)</f>
        <v>3892741.78168913</v>
      </c>
      <c r="AQ67" s="33" t="n">
        <f aca="false">(1-'3. Assumptions'!$B$15)*SUMPRODUCT((('2. The tape'!$C$5:$C$13*'2. The tape'!$D$5:$D$13*(1-'2. The tape'!$J$5:$J$13)^($A67/4)*(1+$AP$5)^($A67/4)*((1-'3. Assumptions'!$B$13)/($AP$6)-'2. The tape'!$H$5:$H$13/12-'3. Assumptions'!$B$16)-'2. The tape'!$C$5:$C$13*'2. The tape'!$I$5:$I$13*(1+$AP$5)^($A67/4))&gt;0)*('2. The tape'!$C$5:$C$13*'2. The tape'!$D$5:$D$13*(1-'2. The tape'!$J$5:$J$13)^($A67/4)*(1+$AP$5)^($A67/4)*((1-'3. Assumptions'!$B$13)/($AP$6)-'2. The tape'!$H$5:$H$13/12-'3. Assumptions'!$B$16)-'2. The tape'!$C$5:$C$13*'2. The tape'!$I$5:$I$13*(1+$AP$5)^($A67/4)))</f>
        <v>130095070.965855</v>
      </c>
      <c r="AR67" s="33" t="n">
        <f aca="false">'2. The tape'!$C$17*(1+MIN(MAX($AR$5,'3. Assumptions'!$B$11),'3. Assumptions'!$B$10))^INT(($A67-1)/4)/4*(1-'3. Assumptions'!$B$13)</f>
        <v>3892741.78168913</v>
      </c>
      <c r="AS67" s="33" t="n">
        <f aca="false">(1-'3. Assumptions'!$B$15)*SUMPRODUCT((('2. The tape'!$C$5:$C$13*'2. The tape'!$D$5:$D$13*(1-'2. The tape'!$J$5:$J$13)^($A67/4)*(1+$AR$5)^($A67/4)*((1-'3. Assumptions'!$B$13)/($AR$6)-'2. The tape'!$H$5:$H$13/12-'3. Assumptions'!$B$16)-'2. The tape'!$C$5:$C$13*'2. The tape'!$I$5:$I$13*(1+$AR$5)^($A67/4))&gt;0)*('2. The tape'!$C$5:$C$13*'2. The tape'!$D$5:$D$13*(1-'2. The tape'!$J$5:$J$13)^($A67/4)*(1+$AR$5)^($A67/4)*((1-'3. Assumptions'!$B$13)/($AR$6)-'2. The tape'!$H$5:$H$13/12-'3. Assumptions'!$B$16)-'2. The tape'!$C$5:$C$13*'2. The tape'!$I$5:$I$13*(1+$AR$5)^($A67/4)))</f>
        <v>130101537.916603</v>
      </c>
      <c r="AT67" s="33" t="n">
        <f aca="false">'2. The tape'!$C$17*(1+MIN(MAX($AT$5,'3. Assumptions'!$B$11),'3. Assumptions'!$B$10))^INT(($A67-1)/4)/4*(1-'3. Assumptions'!$B$13)</f>
        <v>3892741.78168913</v>
      </c>
      <c r="AU67" s="33" t="n">
        <f aca="false">(1-'3. Assumptions'!$B$15)*SUMPRODUCT((('2. The tape'!$C$5:$C$13*'2. The tape'!$D$5:$D$13*(1-'2. The tape'!$J$5:$J$13)^($A67/4)*(1+$AT$5)^($A67/4)*((1-'3. Assumptions'!$B$13)/($AT$6)-'2. The tape'!$H$5:$H$13/12-'3. Assumptions'!$B$16)-'2. The tape'!$C$5:$C$13*'2. The tape'!$I$5:$I$13*(1+$AT$5)^($A67/4))&gt;0)*('2. The tape'!$C$5:$C$13*'2. The tape'!$D$5:$D$13*(1-'2. The tape'!$J$5:$J$13)^($A67/4)*(1+$AT$5)^($A67/4)*((1-'3. Assumptions'!$B$13)/($AT$6)-'2. The tape'!$H$5:$H$13/12-'3. Assumptions'!$B$16)-'2. The tape'!$C$5:$C$13*'2. The tape'!$I$5:$I$13*(1+$AT$5)^($A67/4)))</f>
        <v>130101552.976504</v>
      </c>
      <c r="AV67" s="33" t="n">
        <f aca="false">'2. The tape'!$C$17*(1+MIN(MAX($AV$5,'3. Assumptions'!$B$11),'3. Assumptions'!$B$10))^INT(($A67-1)/4)/4*(1-'3. Assumptions'!$B$13)</f>
        <v>3892741.78168913</v>
      </c>
      <c r="AW67" s="33" t="n">
        <f aca="false">(1-'3. Assumptions'!$B$15)*SUMPRODUCT((('2. The tape'!$C$5:$C$13*'2. The tape'!$D$5:$D$13*(1-'2. The tape'!$J$5:$J$13)^($A67/4)*(1+$AV$5)^($A67/4)*((1-'3. Assumptions'!$B$13)/($AV$6)-'2. The tape'!$H$5:$H$13/12-'3. Assumptions'!$B$16)-'2. The tape'!$C$5:$C$13*'2. The tape'!$I$5:$I$13*(1+$AV$5)^($A67/4))&gt;0)*('2. The tape'!$C$5:$C$13*'2. The tape'!$D$5:$D$13*(1-'2. The tape'!$J$5:$J$13)^($A67/4)*(1+$AV$5)^($A67/4)*((1-'3. Assumptions'!$B$13)/($AV$6)-'2. The tape'!$H$5:$H$13/12-'3. Assumptions'!$B$16)-'2. The tape'!$C$5:$C$13*'2. The tape'!$I$5:$I$13*(1+$AV$5)^($A67/4)))</f>
        <v>130101552.975904</v>
      </c>
      <c r="AX67" s="33" t="n">
        <f aca="false">'2. The tape'!$C$17*(1+MIN(MAX($AX$5,'3. Assumptions'!$B$11),'3. Assumptions'!$B$10))^INT(($A67-1)/4)/4*(1-'3. Assumptions'!$B$13)</f>
        <v>3892741.78168913</v>
      </c>
      <c r="AY67" s="33" t="n">
        <f aca="false">(1-'3. Assumptions'!$B$15)*SUMPRODUCT((('2. The tape'!$C$5:$C$13*'2. The tape'!$D$5:$D$13*(1-'2. The tape'!$J$5:$J$13)^($A67/4)*(1+$AX$5)^($A67/4)*((1-'3. Assumptions'!$B$13)/($AX$6)-'2. The tape'!$H$5:$H$13/12-'3. Assumptions'!$B$16)-'2. The tape'!$C$5:$C$13*'2. The tape'!$I$5:$I$13*(1+$AX$5)^($A67/4))&gt;0)*('2. The tape'!$C$5:$C$13*'2. The tape'!$D$5:$D$13*(1-'2. The tape'!$J$5:$J$13)^($A67/4)*(1+$AX$5)^($A67/4)*((1-'3. Assumptions'!$B$13)/($AX$6)-'2. The tape'!$H$5:$H$13/12-'3. Assumptions'!$B$16)-'2. The tape'!$C$5:$C$13*'2. The tape'!$I$5:$I$13*(1+$AX$5)^($A67/4)))</f>
        <v>130101552.975904</v>
      </c>
      <c r="AZ67" s="33" t="n">
        <f aca="false">'2. The tape'!$C$17*(1+MIN(MAX($AZ$5,'3. Assumptions'!$B$11),'3. Assumptions'!$B$10))^INT(($A67-1)/4)/4*(1-'3. Assumptions'!$B$13)</f>
        <v>3892741.78168913</v>
      </c>
      <c r="BA67" s="33" t="n">
        <f aca="false">(1-'3. Assumptions'!$B$15)*SUMPRODUCT((('2. The tape'!$C$5:$C$13*'2. The tape'!$D$5:$D$13*(1-'2. The tape'!$J$5:$J$13)^($A67/4)*(1+$AZ$5)^($A67/4)*((1-'3. Assumptions'!$B$13)/($AZ$6)-'2. The tape'!$H$5:$H$13/12-'3. Assumptions'!$B$16)-'2. The tape'!$C$5:$C$13*'2. The tape'!$I$5:$I$13*(1+$AZ$5)^($A67/4))&gt;0)*('2. The tape'!$C$5:$C$13*'2. The tape'!$D$5:$D$13*(1-'2. The tape'!$J$5:$J$13)^($A67/4)*(1+$AZ$5)^($A67/4)*((1-'3. Assumptions'!$B$13)/($AZ$6)-'2. The tape'!$H$5:$H$13/12-'3. Assumptions'!$B$16)-'2. The tape'!$C$5:$C$13*'2. The tape'!$I$5:$I$13*(1+$AZ$5)^($A67/4)))</f>
        <v>130101552.975904</v>
      </c>
    </row>
    <row r="68" customFormat="false" ht="15" hidden="false" customHeight="false" outlineLevel="0" collapsed="false">
      <c r="A68" s="20" t="n">
        <v>53</v>
      </c>
      <c r="B68" s="33" t="n">
        <f aca="false">'2. The tape'!$C$17*(1+MIN(MAX($B$5,'3. Assumptions'!$B$11),'3. Assumptions'!$B$10))^INT(($A68-1)/4)/4*(1-'3. Assumptions'!$B$13)</f>
        <v>3978382.1008863</v>
      </c>
      <c r="C68" s="33" t="n">
        <f aca="false">(1-'3. Assumptions'!$B$15)*SUMPRODUCT((('2. The tape'!$C$5:$C$13*'2. The tape'!$D$5:$D$13*(1-'2. The tape'!$J$5:$J$13)^($A68/4)*(1+$B$5)^($A68/4)*((1-'3. Assumptions'!$B$13)/($B$6)-'2. The tape'!$H$5:$H$13/12-'3. Assumptions'!$B$16)-'2. The tape'!$C$5:$C$13*'2. The tape'!$I$5:$I$13*(1+$B$5)^($A68/4))&gt;0)*('2. The tape'!$C$5:$C$13*'2. The tape'!$D$5:$D$13*(1-'2. The tape'!$J$5:$J$13)^($A68/4)*(1+$B$5)^($A68/4)*((1-'3. Assumptions'!$B$13)/($B$6)-'2. The tape'!$H$5:$H$13/12-'3. Assumptions'!$B$16)-'2. The tape'!$C$5:$C$13*'2. The tape'!$I$5:$I$13*(1+$B$5)^($A68/4)))</f>
        <v>76858303.5988902</v>
      </c>
      <c r="D68" s="33" t="n">
        <f aca="false">'2. The tape'!$C$17*(1+MIN(MAX($D$5,'3. Assumptions'!$B$11),'3. Assumptions'!$B$10))^INT(($A68-1)/4)/4*(1-'3. Assumptions'!$B$13)</f>
        <v>4402798.07662914</v>
      </c>
      <c r="E68" s="33" t="n">
        <f aca="false">(1-'3. Assumptions'!$B$15)*SUMPRODUCT((('2. The tape'!$C$5:$C$13*'2. The tape'!$D$5:$D$13*(1-'2. The tape'!$J$5:$J$13)^($A68/4)*(1+$D$5)^($A68/4)*((1-'3. Assumptions'!$B$13)/($D$6)-'2. The tape'!$H$5:$H$13/12-'3. Assumptions'!$B$16)-'2. The tape'!$C$5:$C$13*'2. The tape'!$I$5:$I$13*(1+$D$5)^($A68/4))&gt;0)*('2. The tape'!$C$5:$C$13*'2. The tape'!$D$5:$D$13*(1-'2. The tape'!$J$5:$J$13)^($A68/4)*(1+$D$5)^($A68/4)*((1-'3. Assumptions'!$B$13)/($D$6)-'2. The tape'!$H$5:$H$13/12-'3. Assumptions'!$B$16)-'2. The tape'!$C$5:$C$13*'2. The tape'!$I$5:$I$13*(1+$D$5)^($A68/4)))</f>
        <v>90871157.4887656</v>
      </c>
      <c r="F68" s="33" t="n">
        <f aca="false">'2. The tape'!$C$17*(1+MIN(MAX($F$5,'3. Assumptions'!$B$11),'3. Assumptions'!$B$10))^INT(($A68-1)/4)/4*(1-'3. Assumptions'!$B$13)</f>
        <v>3412107.50575084</v>
      </c>
      <c r="G68" s="33" t="n">
        <f aca="false">(1-'3. Assumptions'!$B$15)*SUMPRODUCT((('2. The tape'!$C$5:$C$13*'2. The tape'!$D$5:$D$13*(1-'2. The tape'!$J$5:$J$13)^($A68/4)*(1+$F$5)^($A68/4)*((1-'3. Assumptions'!$B$13)/($F$6)-'2. The tape'!$H$5:$H$13/12-'3. Assumptions'!$B$16)-'2. The tape'!$C$5:$C$13*'2. The tape'!$I$5:$I$13*(1+$F$5)^($A68/4))&gt;0)*('2. The tape'!$C$5:$C$13*'2. The tape'!$D$5:$D$13*(1-'2. The tape'!$J$5:$J$13)^($A68/4)*(1+$F$5)^($A68/4)*((1-'3. Assumptions'!$B$13)/($F$6)-'2. The tape'!$H$5:$H$13/12-'3. Assumptions'!$B$16)-'2. The tape'!$C$5:$C$13*'2. The tape'!$I$5:$I$13*(1+$F$5)^($A68/4)))</f>
        <v>65724096.9883256</v>
      </c>
      <c r="H68" s="33" t="n">
        <f aca="false">'2. The tape'!$C$17*(1+MIN(MAX($H$5,'3. Assumptions'!$B$11),'3. Assumptions'!$B$10))^INT(($A68-1)/4)/4*(1-'3. Assumptions'!$B$13)</f>
        <v>4402798.07662914</v>
      </c>
      <c r="I68" s="33" t="n">
        <f aca="false">(1-'3. Assumptions'!$B$15)*SUMPRODUCT((('2. The tape'!$C$5:$C$13*'2. The tape'!$D$5:$D$13*(1-'2. The tape'!$J$5:$J$13)^($A68/4)*(1+$H$5)^($A68/4)*((1-'3. Assumptions'!$B$13)/($H$6)-'2. The tape'!$H$5:$H$13/12-'3. Assumptions'!$B$16)-'2. The tape'!$C$5:$C$13*'2. The tape'!$I$5:$I$13*(1+$H$5)^($A68/4))&gt;0)*('2. The tape'!$C$5:$C$13*'2. The tape'!$D$5:$D$13*(1-'2. The tape'!$J$5:$J$13)^($A68/4)*(1+$H$5)^($A68/4)*((1-'3. Assumptions'!$B$13)/($H$6)-'2. The tape'!$H$5:$H$13/12-'3. Assumptions'!$B$16)-'2. The tape'!$C$5:$C$13*'2. The tape'!$I$5:$I$13*(1+$H$5)^($A68/4)))</f>
        <v>90871157.4887656</v>
      </c>
      <c r="J68" s="33" t="n">
        <f aca="false">'2. The tape'!$C$17*(1+MIN(MAX($J$5,'3. Assumptions'!$B$11),'3. Assumptions'!$B$10))^INT(($A68-1)/4)/4*(1-'3. Assumptions'!$B$13)</f>
        <v>3978382.1008863</v>
      </c>
      <c r="K68" s="33" t="n">
        <f aca="false">(1-'3. Assumptions'!$B$15)*SUMPRODUCT((('2. The tape'!$C$5:$C$13*'2. The tape'!$D$5:$D$13*(1-'2. The tape'!$J$5:$J$13)^($A68/4)*(1+$J$5)^($A68/4)*((1-'3. Assumptions'!$B$13)/($J$6)-'2. The tape'!$H$5:$H$13/12-'3. Assumptions'!$B$16)-'2. The tape'!$C$5:$C$13*'2. The tape'!$I$5:$I$13*(1+$J$5)^($A68/4))&gt;0)*('2. The tape'!$C$5:$C$13*'2. The tape'!$D$5:$D$13*(1-'2. The tape'!$J$5:$J$13)^($A68/4)*(1+$J$5)^($A68/4)*((1-'3. Assumptions'!$B$13)/($J$6)-'2. The tape'!$H$5:$H$13/12-'3. Assumptions'!$B$16)-'2. The tape'!$C$5:$C$13*'2. The tape'!$I$5:$I$13*(1+$J$5)^($A68/4)))</f>
        <v>62807777.8648144</v>
      </c>
      <c r="L68" s="33" t="n">
        <f aca="false">'2. The tape'!$C$17*(1+MIN(MAX($L$5,'3. Assumptions'!$B$11),'3. Assumptions'!$B$10))^INT(($A68-1)/4)/4*(1-'3. Assumptions'!$B$13)</f>
        <v>4402798.07662914</v>
      </c>
      <c r="M68" s="33" t="n">
        <f aca="false">(1-'3. Assumptions'!$B$15)*SUMPRODUCT((('2. The tape'!$C$5:$C$13*'2. The tape'!$D$5:$D$13*(1-'2. The tape'!$J$5:$J$13)^($A68/4)*(1+$L$5)^($A68/4)*((1-'3. Assumptions'!$B$13)/($L$6)-'2. The tape'!$H$5:$H$13/12-'3. Assumptions'!$B$16)-'2. The tape'!$C$5:$C$13*'2. The tape'!$I$5:$I$13*(1+$L$5)^($A68/4))&gt;0)*('2. The tape'!$C$5:$C$13*'2. The tape'!$D$5:$D$13*(1-'2. The tape'!$J$5:$J$13)^($A68/4)*(1+$L$5)^($A68/4)*((1-'3. Assumptions'!$B$13)/($L$6)-'2. The tape'!$H$5:$H$13/12-'3. Assumptions'!$B$16)-'2. The tape'!$C$5:$C$13*'2. The tape'!$I$5:$I$13*(1+$L$5)^($A68/4)))</f>
        <v>1863012819.4735</v>
      </c>
      <c r="N68" s="33" t="n">
        <f aca="false">'2. The tape'!$C$17*(1+MIN(MAX($N$5,'3. Assumptions'!$B$11),'3. Assumptions'!$B$10))^INT(($A68-1)/4)/4*(1-'3. Assumptions'!$B$13)</f>
        <v>2998091.25</v>
      </c>
      <c r="O68" s="33" t="n">
        <f aca="false">(1-'3. Assumptions'!$B$15)*SUMPRODUCT((('2. The tape'!$C$5:$C$13*'2. The tape'!$D$5:$D$13*(1-'2. The tape'!$J$5:$J$13)^($A68/4)*(1+$N$5)^($A68/4)*((1-'3. Assumptions'!$B$13)/($N$6)-'2. The tape'!$H$5:$H$13/12-'3. Assumptions'!$B$16)-'2. The tape'!$C$5:$C$13*'2. The tape'!$I$5:$I$13*(1+$N$5)^($A68/4))&gt;0)*('2. The tape'!$C$5:$C$13*'2. The tape'!$D$5:$D$13*(1-'2. The tape'!$J$5:$J$13)^($A68/4)*(1+$N$5)^($A68/4)*((1-'3. Assumptions'!$B$13)/($N$6)-'2. The tape'!$H$5:$H$13/12-'3. Assumptions'!$B$16)-'2. The tape'!$C$5:$C$13*'2. The tape'!$I$5:$I$13*(1+$N$5)^($A68/4)))</f>
        <v>38476176.144009</v>
      </c>
      <c r="P68" s="33" t="n">
        <f aca="false">'2. The tape'!$C$17*(1+MIN(MAX($P$5,'3. Assumptions'!$B$11),'3. Assumptions'!$B$10))^INT(($A68-1)/4)/4*(1-'3. Assumptions'!$B$13)</f>
        <v>2998091.25</v>
      </c>
      <c r="Q68" s="33" t="n">
        <f aca="false">(1-'3. Assumptions'!$B$15)*SUMPRODUCT((('2. The tape'!$C$5:$C$13*'2. The tape'!$D$5:$D$13*(1-'2. The tape'!$J$5:$J$13)^($A68/4)*(1+$P$5)^($A68/4)*((1-'3. Assumptions'!$B$13)/($P$6)-'2. The tape'!$H$5:$H$13/12-'3. Assumptions'!$B$16)-'2. The tape'!$C$5:$C$13*'2. The tape'!$I$5:$I$13*(1+$P$5)^($A68/4))&gt;0)*('2. The tape'!$C$5:$C$13*'2. The tape'!$D$5:$D$13*(1-'2. The tape'!$J$5:$J$13)^($A68/4)*(1+$P$5)^($A68/4)*((1-'3. Assumptions'!$B$13)/($P$6)-'2. The tape'!$H$5:$H$13/12-'3. Assumptions'!$B$16)-'2. The tape'!$C$5:$C$13*'2. The tape'!$I$5:$I$13*(1+$P$5)^($A68/4)))</f>
        <v>44076989.9092625</v>
      </c>
      <c r="R68" s="33" t="n">
        <f aca="false">'2. The tape'!$C$17*(1+MIN(MAX($R$5,'3. Assumptions'!$B$11),'3. Assumptions'!$B$10))^INT(($A68-1)/4)/4*(1-'3. Assumptions'!$B$13)</f>
        <v>2998091.25</v>
      </c>
      <c r="S68" s="33" t="n">
        <f aca="false">(1-'3. Assumptions'!$B$15)*SUMPRODUCT((('2. The tape'!$C$5:$C$13*'2. The tape'!$D$5:$D$13*(1-'2. The tape'!$J$5:$J$13)^($A68/4)*(1+$R$5)^($A68/4)*((1-'3. Assumptions'!$B$13)/($R$6)-'2. The tape'!$H$5:$H$13/12-'3. Assumptions'!$B$16)-'2. The tape'!$C$5:$C$13*'2. The tape'!$I$5:$I$13*(1+$R$5)^($A68/4))&gt;0)*('2. The tape'!$C$5:$C$13*'2. The tape'!$D$5:$D$13*(1-'2. The tape'!$J$5:$J$13)^($A68/4)*(1+$R$5)^($A68/4)*((1-'3. Assumptions'!$B$13)/($R$6)-'2. The tape'!$H$5:$H$13/12-'3. Assumptions'!$B$16)-'2. The tape'!$C$5:$C$13*'2. The tape'!$I$5:$I$13*(1+$R$5)^($A68/4)))</f>
        <v>40602847.1036096</v>
      </c>
      <c r="T68" s="33" t="n">
        <f aca="false">'2. The tape'!$C$17*(1+MIN(MAX($T$5,'3. Assumptions'!$B$11),'3. Assumptions'!$B$10))^INT(($A68-1)/4)/4*(1-'3. Assumptions'!$B$13)</f>
        <v>2998091.25</v>
      </c>
      <c r="U68" s="33" t="n">
        <f aca="false">(1-'3. Assumptions'!$B$15)*SUMPRODUCT((('2. The tape'!$C$5:$C$13*'2. The tape'!$D$5:$D$13*(1-'2. The tape'!$J$5:$J$13)^($A68/4)*(1+$T$5)^($A68/4)*((1-'3. Assumptions'!$B$13)/($T$6)-'2. The tape'!$H$5:$H$13/12-'3. Assumptions'!$B$16)-'2. The tape'!$C$5:$C$13*'2. The tape'!$I$5:$I$13*(1+$T$5)^($A68/4))&gt;0)*('2. The tape'!$C$5:$C$13*'2. The tape'!$D$5:$D$13*(1-'2. The tape'!$J$5:$J$13)^($A68/4)*(1+$T$5)^($A68/4)*((1-'3. Assumptions'!$B$13)/($T$6)-'2. The tape'!$H$5:$H$13/12-'3. Assumptions'!$B$16)-'2. The tape'!$C$5:$C$13*'2. The tape'!$I$5:$I$13*(1+$T$5)^($A68/4)))</f>
        <v>40512242.6841</v>
      </c>
      <c r="V68" s="33" t="n">
        <f aca="false">'2. The tape'!$C$17*(1+MIN(MAX($V$5,'3. Assumptions'!$B$11),'3. Assumptions'!$B$10))^INT(($A68-1)/4)/4*(1-'3. Assumptions'!$B$13)</f>
        <v>2998091.25</v>
      </c>
      <c r="W68" s="33" t="n">
        <f aca="false">(1-'3. Assumptions'!$B$15)*SUMPRODUCT((('2. The tape'!$C$5:$C$13*'2. The tape'!$D$5:$D$13*(1-'2. The tape'!$J$5:$J$13)^($A68/4)*(1+$V$5)^($A68/4)*((1-'3. Assumptions'!$B$13)/($V$6)-'2. The tape'!$H$5:$H$13/12-'3. Assumptions'!$B$16)-'2. The tape'!$C$5:$C$13*'2. The tape'!$I$5:$I$13*(1+$V$5)^($A68/4))&gt;0)*('2. The tape'!$C$5:$C$13*'2. The tape'!$D$5:$D$13*(1-'2. The tape'!$J$5:$J$13)^($A68/4)*(1+$V$5)^($A68/4)*((1-'3. Assumptions'!$B$13)/($V$6)-'2. The tape'!$H$5:$H$13/12-'3. Assumptions'!$B$16)-'2. The tape'!$C$5:$C$13*'2. The tape'!$I$5:$I$13*(1+$V$5)^($A68/4)))</f>
        <v>40515879.475344</v>
      </c>
      <c r="X68" s="33" t="n">
        <f aca="false">'2. The tape'!$C$17*(1+MIN(MAX($X$5,'3. Assumptions'!$B$11),'3. Assumptions'!$B$10))^INT(($A68-1)/4)/4*(1-'3. Assumptions'!$B$13)</f>
        <v>2998091.25</v>
      </c>
      <c r="Y68" s="33" t="n">
        <f aca="false">(1-'3. Assumptions'!$B$15)*SUMPRODUCT((('2. The tape'!$C$5:$C$13*'2. The tape'!$D$5:$D$13*(1-'2. The tape'!$J$5:$J$13)^($A68/4)*(1+$X$5)^($A68/4)*((1-'3. Assumptions'!$B$13)/($X$6)-'2. The tape'!$H$5:$H$13/12-'3. Assumptions'!$B$16)-'2. The tape'!$C$5:$C$13*'2. The tape'!$I$5:$I$13*(1+$X$5)^($A68/4))&gt;0)*('2. The tape'!$C$5:$C$13*'2. The tape'!$D$5:$D$13*(1-'2. The tape'!$J$5:$J$13)^($A68/4)*(1+$X$5)^($A68/4)*((1-'3. Assumptions'!$B$13)/($X$6)-'2. The tape'!$H$5:$H$13/12-'3. Assumptions'!$B$16)-'2. The tape'!$C$5:$C$13*'2. The tape'!$I$5:$I$13*(1+$X$5)^($A68/4)))</f>
        <v>40515875.6508733</v>
      </c>
      <c r="Z68" s="33" t="n">
        <f aca="false">'2. The tape'!$C$17*(1+MIN(MAX($Z$5,'3. Assumptions'!$B$11),'3. Assumptions'!$B$10))^INT(($A68-1)/4)/4*(1-'3. Assumptions'!$B$13)</f>
        <v>2998091.25</v>
      </c>
      <c r="AA68" s="33" t="n">
        <f aca="false">(1-'3. Assumptions'!$B$15)*SUMPRODUCT((('2. The tape'!$C$5:$C$13*'2. The tape'!$D$5:$D$13*(1-'2. The tape'!$J$5:$J$13)^($A68/4)*(1+$Z$5)^($A68/4)*((1-'3. Assumptions'!$B$13)/($Z$6)-'2. The tape'!$H$5:$H$13/12-'3. Assumptions'!$B$16)-'2. The tape'!$C$5:$C$13*'2. The tape'!$I$5:$I$13*(1+$Z$5)^($A68/4))&gt;0)*('2. The tape'!$C$5:$C$13*'2. The tape'!$D$5:$D$13*(1-'2. The tape'!$J$5:$J$13)^($A68/4)*(1+$Z$5)^($A68/4)*((1-'3. Assumptions'!$B$13)/($Z$6)-'2. The tape'!$H$5:$H$13/12-'3. Assumptions'!$B$16)-'2. The tape'!$C$5:$C$13*'2. The tape'!$I$5:$I$13*(1+$Z$5)^($A68/4)))</f>
        <v>40515875.650705</v>
      </c>
      <c r="AB68" s="33" t="n">
        <f aca="false">'2. The tape'!$C$17*(1+MIN(MAX($AB$5,'3. Assumptions'!$B$11),'3. Assumptions'!$B$10))^INT(($A68-1)/4)/4*(1-'3. Assumptions'!$B$13)</f>
        <v>2998091.25</v>
      </c>
      <c r="AC68" s="33" t="n">
        <f aca="false">(1-'3. Assumptions'!$B$15)*SUMPRODUCT((('2. The tape'!$C$5:$C$13*'2. The tape'!$D$5:$D$13*(1-'2. The tape'!$J$5:$J$13)^($A68/4)*(1+$AB$5)^($A68/4)*((1-'3. Assumptions'!$B$13)/($AB$6)-'2. The tape'!$H$5:$H$13/12-'3. Assumptions'!$B$16)-'2. The tape'!$C$5:$C$13*'2. The tape'!$I$5:$I$13*(1+$AB$5)^($A68/4))&gt;0)*('2. The tape'!$C$5:$C$13*'2. The tape'!$D$5:$D$13*(1-'2. The tape'!$J$5:$J$13)^($A68/4)*(1+$AB$5)^($A68/4)*((1-'3. Assumptions'!$B$13)/($AB$6)-'2. The tape'!$H$5:$H$13/12-'3. Assumptions'!$B$16)-'2. The tape'!$C$5:$C$13*'2. The tape'!$I$5:$I$13*(1+$AB$5)^($A68/4)))</f>
        <v>40515875.650705</v>
      </c>
      <c r="AD68" s="33" t="n">
        <f aca="false">'2. The tape'!$C$17*(1+MIN(MAX($AD$5,'3. Assumptions'!$B$11),'3. Assumptions'!$B$10))^INT(($A68-1)/4)/4*(1-'3. Assumptions'!$B$13)</f>
        <v>2998091.25</v>
      </c>
      <c r="AE68" s="33" t="n">
        <f aca="false">(1-'3. Assumptions'!$B$15)*SUMPRODUCT((('2. The tape'!$C$5:$C$13*'2. The tape'!$D$5:$D$13*(1-'2. The tape'!$J$5:$J$13)^($A68/4)*(1+$AD$5)^($A68/4)*((1-'3. Assumptions'!$B$13)/($AD$6)-'2. The tape'!$H$5:$H$13/12-'3. Assumptions'!$B$16)-'2. The tape'!$C$5:$C$13*'2. The tape'!$I$5:$I$13*(1+$AD$5)^($A68/4))&gt;0)*('2. The tape'!$C$5:$C$13*'2. The tape'!$D$5:$D$13*(1-'2. The tape'!$J$5:$J$13)^($A68/4)*(1+$AD$5)^($A68/4)*((1-'3. Assumptions'!$B$13)/($AD$6)-'2. The tape'!$H$5:$H$13/12-'3. Assumptions'!$B$16)-'2. The tape'!$C$5:$C$13*'2. The tape'!$I$5:$I$13*(1+$AD$5)^($A68/4)))</f>
        <v>40515875.650705</v>
      </c>
      <c r="AF68" s="33" t="n">
        <f aca="false">'2. The tape'!$C$17*(1+MIN(MAX($AF$5,'3. Assumptions'!$B$11),'3. Assumptions'!$B$10))^INT(($A68-1)/4)/4*(1-'3. Assumptions'!$B$13)</f>
        <v>2998091.25</v>
      </c>
      <c r="AG68" s="33" t="n">
        <f aca="false">(1-'3. Assumptions'!$B$15)*SUMPRODUCT((('2. The tape'!$C$5:$C$13*'2. The tape'!$D$5:$D$13*(1-'2. The tape'!$J$5:$J$13)^($A68/4)*(1+$AF$5)^($A68/4)*((1-'3. Assumptions'!$B$13)/($AF$6)-'2. The tape'!$H$5:$H$13/12-'3. Assumptions'!$B$16)-'2. The tape'!$C$5:$C$13*'2. The tape'!$I$5:$I$13*(1+$AF$5)^($A68/4))&gt;0)*('2. The tape'!$C$5:$C$13*'2. The tape'!$D$5:$D$13*(1-'2. The tape'!$J$5:$J$13)^($A68/4)*(1+$AF$5)^($A68/4)*((1-'3. Assumptions'!$B$13)/($AF$6)-'2. The tape'!$H$5:$H$13/12-'3. Assumptions'!$B$16)-'2. The tape'!$C$5:$C$13*'2. The tape'!$I$5:$I$13*(1+$AF$5)^($A68/4)))</f>
        <v>40515875.650705</v>
      </c>
      <c r="AH68" s="33" t="n">
        <f aca="false">'2. The tape'!$C$17*(1+MIN(MAX($AH$5,'3. Assumptions'!$B$11),'3. Assumptions'!$B$10))^INT(($A68-1)/4)/4*(1-'3. Assumptions'!$B$13)</f>
        <v>3978382.1008863</v>
      </c>
      <c r="AI68" s="33" t="n">
        <f aca="false">(1-'3. Assumptions'!$B$15)*SUMPRODUCT((('2. The tape'!$C$5:$C$13*'2. The tape'!$D$5:$D$13*(1-'2. The tape'!$J$5:$J$13)^($A68/4)*(1+$AH$5)^($A68/4)*((1-'3. Assumptions'!$B$13)/($AH$6)-'2. The tape'!$H$5:$H$13/12-'3. Assumptions'!$B$16)-'2. The tape'!$C$5:$C$13*'2. The tape'!$I$5:$I$13*(1+$AH$5)^($A68/4))&gt;0)*('2. The tape'!$C$5:$C$13*'2. The tape'!$D$5:$D$13*(1-'2. The tape'!$J$5:$J$13)^($A68/4)*(1+$AH$5)^($A68/4)*((1-'3. Assumptions'!$B$13)/($AH$6)-'2. The tape'!$H$5:$H$13/12-'3. Assumptions'!$B$16)-'2. The tape'!$C$5:$C$13*'2. The tape'!$I$5:$I$13*(1+$AH$5)^($A68/4)))</f>
        <v>153574174.106944</v>
      </c>
      <c r="AJ68" s="33" t="n">
        <f aca="false">'2. The tape'!$C$17*(1+MIN(MAX($AJ$5,'3. Assumptions'!$B$11),'3. Assumptions'!$B$10))^INT(($A68-1)/4)/4*(1-'3. Assumptions'!$B$13)</f>
        <v>3978382.1008863</v>
      </c>
      <c r="AK68" s="33" t="n">
        <f aca="false">(1-'3. Assumptions'!$B$15)*SUMPRODUCT((('2. The tape'!$C$5:$C$13*'2. The tape'!$D$5:$D$13*(1-'2. The tape'!$J$5:$J$13)^($A68/4)*(1+$AJ$5)^($A68/4)*((1-'3. Assumptions'!$B$13)/($AJ$6)-'2. The tape'!$H$5:$H$13/12-'3. Assumptions'!$B$16)-'2. The tape'!$C$5:$C$13*'2. The tape'!$I$5:$I$13*(1+$AJ$5)^($A68/4))&gt;0)*('2. The tape'!$C$5:$C$13*'2. The tape'!$D$5:$D$13*(1-'2. The tape'!$J$5:$J$13)^($A68/4)*(1+$AJ$5)^($A68/4)*((1-'3. Assumptions'!$B$13)/($AJ$6)-'2. The tape'!$H$5:$H$13/12-'3. Assumptions'!$B$16)-'2. The tape'!$C$5:$C$13*'2. The tape'!$I$5:$I$13*(1+$AJ$5)^($A68/4)))</f>
        <v>110579565.360672</v>
      </c>
      <c r="AL68" s="33" t="n">
        <f aca="false">'2. The tape'!$C$17*(1+MIN(MAX($AL$5,'3. Assumptions'!$B$11),'3. Assumptions'!$B$10))^INT(($A68-1)/4)/4*(1-'3. Assumptions'!$B$13)</f>
        <v>3978382.1008863</v>
      </c>
      <c r="AM68" s="33" t="n">
        <f aca="false">(1-'3. Assumptions'!$B$15)*SUMPRODUCT((('2. The tape'!$C$5:$C$13*'2. The tape'!$D$5:$D$13*(1-'2. The tape'!$J$5:$J$13)^($A68/4)*(1+$AL$5)^($A68/4)*((1-'3. Assumptions'!$B$13)/($AL$6)-'2. The tape'!$H$5:$H$13/12-'3. Assumptions'!$B$16)-'2. The tape'!$C$5:$C$13*'2. The tape'!$I$5:$I$13*(1+$AL$5)^($A68/4))&gt;0)*('2. The tape'!$C$5:$C$13*'2. The tape'!$D$5:$D$13*(1-'2. The tape'!$J$5:$J$13)^($A68/4)*(1+$AL$5)^($A68/4)*((1-'3. Assumptions'!$B$13)/($AL$6)-'2. The tape'!$H$5:$H$13/12-'3. Assumptions'!$B$16)-'2. The tape'!$C$5:$C$13*'2. The tape'!$I$5:$I$13*(1+$AL$5)^($A68/4)))</f>
        <v>127254742.746109</v>
      </c>
      <c r="AN68" s="33" t="n">
        <f aca="false">'2. The tape'!$C$17*(1+MIN(MAX($AN$5,'3. Assumptions'!$B$11),'3. Assumptions'!$B$10))^INT(($A68-1)/4)/4*(1-'3. Assumptions'!$B$13)</f>
        <v>3978382.1008863</v>
      </c>
      <c r="AO68" s="33" t="n">
        <f aca="false">(1-'3. Assumptions'!$B$15)*SUMPRODUCT((('2. The tape'!$C$5:$C$13*'2. The tape'!$D$5:$D$13*(1-'2. The tape'!$J$5:$J$13)^($A68/4)*(1+$AN$5)^($A68/4)*((1-'3. Assumptions'!$B$13)/($AN$6)-'2. The tape'!$H$5:$H$13/12-'3. Assumptions'!$B$16)-'2. The tape'!$C$5:$C$13*'2. The tape'!$I$5:$I$13*(1+$AN$5)^($A68/4))&gt;0)*('2. The tape'!$C$5:$C$13*'2. The tape'!$D$5:$D$13*(1-'2. The tape'!$J$5:$J$13)^($A68/4)*(1+$AN$5)^($A68/4)*((1-'3. Assumptions'!$B$13)/($AN$6)-'2. The tape'!$H$5:$H$13/12-'3. Assumptions'!$B$16)-'2. The tape'!$C$5:$C$13*'2. The tape'!$I$5:$I$13*(1+$AN$5)^($A68/4)))</f>
        <v>130376848.033343</v>
      </c>
      <c r="AP68" s="33" t="n">
        <f aca="false">'2. The tape'!$C$17*(1+MIN(MAX($AP$5,'3. Assumptions'!$B$11),'3. Assumptions'!$B$10))^INT(($A68-1)/4)/4*(1-'3. Assumptions'!$B$13)</f>
        <v>3978382.1008863</v>
      </c>
      <c r="AQ68" s="33" t="n">
        <f aca="false">(1-'3. Assumptions'!$B$15)*SUMPRODUCT((('2. The tape'!$C$5:$C$13*'2. The tape'!$D$5:$D$13*(1-'2. The tape'!$J$5:$J$13)^($A68/4)*(1+$AP$5)^($A68/4)*((1-'3. Assumptions'!$B$13)/($AP$6)-'2. The tape'!$H$5:$H$13/12-'3. Assumptions'!$B$16)-'2. The tape'!$C$5:$C$13*'2. The tape'!$I$5:$I$13*(1+$AP$5)^($A68/4))&gt;0)*('2. The tape'!$C$5:$C$13*'2. The tape'!$D$5:$D$13*(1-'2. The tape'!$J$5:$J$13)^($A68/4)*(1+$AP$5)^($A68/4)*((1-'3. Assumptions'!$B$13)/($AP$6)-'2. The tape'!$H$5:$H$13/12-'3. Assumptions'!$B$16)-'2. The tape'!$C$5:$C$13*'2. The tape'!$I$5:$I$13*(1+$AP$5)^($A68/4)))</f>
        <v>129991430.542311</v>
      </c>
      <c r="AR68" s="33" t="n">
        <f aca="false">'2. The tape'!$C$17*(1+MIN(MAX($AR$5,'3. Assumptions'!$B$11),'3. Assumptions'!$B$10))^INT(($A68-1)/4)/4*(1-'3. Assumptions'!$B$13)</f>
        <v>3978382.1008863</v>
      </c>
      <c r="AS68" s="33" t="n">
        <f aca="false">(1-'3. Assumptions'!$B$15)*SUMPRODUCT((('2. The tape'!$C$5:$C$13*'2. The tape'!$D$5:$D$13*(1-'2. The tape'!$J$5:$J$13)^($A68/4)*(1+$AR$5)^($A68/4)*((1-'3. Assumptions'!$B$13)/($AR$6)-'2. The tape'!$H$5:$H$13/12-'3. Assumptions'!$B$16)-'2. The tape'!$C$5:$C$13*'2. The tape'!$I$5:$I$13*(1+$AR$5)^($A68/4))&gt;0)*('2. The tape'!$C$5:$C$13*'2. The tape'!$D$5:$D$13*(1-'2. The tape'!$J$5:$J$13)^($A68/4)*(1+$AR$5)^($A68/4)*((1-'3. Assumptions'!$B$13)/($AR$6)-'2. The tape'!$H$5:$H$13/12-'3. Assumptions'!$B$16)-'2. The tape'!$C$5:$C$13*'2. The tape'!$I$5:$I$13*(1+$AR$5)^($A68/4)))</f>
        <v>129997897.295759</v>
      </c>
      <c r="AT68" s="33" t="n">
        <f aca="false">'2. The tape'!$C$17*(1+MIN(MAX($AT$5,'3. Assumptions'!$B$11),'3. Assumptions'!$B$10))^INT(($A68-1)/4)/4*(1-'3. Assumptions'!$B$13)</f>
        <v>3978382.1008863</v>
      </c>
      <c r="AU68" s="33" t="n">
        <f aca="false">(1-'3. Assumptions'!$B$15)*SUMPRODUCT((('2. The tape'!$C$5:$C$13*'2. The tape'!$D$5:$D$13*(1-'2. The tape'!$J$5:$J$13)^($A68/4)*(1+$AT$5)^($A68/4)*((1-'3. Assumptions'!$B$13)/($AT$6)-'2. The tape'!$H$5:$H$13/12-'3. Assumptions'!$B$16)-'2. The tape'!$C$5:$C$13*'2. The tape'!$I$5:$I$13*(1+$AT$5)^($A68/4))&gt;0)*('2. The tape'!$C$5:$C$13*'2. The tape'!$D$5:$D$13*(1-'2. The tape'!$J$5:$J$13)^($A68/4)*(1+$AT$5)^($A68/4)*((1-'3. Assumptions'!$B$13)/($AT$6)-'2. The tape'!$H$5:$H$13/12-'3. Assumptions'!$B$16)-'2. The tape'!$C$5:$C$13*'2. The tape'!$I$5:$I$13*(1+$AT$5)^($A68/4)))</f>
        <v>129997912.355201</v>
      </c>
      <c r="AV68" s="33" t="n">
        <f aca="false">'2. The tape'!$C$17*(1+MIN(MAX($AV$5,'3. Assumptions'!$B$11),'3. Assumptions'!$B$10))^INT(($A68-1)/4)/4*(1-'3. Assumptions'!$B$13)</f>
        <v>3978382.1008863</v>
      </c>
      <c r="AW68" s="33" t="n">
        <f aca="false">(1-'3. Assumptions'!$B$15)*SUMPRODUCT((('2. The tape'!$C$5:$C$13*'2. The tape'!$D$5:$D$13*(1-'2. The tape'!$J$5:$J$13)^($A68/4)*(1+$AV$5)^($A68/4)*((1-'3. Assumptions'!$B$13)/($AV$6)-'2. The tape'!$H$5:$H$13/12-'3. Assumptions'!$B$16)-'2. The tape'!$C$5:$C$13*'2. The tape'!$I$5:$I$13*(1+$AV$5)^($A68/4))&gt;0)*('2. The tape'!$C$5:$C$13*'2. The tape'!$D$5:$D$13*(1-'2. The tape'!$J$5:$J$13)^($A68/4)*(1+$AV$5)^($A68/4)*((1-'3. Assumptions'!$B$13)/($AV$6)-'2. The tape'!$H$5:$H$13/12-'3. Assumptions'!$B$16)-'2. The tape'!$C$5:$C$13*'2. The tape'!$I$5:$I$13*(1+$AV$5)^($A68/4)))</f>
        <v>129997912.354601</v>
      </c>
      <c r="AX68" s="33" t="n">
        <f aca="false">'2. The tape'!$C$17*(1+MIN(MAX($AX$5,'3. Assumptions'!$B$11),'3. Assumptions'!$B$10))^INT(($A68-1)/4)/4*(1-'3. Assumptions'!$B$13)</f>
        <v>3978382.1008863</v>
      </c>
      <c r="AY68" s="33" t="n">
        <f aca="false">(1-'3. Assumptions'!$B$15)*SUMPRODUCT((('2. The tape'!$C$5:$C$13*'2. The tape'!$D$5:$D$13*(1-'2. The tape'!$J$5:$J$13)^($A68/4)*(1+$AX$5)^($A68/4)*((1-'3. Assumptions'!$B$13)/($AX$6)-'2. The tape'!$H$5:$H$13/12-'3. Assumptions'!$B$16)-'2. The tape'!$C$5:$C$13*'2. The tape'!$I$5:$I$13*(1+$AX$5)^($A68/4))&gt;0)*('2. The tape'!$C$5:$C$13*'2. The tape'!$D$5:$D$13*(1-'2. The tape'!$J$5:$J$13)^($A68/4)*(1+$AX$5)^($A68/4)*((1-'3. Assumptions'!$B$13)/($AX$6)-'2. The tape'!$H$5:$H$13/12-'3. Assumptions'!$B$16)-'2. The tape'!$C$5:$C$13*'2. The tape'!$I$5:$I$13*(1+$AX$5)^($A68/4)))</f>
        <v>129997912.354601</v>
      </c>
      <c r="AZ68" s="33" t="n">
        <f aca="false">'2. The tape'!$C$17*(1+MIN(MAX($AZ$5,'3. Assumptions'!$B$11),'3. Assumptions'!$B$10))^INT(($A68-1)/4)/4*(1-'3. Assumptions'!$B$13)</f>
        <v>3978382.1008863</v>
      </c>
      <c r="BA68" s="33" t="n">
        <f aca="false">(1-'3. Assumptions'!$B$15)*SUMPRODUCT((('2. The tape'!$C$5:$C$13*'2. The tape'!$D$5:$D$13*(1-'2. The tape'!$J$5:$J$13)^($A68/4)*(1+$AZ$5)^($A68/4)*((1-'3. Assumptions'!$B$13)/($AZ$6)-'2. The tape'!$H$5:$H$13/12-'3. Assumptions'!$B$16)-'2. The tape'!$C$5:$C$13*'2. The tape'!$I$5:$I$13*(1+$AZ$5)^($A68/4))&gt;0)*('2. The tape'!$C$5:$C$13*'2. The tape'!$D$5:$D$13*(1-'2. The tape'!$J$5:$J$13)^($A68/4)*(1+$AZ$5)^($A68/4)*((1-'3. Assumptions'!$B$13)/($AZ$6)-'2. The tape'!$H$5:$H$13/12-'3. Assumptions'!$B$16)-'2. The tape'!$C$5:$C$13*'2. The tape'!$I$5:$I$13*(1+$AZ$5)^($A68/4)))</f>
        <v>129997912.354601</v>
      </c>
    </row>
    <row r="69" customFormat="false" ht="15" hidden="false" customHeight="false" outlineLevel="0" collapsed="false">
      <c r="A69" s="20" t="n">
        <v>54</v>
      </c>
      <c r="B69" s="33" t="n">
        <f aca="false">'2. The tape'!$C$17*(1+MIN(MAX($B$5,'3. Assumptions'!$B$11),'3. Assumptions'!$B$10))^INT(($A69-1)/4)/4*(1-'3. Assumptions'!$B$13)</f>
        <v>3978382.1008863</v>
      </c>
      <c r="C69" s="33" t="n">
        <f aca="false">(1-'3. Assumptions'!$B$15)*SUMPRODUCT((('2. The tape'!$C$5:$C$13*'2. The tape'!$D$5:$D$13*(1-'2. The tape'!$J$5:$J$13)^($A69/4)*(1+$B$5)^($A69/4)*((1-'3. Assumptions'!$B$13)/($B$6)-'2. The tape'!$H$5:$H$13/12-'3. Assumptions'!$B$16)-'2. The tape'!$C$5:$C$13*'2. The tape'!$I$5:$I$13*(1+$B$5)^($A69/4))&gt;0)*('2. The tape'!$C$5:$C$13*'2. The tape'!$D$5:$D$13*(1-'2. The tape'!$J$5:$J$13)^($A69/4)*(1+$B$5)^($A69/4)*((1-'3. Assumptions'!$B$13)/($B$6)-'2. The tape'!$H$5:$H$13/12-'3. Assumptions'!$B$16)-'2. The tape'!$C$5:$C$13*'2. The tape'!$I$5:$I$13*(1+$B$5)^($A69/4)))</f>
        <v>76755966.9883424</v>
      </c>
      <c r="D69" s="33" t="n">
        <f aca="false">'2. The tape'!$C$17*(1+MIN(MAX($D$5,'3. Assumptions'!$B$11),'3. Assumptions'!$B$10))^INT(($A69-1)/4)/4*(1-'3. Assumptions'!$B$13)</f>
        <v>4402798.07662914</v>
      </c>
      <c r="E69" s="33" t="n">
        <f aca="false">(1-'3. Assumptions'!$B$15)*SUMPRODUCT((('2. The tape'!$C$5:$C$13*'2. The tape'!$D$5:$D$13*(1-'2. The tape'!$J$5:$J$13)^($A69/4)*(1+$D$5)^($A69/4)*((1-'3. Assumptions'!$B$13)/($D$6)-'2. The tape'!$H$5:$H$13/12-'3. Assumptions'!$B$16)-'2. The tape'!$C$5:$C$13*'2. The tape'!$I$5:$I$13*(1+$D$5)^($A69/4))&gt;0)*('2. The tape'!$C$5:$C$13*'2. The tape'!$D$5:$D$13*(1-'2. The tape'!$J$5:$J$13)^($A69/4)*(1+$D$5)^($A69/4)*((1-'3. Assumptions'!$B$13)/($D$6)-'2. The tape'!$H$5:$H$13/12-'3. Assumptions'!$B$16)-'2. The tape'!$C$5:$C$13*'2. The tape'!$I$5:$I$13*(1+$D$5)^($A69/4)))</f>
        <v>91037385.4121941</v>
      </c>
      <c r="F69" s="33" t="n">
        <f aca="false">'2. The tape'!$C$17*(1+MIN(MAX($F$5,'3. Assumptions'!$B$11),'3. Assumptions'!$B$10))^INT(($A69-1)/4)/4*(1-'3. Assumptions'!$B$13)</f>
        <v>3412107.50575084</v>
      </c>
      <c r="G69" s="33" t="n">
        <f aca="false">(1-'3. Assumptions'!$B$15)*SUMPRODUCT((('2. The tape'!$C$5:$C$13*'2. The tape'!$D$5:$D$13*(1-'2. The tape'!$J$5:$J$13)^($A69/4)*(1+$F$5)^($A69/4)*((1-'3. Assumptions'!$B$13)/($F$6)-'2. The tape'!$H$5:$H$13/12-'3. Assumptions'!$B$16)-'2. The tape'!$C$5:$C$13*'2. The tape'!$I$5:$I$13*(1+$F$5)^($A69/4))&gt;0)*('2. The tape'!$C$5:$C$13*'2. The tape'!$D$5:$D$13*(1-'2. The tape'!$J$5:$J$13)^($A69/4)*(1+$F$5)^($A69/4)*((1-'3. Assumptions'!$B$13)/($F$6)-'2. The tape'!$H$5:$H$13/12-'3. Assumptions'!$B$16)-'2. The tape'!$C$5:$C$13*'2. The tape'!$I$5:$I$13*(1+$F$5)^($A69/4)))</f>
        <v>65443060.3335371</v>
      </c>
      <c r="H69" s="33" t="n">
        <f aca="false">'2. The tape'!$C$17*(1+MIN(MAX($H$5,'3. Assumptions'!$B$11),'3. Assumptions'!$B$10))^INT(($A69-1)/4)/4*(1-'3. Assumptions'!$B$13)</f>
        <v>4402798.07662914</v>
      </c>
      <c r="I69" s="33" t="n">
        <f aca="false">(1-'3. Assumptions'!$B$15)*SUMPRODUCT((('2. The tape'!$C$5:$C$13*'2. The tape'!$D$5:$D$13*(1-'2. The tape'!$J$5:$J$13)^($A69/4)*(1+$H$5)^($A69/4)*((1-'3. Assumptions'!$B$13)/($H$6)-'2. The tape'!$H$5:$H$13/12-'3. Assumptions'!$B$16)-'2. The tape'!$C$5:$C$13*'2. The tape'!$I$5:$I$13*(1+$H$5)^($A69/4))&gt;0)*('2. The tape'!$C$5:$C$13*'2. The tape'!$D$5:$D$13*(1-'2. The tape'!$J$5:$J$13)^($A69/4)*(1+$H$5)^($A69/4)*((1-'3. Assumptions'!$B$13)/($H$6)-'2. The tape'!$H$5:$H$13/12-'3. Assumptions'!$B$16)-'2. The tape'!$C$5:$C$13*'2. The tape'!$I$5:$I$13*(1+$H$5)^($A69/4)))</f>
        <v>91037385.4121941</v>
      </c>
      <c r="J69" s="33" t="n">
        <f aca="false">'2. The tape'!$C$17*(1+MIN(MAX($J$5,'3. Assumptions'!$B$11),'3. Assumptions'!$B$10))^INT(($A69-1)/4)/4*(1-'3. Assumptions'!$B$13)</f>
        <v>3978382.1008863</v>
      </c>
      <c r="K69" s="33" t="n">
        <f aca="false">(1-'3. Assumptions'!$B$15)*SUMPRODUCT((('2. The tape'!$C$5:$C$13*'2. The tape'!$D$5:$D$13*(1-'2. The tape'!$J$5:$J$13)^($A69/4)*(1+$J$5)^($A69/4)*((1-'3. Assumptions'!$B$13)/($J$6)-'2. The tape'!$H$5:$H$13/12-'3. Assumptions'!$B$16)-'2. The tape'!$C$5:$C$13*'2. The tape'!$I$5:$I$13*(1+$J$5)^($A69/4))&gt;0)*('2. The tape'!$C$5:$C$13*'2. The tape'!$D$5:$D$13*(1-'2. The tape'!$J$5:$J$13)^($A69/4)*(1+$J$5)^($A69/4)*((1-'3. Assumptions'!$B$13)/($J$6)-'2. The tape'!$H$5:$H$13/12-'3. Assumptions'!$B$16)-'2. The tape'!$C$5:$C$13*'2. The tape'!$I$5:$I$13*(1+$J$5)^($A69/4)))</f>
        <v>62705830.088398</v>
      </c>
      <c r="L69" s="33" t="n">
        <f aca="false">'2. The tape'!$C$17*(1+MIN(MAX($L$5,'3. Assumptions'!$B$11),'3. Assumptions'!$B$10))^INT(($A69-1)/4)/4*(1-'3. Assumptions'!$B$13)</f>
        <v>4402798.07662914</v>
      </c>
      <c r="M69" s="33" t="n">
        <f aca="false">(1-'3. Assumptions'!$B$15)*SUMPRODUCT((('2. The tape'!$C$5:$C$13*'2. The tape'!$D$5:$D$13*(1-'2. The tape'!$J$5:$J$13)^($A69/4)*(1+$L$5)^($A69/4)*((1-'3. Assumptions'!$B$13)/($L$6)-'2. The tape'!$H$5:$H$13/12-'3. Assumptions'!$B$16)-'2. The tape'!$C$5:$C$13*'2. The tape'!$I$5:$I$13*(1+$L$5)^($A69/4))&gt;0)*('2. The tape'!$C$5:$C$13*'2. The tape'!$D$5:$D$13*(1-'2. The tape'!$J$5:$J$13)^($A69/4)*(1+$L$5)^($A69/4)*((1-'3. Assumptions'!$B$13)/($L$6)-'2. The tape'!$H$5:$H$13/12-'3. Assumptions'!$B$16)-'2. The tape'!$C$5:$C$13*'2. The tape'!$I$5:$I$13*(1+$L$5)^($A69/4)))</f>
        <v>1975878839.6917</v>
      </c>
      <c r="N69" s="33" t="n">
        <f aca="false">'2. The tape'!$C$17*(1+MIN(MAX($N$5,'3. Assumptions'!$B$11),'3. Assumptions'!$B$10))^INT(($A69-1)/4)/4*(1-'3. Assumptions'!$B$13)</f>
        <v>2998091.25</v>
      </c>
      <c r="O69" s="33" t="n">
        <f aca="false">(1-'3. Assumptions'!$B$15)*SUMPRODUCT((('2. The tape'!$C$5:$C$13*'2. The tape'!$D$5:$D$13*(1-'2. The tape'!$J$5:$J$13)^($A69/4)*(1+$N$5)^($A69/4)*((1-'3. Assumptions'!$B$13)/($N$6)-'2. The tape'!$H$5:$H$13/12-'3. Assumptions'!$B$16)-'2. The tape'!$C$5:$C$13*'2. The tape'!$I$5:$I$13*(1+$N$5)^($A69/4))&gt;0)*('2. The tape'!$C$5:$C$13*'2. The tape'!$D$5:$D$13*(1-'2. The tape'!$J$5:$J$13)^($A69/4)*(1+$N$5)^($A69/4)*((1-'3. Assumptions'!$B$13)/($N$6)-'2. The tape'!$H$5:$H$13/12-'3. Assumptions'!$B$16)-'2. The tape'!$C$5:$C$13*'2. The tape'!$I$5:$I$13*(1+$N$5)^($A69/4)))</f>
        <v>37926561.1727785</v>
      </c>
      <c r="P69" s="33" t="n">
        <f aca="false">'2. The tape'!$C$17*(1+MIN(MAX($P$5,'3. Assumptions'!$B$11),'3. Assumptions'!$B$10))^INT(($A69-1)/4)/4*(1-'3. Assumptions'!$B$13)</f>
        <v>2998091.25</v>
      </c>
      <c r="Q69" s="33" t="n">
        <f aca="false">(1-'3. Assumptions'!$B$15)*SUMPRODUCT((('2. The tape'!$C$5:$C$13*'2. The tape'!$D$5:$D$13*(1-'2. The tape'!$J$5:$J$13)^($A69/4)*(1+$P$5)^($A69/4)*((1-'3. Assumptions'!$B$13)/($P$6)-'2. The tape'!$H$5:$H$13/12-'3. Assumptions'!$B$16)-'2. The tape'!$C$5:$C$13*'2. The tape'!$I$5:$I$13*(1+$P$5)^($A69/4))&gt;0)*('2. The tape'!$C$5:$C$13*'2. The tape'!$D$5:$D$13*(1-'2. The tape'!$J$5:$J$13)^($A69/4)*(1+$P$5)^($A69/4)*((1-'3. Assumptions'!$B$13)/($P$6)-'2. The tape'!$H$5:$H$13/12-'3. Assumptions'!$B$16)-'2. The tape'!$C$5:$C$13*'2. The tape'!$I$5:$I$13*(1+$P$5)^($A69/4)))</f>
        <v>43558917.2564766</v>
      </c>
      <c r="R69" s="33" t="n">
        <f aca="false">'2. The tape'!$C$17*(1+MIN(MAX($R$5,'3. Assumptions'!$B$11),'3. Assumptions'!$B$10))^INT(($A69-1)/4)/4*(1-'3. Assumptions'!$B$13)</f>
        <v>2998091.25</v>
      </c>
      <c r="S69" s="33" t="n">
        <f aca="false">(1-'3. Assumptions'!$B$15)*SUMPRODUCT((('2. The tape'!$C$5:$C$13*'2. The tape'!$D$5:$D$13*(1-'2. The tape'!$J$5:$J$13)^($A69/4)*(1+$R$5)^($A69/4)*((1-'3. Assumptions'!$B$13)/($R$6)-'2. The tape'!$H$5:$H$13/12-'3. Assumptions'!$B$16)-'2. The tape'!$C$5:$C$13*'2. The tape'!$I$5:$I$13*(1+$R$5)^($A69/4))&gt;0)*('2. The tape'!$C$5:$C$13*'2. The tape'!$D$5:$D$13*(1-'2. The tape'!$J$5:$J$13)^($A69/4)*(1+$R$5)^($A69/4)*((1-'3. Assumptions'!$B$13)/($R$6)-'2. The tape'!$H$5:$H$13/12-'3. Assumptions'!$B$16)-'2. The tape'!$C$5:$C$13*'2. The tape'!$I$5:$I$13*(1+$R$5)^($A69/4)))</f>
        <v>40063500.3878016</v>
      </c>
      <c r="T69" s="33" t="n">
        <f aca="false">'2. The tape'!$C$17*(1+MIN(MAX($T$5,'3. Assumptions'!$B$11),'3. Assumptions'!$B$10))^INT(($A69-1)/4)/4*(1-'3. Assumptions'!$B$13)</f>
        <v>2998091.25</v>
      </c>
      <c r="U69" s="33" t="n">
        <f aca="false">(1-'3. Assumptions'!$B$15)*SUMPRODUCT((('2. The tape'!$C$5:$C$13*'2. The tape'!$D$5:$D$13*(1-'2. The tape'!$J$5:$J$13)^($A69/4)*(1+$T$5)^($A69/4)*((1-'3. Assumptions'!$B$13)/($T$6)-'2. The tape'!$H$5:$H$13/12-'3. Assumptions'!$B$16)-'2. The tape'!$C$5:$C$13*'2. The tape'!$I$5:$I$13*(1+$T$5)^($A69/4))&gt;0)*('2. The tape'!$C$5:$C$13*'2. The tape'!$D$5:$D$13*(1-'2. The tape'!$J$5:$J$13)^($A69/4)*(1+$T$5)^($A69/4)*((1-'3. Assumptions'!$B$13)/($T$6)-'2. The tape'!$H$5:$H$13/12-'3. Assumptions'!$B$16)-'2. The tape'!$C$5:$C$13*'2. The tape'!$I$5:$I$13*(1+$T$5)^($A69/4)))</f>
        <v>39972414.6193374</v>
      </c>
      <c r="V69" s="33" t="n">
        <f aca="false">'2. The tape'!$C$17*(1+MIN(MAX($V$5,'3. Assumptions'!$B$11),'3. Assumptions'!$B$10))^INT(($A69-1)/4)/4*(1-'3. Assumptions'!$B$13)</f>
        <v>2998091.25</v>
      </c>
      <c r="W69" s="33" t="n">
        <f aca="false">(1-'3. Assumptions'!$B$15)*SUMPRODUCT((('2. The tape'!$C$5:$C$13*'2. The tape'!$D$5:$D$13*(1-'2. The tape'!$J$5:$J$13)^($A69/4)*(1+$V$5)^($A69/4)*((1-'3. Assumptions'!$B$13)/($V$6)-'2. The tape'!$H$5:$H$13/12-'3. Assumptions'!$B$16)-'2. The tape'!$C$5:$C$13*'2. The tape'!$I$5:$I$13*(1+$V$5)^($A69/4))&gt;0)*('2. The tape'!$C$5:$C$13*'2. The tape'!$D$5:$D$13*(1-'2. The tape'!$J$5:$J$13)^($A69/4)*(1+$V$5)^($A69/4)*((1-'3. Assumptions'!$B$13)/($V$6)-'2. The tape'!$H$5:$H$13/12-'3. Assumptions'!$B$16)-'2. The tape'!$C$5:$C$13*'2. The tape'!$I$5:$I$13*(1+$V$5)^($A69/4)))</f>
        <v>39976070.6575704</v>
      </c>
      <c r="X69" s="33" t="n">
        <f aca="false">'2. The tape'!$C$17*(1+MIN(MAX($X$5,'3. Assumptions'!$B$11),'3. Assumptions'!$B$10))^INT(($A69-1)/4)/4*(1-'3. Assumptions'!$B$13)</f>
        <v>2998091.25</v>
      </c>
      <c r="Y69" s="33" t="n">
        <f aca="false">(1-'3. Assumptions'!$B$15)*SUMPRODUCT((('2. The tape'!$C$5:$C$13*'2. The tape'!$D$5:$D$13*(1-'2. The tape'!$J$5:$J$13)^($A69/4)*(1+$X$5)^($A69/4)*((1-'3. Assumptions'!$B$13)/($X$6)-'2. The tape'!$H$5:$H$13/12-'3. Assumptions'!$B$16)-'2. The tape'!$C$5:$C$13*'2. The tape'!$I$5:$I$13*(1+$X$5)^($A69/4))&gt;0)*('2. The tape'!$C$5:$C$13*'2. The tape'!$D$5:$D$13*(1-'2. The tape'!$J$5:$J$13)^($A69/4)*(1+$X$5)^($A69/4)*((1-'3. Assumptions'!$B$13)/($X$6)-'2. The tape'!$H$5:$H$13/12-'3. Assumptions'!$B$16)-'2. The tape'!$C$5:$C$13*'2. The tape'!$I$5:$I$13*(1+$X$5)^($A69/4)))</f>
        <v>39976066.8128561</v>
      </c>
      <c r="Z69" s="33" t="n">
        <f aca="false">'2. The tape'!$C$17*(1+MIN(MAX($Z$5,'3. Assumptions'!$B$11),'3. Assumptions'!$B$10))^INT(($A69-1)/4)/4*(1-'3. Assumptions'!$B$13)</f>
        <v>2998091.25</v>
      </c>
      <c r="AA69" s="33" t="n">
        <f aca="false">(1-'3. Assumptions'!$B$15)*SUMPRODUCT((('2. The tape'!$C$5:$C$13*'2. The tape'!$D$5:$D$13*(1-'2. The tape'!$J$5:$J$13)^($A69/4)*(1+$Z$5)^($A69/4)*((1-'3. Assumptions'!$B$13)/($Z$6)-'2. The tape'!$H$5:$H$13/12-'3. Assumptions'!$B$16)-'2. The tape'!$C$5:$C$13*'2. The tape'!$I$5:$I$13*(1+$Z$5)^($A69/4))&gt;0)*('2. The tape'!$C$5:$C$13*'2. The tape'!$D$5:$D$13*(1-'2. The tape'!$J$5:$J$13)^($A69/4)*(1+$Z$5)^($A69/4)*((1-'3. Assumptions'!$B$13)/($Z$6)-'2. The tape'!$H$5:$H$13/12-'3. Assumptions'!$B$16)-'2. The tape'!$C$5:$C$13*'2. The tape'!$I$5:$I$13*(1+$Z$5)^($A69/4)))</f>
        <v>39976066.8126869</v>
      </c>
      <c r="AB69" s="33" t="n">
        <f aca="false">'2. The tape'!$C$17*(1+MIN(MAX($AB$5,'3. Assumptions'!$B$11),'3. Assumptions'!$B$10))^INT(($A69-1)/4)/4*(1-'3. Assumptions'!$B$13)</f>
        <v>2998091.25</v>
      </c>
      <c r="AC69" s="33" t="n">
        <f aca="false">(1-'3. Assumptions'!$B$15)*SUMPRODUCT((('2. The tape'!$C$5:$C$13*'2. The tape'!$D$5:$D$13*(1-'2. The tape'!$J$5:$J$13)^($A69/4)*(1+$AB$5)^($A69/4)*((1-'3. Assumptions'!$B$13)/($AB$6)-'2. The tape'!$H$5:$H$13/12-'3. Assumptions'!$B$16)-'2. The tape'!$C$5:$C$13*'2. The tape'!$I$5:$I$13*(1+$AB$5)^($A69/4))&gt;0)*('2. The tape'!$C$5:$C$13*'2. The tape'!$D$5:$D$13*(1-'2. The tape'!$J$5:$J$13)^($A69/4)*(1+$AB$5)^($A69/4)*((1-'3. Assumptions'!$B$13)/($AB$6)-'2. The tape'!$H$5:$H$13/12-'3. Assumptions'!$B$16)-'2. The tape'!$C$5:$C$13*'2. The tape'!$I$5:$I$13*(1+$AB$5)^($A69/4)))</f>
        <v>39976066.8126869</v>
      </c>
      <c r="AD69" s="33" t="n">
        <f aca="false">'2. The tape'!$C$17*(1+MIN(MAX($AD$5,'3. Assumptions'!$B$11),'3. Assumptions'!$B$10))^INT(($A69-1)/4)/4*(1-'3. Assumptions'!$B$13)</f>
        <v>2998091.25</v>
      </c>
      <c r="AE69" s="33" t="n">
        <f aca="false">(1-'3. Assumptions'!$B$15)*SUMPRODUCT((('2. The tape'!$C$5:$C$13*'2. The tape'!$D$5:$D$13*(1-'2. The tape'!$J$5:$J$13)^($A69/4)*(1+$AD$5)^($A69/4)*((1-'3. Assumptions'!$B$13)/($AD$6)-'2. The tape'!$H$5:$H$13/12-'3. Assumptions'!$B$16)-'2. The tape'!$C$5:$C$13*'2. The tape'!$I$5:$I$13*(1+$AD$5)^($A69/4))&gt;0)*('2. The tape'!$C$5:$C$13*'2. The tape'!$D$5:$D$13*(1-'2. The tape'!$J$5:$J$13)^($A69/4)*(1+$AD$5)^($A69/4)*((1-'3. Assumptions'!$B$13)/($AD$6)-'2. The tape'!$H$5:$H$13/12-'3. Assumptions'!$B$16)-'2. The tape'!$C$5:$C$13*'2. The tape'!$I$5:$I$13*(1+$AD$5)^($A69/4)))</f>
        <v>39976066.8126869</v>
      </c>
      <c r="AF69" s="33" t="n">
        <f aca="false">'2. The tape'!$C$17*(1+MIN(MAX($AF$5,'3. Assumptions'!$B$11),'3. Assumptions'!$B$10))^INT(($A69-1)/4)/4*(1-'3. Assumptions'!$B$13)</f>
        <v>2998091.25</v>
      </c>
      <c r="AG69" s="33" t="n">
        <f aca="false">(1-'3. Assumptions'!$B$15)*SUMPRODUCT((('2. The tape'!$C$5:$C$13*'2. The tape'!$D$5:$D$13*(1-'2. The tape'!$J$5:$J$13)^($A69/4)*(1+$AF$5)^($A69/4)*((1-'3. Assumptions'!$B$13)/($AF$6)-'2. The tape'!$H$5:$H$13/12-'3. Assumptions'!$B$16)-'2. The tape'!$C$5:$C$13*'2. The tape'!$I$5:$I$13*(1+$AF$5)^($A69/4))&gt;0)*('2. The tape'!$C$5:$C$13*'2. The tape'!$D$5:$D$13*(1-'2. The tape'!$J$5:$J$13)^($A69/4)*(1+$AF$5)^($A69/4)*((1-'3. Assumptions'!$B$13)/($AF$6)-'2. The tape'!$H$5:$H$13/12-'3. Assumptions'!$B$16)-'2. The tape'!$C$5:$C$13*'2. The tape'!$I$5:$I$13*(1+$AF$5)^($A69/4)))</f>
        <v>39976066.8126869</v>
      </c>
      <c r="AH69" s="33" t="n">
        <f aca="false">'2. The tape'!$C$17*(1+MIN(MAX($AH$5,'3. Assumptions'!$B$11),'3. Assumptions'!$B$10))^INT(($A69-1)/4)/4*(1-'3. Assumptions'!$B$13)</f>
        <v>3978382.1008863</v>
      </c>
      <c r="AI69" s="33" t="n">
        <f aca="false">(1-'3. Assumptions'!$B$15)*SUMPRODUCT((('2. The tape'!$C$5:$C$13*'2. The tape'!$D$5:$D$13*(1-'2. The tape'!$J$5:$J$13)^($A69/4)*(1+$AH$5)^($A69/4)*((1-'3. Assumptions'!$B$13)/($AH$6)-'2. The tape'!$H$5:$H$13/12-'3. Assumptions'!$B$16)-'2. The tape'!$C$5:$C$13*'2. The tape'!$I$5:$I$13*(1+$AH$5)^($A69/4))&gt;0)*('2. The tape'!$C$5:$C$13*'2. The tape'!$D$5:$D$13*(1-'2. The tape'!$J$5:$J$13)^($A69/4)*(1+$AH$5)^($A69/4)*((1-'3. Assumptions'!$B$13)/($AH$6)-'2. The tape'!$H$5:$H$13/12-'3. Assumptions'!$B$16)-'2. The tape'!$C$5:$C$13*'2. The tape'!$I$5:$I$13*(1+$AH$5)^($A69/4)))</f>
        <v>153469714.462039</v>
      </c>
      <c r="AJ69" s="33" t="n">
        <f aca="false">'2. The tape'!$C$17*(1+MIN(MAX($AJ$5,'3. Assumptions'!$B$11),'3. Assumptions'!$B$10))^INT(($A69-1)/4)/4*(1-'3. Assumptions'!$B$13)</f>
        <v>3978382.1008863</v>
      </c>
      <c r="AK69" s="33" t="n">
        <f aca="false">(1-'3. Assumptions'!$B$15)*SUMPRODUCT((('2. The tape'!$C$5:$C$13*'2. The tape'!$D$5:$D$13*(1-'2. The tape'!$J$5:$J$13)^($A69/4)*(1+$AJ$5)^($A69/4)*((1-'3. Assumptions'!$B$13)/($AJ$6)-'2. The tape'!$H$5:$H$13/12-'3. Assumptions'!$B$16)-'2. The tape'!$C$5:$C$13*'2. The tape'!$I$5:$I$13*(1+$AJ$5)^($A69/4))&gt;0)*('2. The tape'!$C$5:$C$13*'2. The tape'!$D$5:$D$13*(1-'2. The tape'!$J$5:$J$13)^($A69/4)*(1+$AJ$5)^($A69/4)*((1-'3. Assumptions'!$B$13)/($AJ$6)-'2. The tape'!$H$5:$H$13/12-'3. Assumptions'!$B$16)-'2. The tape'!$C$5:$C$13*'2. The tape'!$I$5:$I$13*(1+$AJ$5)^($A69/4)))</f>
        <v>110476295.548209</v>
      </c>
      <c r="AL69" s="33" t="n">
        <f aca="false">'2. The tape'!$C$17*(1+MIN(MAX($AL$5,'3. Assumptions'!$B$11),'3. Assumptions'!$B$10))^INT(($A69-1)/4)/4*(1-'3. Assumptions'!$B$13)</f>
        <v>3978382.1008863</v>
      </c>
      <c r="AM69" s="33" t="n">
        <f aca="false">(1-'3. Assumptions'!$B$15)*SUMPRODUCT((('2. The tape'!$C$5:$C$13*'2. The tape'!$D$5:$D$13*(1-'2. The tape'!$J$5:$J$13)^($A69/4)*(1+$AL$5)^($A69/4)*((1-'3. Assumptions'!$B$13)/($AL$6)-'2. The tape'!$H$5:$H$13/12-'3. Assumptions'!$B$16)-'2. The tape'!$C$5:$C$13*'2. The tape'!$I$5:$I$13*(1+$AL$5)^($A69/4))&gt;0)*('2. The tape'!$C$5:$C$13*'2. The tape'!$D$5:$D$13*(1-'2. The tape'!$J$5:$J$13)^($A69/4)*(1+$AL$5)^($A69/4)*((1-'3. Assumptions'!$B$13)/($AL$6)-'2. The tape'!$H$5:$H$13/12-'3. Assumptions'!$B$16)-'2. The tape'!$C$5:$C$13*'2. The tape'!$I$5:$I$13*(1+$AL$5)^($A69/4)))</f>
        <v>127151011.464927</v>
      </c>
      <c r="AN69" s="33" t="n">
        <f aca="false">'2. The tape'!$C$17*(1+MIN(MAX($AN$5,'3. Assumptions'!$B$11),'3. Assumptions'!$B$10))^INT(($A69-1)/4)/4*(1-'3. Assumptions'!$B$13)</f>
        <v>3978382.1008863</v>
      </c>
      <c r="AO69" s="33" t="n">
        <f aca="false">(1-'3. Assumptions'!$B$15)*SUMPRODUCT((('2. The tape'!$C$5:$C$13*'2. The tape'!$D$5:$D$13*(1-'2. The tape'!$J$5:$J$13)^($A69/4)*(1+$AN$5)^($A69/4)*((1-'3. Assumptions'!$B$13)/($AN$6)-'2. The tape'!$H$5:$H$13/12-'3. Assumptions'!$B$16)-'2. The tape'!$C$5:$C$13*'2. The tape'!$I$5:$I$13*(1+$AN$5)^($A69/4))&gt;0)*('2. The tape'!$C$5:$C$13*'2. The tape'!$D$5:$D$13*(1-'2. The tape'!$J$5:$J$13)^($A69/4)*(1+$AN$5)^($A69/4)*((1-'3. Assumptions'!$B$13)/($AN$6)-'2. The tape'!$H$5:$H$13/12-'3. Assumptions'!$B$16)-'2. The tape'!$C$5:$C$13*'2. The tape'!$I$5:$I$13*(1+$AN$5)^($A69/4)))</f>
        <v>130273030.351045</v>
      </c>
      <c r="AP69" s="33" t="n">
        <f aca="false">'2. The tape'!$C$17*(1+MIN(MAX($AP$5,'3. Assumptions'!$B$11),'3. Assumptions'!$B$10))^INT(($A69-1)/4)/4*(1-'3. Assumptions'!$B$13)</f>
        <v>3978382.1008863</v>
      </c>
      <c r="AQ69" s="33" t="n">
        <f aca="false">(1-'3. Assumptions'!$B$15)*SUMPRODUCT((('2. The tape'!$C$5:$C$13*'2. The tape'!$D$5:$D$13*(1-'2. The tape'!$J$5:$J$13)^($A69/4)*(1+$AP$5)^($A69/4)*((1-'3. Assumptions'!$B$13)/($AP$6)-'2. The tape'!$H$5:$H$13/12-'3. Assumptions'!$B$16)-'2. The tape'!$C$5:$C$13*'2. The tape'!$I$5:$I$13*(1+$AP$5)^($A69/4))&gt;0)*('2. The tape'!$C$5:$C$13*'2. The tape'!$D$5:$D$13*(1-'2. The tape'!$J$5:$J$13)^($A69/4)*(1+$AP$5)^($A69/4)*((1-'3. Assumptions'!$B$13)/($AP$6)-'2. The tape'!$H$5:$H$13/12-'3. Assumptions'!$B$16)-'2. The tape'!$C$5:$C$13*'2. The tape'!$I$5:$I$13*(1+$AP$5)^($A69/4)))</f>
        <v>129887623.526054</v>
      </c>
      <c r="AR69" s="33" t="n">
        <f aca="false">'2. The tape'!$C$17*(1+MIN(MAX($AR$5,'3. Assumptions'!$B$11),'3. Assumptions'!$B$10))^INT(($A69-1)/4)/4*(1-'3. Assumptions'!$B$13)</f>
        <v>3978382.1008863</v>
      </c>
      <c r="AS69" s="33" t="n">
        <f aca="false">(1-'3. Assumptions'!$B$15)*SUMPRODUCT((('2. The tape'!$C$5:$C$13*'2. The tape'!$D$5:$D$13*(1-'2. The tape'!$J$5:$J$13)^($A69/4)*(1+$AR$5)^($A69/4)*((1-'3. Assumptions'!$B$13)/($AR$6)-'2. The tape'!$H$5:$H$13/12-'3. Assumptions'!$B$16)-'2. The tape'!$C$5:$C$13*'2. The tape'!$I$5:$I$13*(1+$AR$5)^($A69/4))&gt;0)*('2. The tape'!$C$5:$C$13*'2. The tape'!$D$5:$D$13*(1-'2. The tape'!$J$5:$J$13)^($A69/4)*(1+$AR$5)^($A69/4)*((1-'3. Assumptions'!$B$13)/($AR$6)-'2. The tape'!$H$5:$H$13/12-'3. Assumptions'!$B$16)-'2. The tape'!$C$5:$C$13*'2. The tape'!$I$5:$I$13*(1+$AR$5)^($A69/4)))</f>
        <v>129894090.10054</v>
      </c>
      <c r="AT69" s="33" t="n">
        <f aca="false">'2. The tape'!$C$17*(1+MIN(MAX($AT$5,'3. Assumptions'!$B$11),'3. Assumptions'!$B$10))^INT(($A69-1)/4)/4*(1-'3. Assumptions'!$B$13)</f>
        <v>3978382.1008863</v>
      </c>
      <c r="AU69" s="33" t="n">
        <f aca="false">(1-'3. Assumptions'!$B$15)*SUMPRODUCT((('2. The tape'!$C$5:$C$13*'2. The tape'!$D$5:$D$13*(1-'2. The tape'!$J$5:$J$13)^($A69/4)*(1+$AT$5)^($A69/4)*((1-'3. Assumptions'!$B$13)/($AT$6)-'2. The tape'!$H$5:$H$13/12-'3. Assumptions'!$B$16)-'2. The tape'!$C$5:$C$13*'2. The tape'!$I$5:$I$13*(1+$AT$5)^($A69/4))&gt;0)*('2. The tape'!$C$5:$C$13*'2. The tape'!$D$5:$D$13*(1-'2. The tape'!$J$5:$J$13)^($A69/4)*(1+$AT$5)^($A69/4)*((1-'3. Assumptions'!$B$13)/($AT$6)-'2. The tape'!$H$5:$H$13/12-'3. Assumptions'!$B$16)-'2. The tape'!$C$5:$C$13*'2. The tape'!$I$5:$I$13*(1+$AT$5)^($A69/4)))</f>
        <v>129894105.159565</v>
      </c>
      <c r="AV69" s="33" t="n">
        <f aca="false">'2. The tape'!$C$17*(1+MIN(MAX($AV$5,'3. Assumptions'!$B$11),'3. Assumptions'!$B$10))^INT(($A69-1)/4)/4*(1-'3. Assumptions'!$B$13)</f>
        <v>3978382.1008863</v>
      </c>
      <c r="AW69" s="33" t="n">
        <f aca="false">(1-'3. Assumptions'!$B$15)*SUMPRODUCT((('2. The tape'!$C$5:$C$13*'2. The tape'!$D$5:$D$13*(1-'2. The tape'!$J$5:$J$13)^($A69/4)*(1+$AV$5)^($A69/4)*((1-'3. Assumptions'!$B$13)/($AV$6)-'2. The tape'!$H$5:$H$13/12-'3. Assumptions'!$B$16)-'2. The tape'!$C$5:$C$13*'2. The tape'!$I$5:$I$13*(1+$AV$5)^($A69/4))&gt;0)*('2. The tape'!$C$5:$C$13*'2. The tape'!$D$5:$D$13*(1-'2. The tape'!$J$5:$J$13)^($A69/4)*(1+$AV$5)^($A69/4)*((1-'3. Assumptions'!$B$13)/($AV$6)-'2. The tape'!$H$5:$H$13/12-'3. Assumptions'!$B$16)-'2. The tape'!$C$5:$C$13*'2. The tape'!$I$5:$I$13*(1+$AV$5)^($A69/4)))</f>
        <v>129894105.158965</v>
      </c>
      <c r="AX69" s="33" t="n">
        <f aca="false">'2. The tape'!$C$17*(1+MIN(MAX($AX$5,'3. Assumptions'!$B$11),'3. Assumptions'!$B$10))^INT(($A69-1)/4)/4*(1-'3. Assumptions'!$B$13)</f>
        <v>3978382.1008863</v>
      </c>
      <c r="AY69" s="33" t="n">
        <f aca="false">(1-'3. Assumptions'!$B$15)*SUMPRODUCT((('2. The tape'!$C$5:$C$13*'2. The tape'!$D$5:$D$13*(1-'2. The tape'!$J$5:$J$13)^($A69/4)*(1+$AX$5)^($A69/4)*((1-'3. Assumptions'!$B$13)/($AX$6)-'2. The tape'!$H$5:$H$13/12-'3. Assumptions'!$B$16)-'2. The tape'!$C$5:$C$13*'2. The tape'!$I$5:$I$13*(1+$AX$5)^($A69/4))&gt;0)*('2. The tape'!$C$5:$C$13*'2. The tape'!$D$5:$D$13*(1-'2. The tape'!$J$5:$J$13)^($A69/4)*(1+$AX$5)^($A69/4)*((1-'3. Assumptions'!$B$13)/($AX$6)-'2. The tape'!$H$5:$H$13/12-'3. Assumptions'!$B$16)-'2. The tape'!$C$5:$C$13*'2. The tape'!$I$5:$I$13*(1+$AX$5)^($A69/4)))</f>
        <v>129894105.158965</v>
      </c>
      <c r="AZ69" s="33" t="n">
        <f aca="false">'2. The tape'!$C$17*(1+MIN(MAX($AZ$5,'3. Assumptions'!$B$11),'3. Assumptions'!$B$10))^INT(($A69-1)/4)/4*(1-'3. Assumptions'!$B$13)</f>
        <v>3978382.1008863</v>
      </c>
      <c r="BA69" s="33" t="n">
        <f aca="false">(1-'3. Assumptions'!$B$15)*SUMPRODUCT((('2. The tape'!$C$5:$C$13*'2. The tape'!$D$5:$D$13*(1-'2. The tape'!$J$5:$J$13)^($A69/4)*(1+$AZ$5)^($A69/4)*((1-'3. Assumptions'!$B$13)/($AZ$6)-'2. The tape'!$H$5:$H$13/12-'3. Assumptions'!$B$16)-'2. The tape'!$C$5:$C$13*'2. The tape'!$I$5:$I$13*(1+$AZ$5)^($A69/4))&gt;0)*('2. The tape'!$C$5:$C$13*'2. The tape'!$D$5:$D$13*(1-'2. The tape'!$J$5:$J$13)^($A69/4)*(1+$AZ$5)^($A69/4)*((1-'3. Assumptions'!$B$13)/($AZ$6)-'2. The tape'!$H$5:$H$13/12-'3. Assumptions'!$B$16)-'2. The tape'!$C$5:$C$13*'2. The tape'!$I$5:$I$13*(1+$AZ$5)^($A69/4)))</f>
        <v>129894105.158965</v>
      </c>
    </row>
    <row r="70" customFormat="false" ht="15" hidden="false" customHeight="false" outlineLevel="0" collapsed="false">
      <c r="A70" s="20" t="n">
        <v>55</v>
      </c>
      <c r="B70" s="33" t="n">
        <f aca="false">'2. The tape'!$C$17*(1+MIN(MAX($B$5,'3. Assumptions'!$B$11),'3. Assumptions'!$B$10))^INT(($A70-1)/4)/4*(1-'3. Assumptions'!$B$13)</f>
        <v>3978382.1008863</v>
      </c>
      <c r="C70" s="33" t="n">
        <f aca="false">(1-'3. Assumptions'!$B$15)*SUMPRODUCT((('2. The tape'!$C$5:$C$13*'2. The tape'!$D$5:$D$13*(1-'2. The tape'!$J$5:$J$13)^($A70/4)*(1+$B$5)^($A70/4)*((1-'3. Assumptions'!$B$13)/($B$6)-'2. The tape'!$H$5:$H$13/12-'3. Assumptions'!$B$16)-'2. The tape'!$C$5:$C$13*'2. The tape'!$I$5:$I$13*(1+$B$5)^($A70/4))&gt;0)*('2. The tape'!$C$5:$C$13*'2. The tape'!$D$5:$D$13*(1-'2. The tape'!$J$5:$J$13)^($A70/4)*(1+$B$5)^($A70/4)*((1-'3. Assumptions'!$B$13)/($B$6)-'2. The tape'!$H$5:$H$13/12-'3. Assumptions'!$B$16)-'2. The tape'!$C$5:$C$13*'2. The tape'!$I$5:$I$13*(1+$B$5)^($A70/4)))</f>
        <v>76653309.8110874</v>
      </c>
      <c r="D70" s="33" t="n">
        <f aca="false">'2. The tape'!$C$17*(1+MIN(MAX($D$5,'3. Assumptions'!$B$11),'3. Assumptions'!$B$10))^INT(($A70-1)/4)/4*(1-'3. Assumptions'!$B$13)</f>
        <v>4402798.07662914</v>
      </c>
      <c r="E70" s="33" t="n">
        <f aca="false">(1-'3. Assumptions'!$B$15)*SUMPRODUCT((('2. The tape'!$C$5:$C$13*'2. The tape'!$D$5:$D$13*(1-'2. The tape'!$J$5:$J$13)^($A70/4)*(1+$D$5)^($A70/4)*((1-'3. Assumptions'!$B$13)/($D$6)-'2. The tape'!$H$5:$H$13/12-'3. Assumptions'!$B$16)-'2. The tape'!$C$5:$C$13*'2. The tape'!$I$5:$I$13*(1+$D$5)^($A70/4))&gt;0)*('2. The tape'!$C$5:$C$13*'2. The tape'!$D$5:$D$13*(1-'2. The tape'!$J$5:$J$13)^($A70/4)*(1+$D$5)^($A70/4)*((1-'3. Assumptions'!$B$13)/($D$6)-'2. The tape'!$H$5:$H$13/12-'3. Assumptions'!$B$16)-'2. The tape'!$C$5:$C$13*'2. The tape'!$I$5:$I$13*(1+$D$5)^($A70/4)))</f>
        <v>91203373.8704166</v>
      </c>
      <c r="F70" s="33" t="n">
        <f aca="false">'2. The tape'!$C$17*(1+MIN(MAX($F$5,'3. Assumptions'!$B$11),'3. Assumptions'!$B$10))^INT(($A70-1)/4)/4*(1-'3. Assumptions'!$B$13)</f>
        <v>3412107.50575084</v>
      </c>
      <c r="G70" s="33" t="n">
        <f aca="false">(1-'3. Assumptions'!$B$15)*SUMPRODUCT((('2. The tape'!$C$5:$C$13*'2. The tape'!$D$5:$D$13*(1-'2. The tape'!$J$5:$J$13)^($A70/4)*(1+$F$5)^($A70/4)*((1-'3. Assumptions'!$B$13)/($F$6)-'2. The tape'!$H$5:$H$13/12-'3. Assumptions'!$B$16)-'2. The tape'!$C$5:$C$13*'2. The tape'!$I$5:$I$13*(1+$F$5)^($A70/4))&gt;0)*('2. The tape'!$C$5:$C$13*'2. The tape'!$D$5:$D$13*(1-'2. The tape'!$J$5:$J$13)^($A70/4)*(1+$F$5)^($A70/4)*((1-'3. Assumptions'!$B$13)/($F$6)-'2. The tape'!$H$5:$H$13/12-'3. Assumptions'!$B$16)-'2. The tape'!$C$5:$C$13*'2. The tape'!$I$5:$I$13*(1+$F$5)^($A70/4)))</f>
        <v>65162837.0449561</v>
      </c>
      <c r="H70" s="33" t="n">
        <f aca="false">'2. The tape'!$C$17*(1+MIN(MAX($H$5,'3. Assumptions'!$B$11),'3. Assumptions'!$B$10))^INT(($A70-1)/4)/4*(1-'3. Assumptions'!$B$13)</f>
        <v>4402798.07662914</v>
      </c>
      <c r="I70" s="33" t="n">
        <f aca="false">(1-'3. Assumptions'!$B$15)*SUMPRODUCT((('2. The tape'!$C$5:$C$13*'2. The tape'!$D$5:$D$13*(1-'2. The tape'!$J$5:$J$13)^($A70/4)*(1+$H$5)^($A70/4)*((1-'3. Assumptions'!$B$13)/($H$6)-'2. The tape'!$H$5:$H$13/12-'3. Assumptions'!$B$16)-'2. The tape'!$C$5:$C$13*'2. The tape'!$I$5:$I$13*(1+$H$5)^($A70/4))&gt;0)*('2. The tape'!$C$5:$C$13*'2. The tape'!$D$5:$D$13*(1-'2. The tape'!$J$5:$J$13)^($A70/4)*(1+$H$5)^($A70/4)*((1-'3. Assumptions'!$B$13)/($H$6)-'2. The tape'!$H$5:$H$13/12-'3. Assumptions'!$B$16)-'2. The tape'!$C$5:$C$13*'2. The tape'!$I$5:$I$13*(1+$H$5)^($A70/4)))</f>
        <v>91203373.8704166</v>
      </c>
      <c r="J70" s="33" t="n">
        <f aca="false">'2. The tape'!$C$17*(1+MIN(MAX($J$5,'3. Assumptions'!$B$11),'3. Assumptions'!$B$10))^INT(($A70-1)/4)/4*(1-'3. Assumptions'!$B$13)</f>
        <v>3978382.1008863</v>
      </c>
      <c r="K70" s="33" t="n">
        <f aca="false">(1-'3. Assumptions'!$B$15)*SUMPRODUCT((('2. The tape'!$C$5:$C$13*'2. The tape'!$D$5:$D$13*(1-'2. The tape'!$J$5:$J$13)^($A70/4)*(1+$J$5)^($A70/4)*((1-'3. Assumptions'!$B$13)/($J$6)-'2. The tape'!$H$5:$H$13/12-'3. Assumptions'!$B$16)-'2. The tape'!$C$5:$C$13*'2. The tape'!$I$5:$I$13*(1+$J$5)^($A70/4))&gt;0)*('2. The tape'!$C$5:$C$13*'2. The tape'!$D$5:$D$13*(1-'2. The tape'!$J$5:$J$13)^($A70/4)*(1+$J$5)^($A70/4)*((1-'3. Assumptions'!$B$13)/($J$6)-'2. The tape'!$H$5:$H$13/12-'3. Assumptions'!$B$16)-'2. The tape'!$C$5:$C$13*'2. The tape'!$I$5:$I$13*(1+$J$5)^($A70/4)))</f>
        <v>62603521.9172419</v>
      </c>
      <c r="L70" s="33" t="n">
        <f aca="false">'2. The tape'!$C$17*(1+MIN(MAX($L$5,'3. Assumptions'!$B$11),'3. Assumptions'!$B$10))^INT(($A70-1)/4)/4*(1-'3. Assumptions'!$B$13)</f>
        <v>4402798.07662914</v>
      </c>
      <c r="M70" s="33" t="n">
        <f aca="false">(1-'3. Assumptions'!$B$15)*SUMPRODUCT((('2. The tape'!$C$5:$C$13*'2. The tape'!$D$5:$D$13*(1-'2. The tape'!$J$5:$J$13)^($A70/4)*(1+$L$5)^($A70/4)*((1-'3. Assumptions'!$B$13)/($L$6)-'2. The tape'!$H$5:$H$13/12-'3. Assumptions'!$B$16)-'2. The tape'!$C$5:$C$13*'2. The tape'!$I$5:$I$13*(1+$L$5)^($A70/4))&gt;0)*('2. The tape'!$C$5:$C$13*'2. The tape'!$D$5:$D$13*(1-'2. The tape'!$J$5:$J$13)^($A70/4)*(1+$L$5)^($A70/4)*((1-'3. Assumptions'!$B$13)/($L$6)-'2. The tape'!$H$5:$H$13/12-'3. Assumptions'!$B$16)-'2. The tape'!$C$5:$C$13*'2. The tape'!$I$5:$I$13*(1+$L$5)^($A70/4)))</f>
        <v>2095570079.48786</v>
      </c>
      <c r="N70" s="33" t="n">
        <f aca="false">'2. The tape'!$C$17*(1+MIN(MAX($N$5,'3. Assumptions'!$B$11),'3. Assumptions'!$B$10))^INT(($A70-1)/4)/4*(1-'3. Assumptions'!$B$13)</f>
        <v>2998091.25</v>
      </c>
      <c r="O70" s="33" t="n">
        <f aca="false">(1-'3. Assumptions'!$B$15)*SUMPRODUCT((('2. The tape'!$C$5:$C$13*'2. The tape'!$D$5:$D$13*(1-'2. The tape'!$J$5:$J$13)^($A70/4)*(1+$N$5)^($A70/4)*((1-'3. Assumptions'!$B$13)/($N$6)-'2. The tape'!$H$5:$H$13/12-'3. Assumptions'!$B$16)-'2. The tape'!$C$5:$C$13*'2. The tape'!$I$5:$I$13*(1+$N$5)^($A70/4))&gt;0)*('2. The tape'!$C$5:$C$13*'2. The tape'!$D$5:$D$13*(1-'2. The tape'!$J$5:$J$13)^($A70/4)*(1+$N$5)^($A70/4)*((1-'3. Assumptions'!$B$13)/($N$6)-'2. The tape'!$H$5:$H$13/12-'3. Assumptions'!$B$16)-'2. The tape'!$C$5:$C$13*'2. The tape'!$I$5:$I$13*(1+$N$5)^($A70/4)))</f>
        <v>37384574.4063202</v>
      </c>
      <c r="P70" s="33" t="n">
        <f aca="false">'2. The tape'!$C$17*(1+MIN(MAX($P$5,'3. Assumptions'!$B$11),'3. Assumptions'!$B$10))^INT(($A70-1)/4)/4*(1-'3. Assumptions'!$B$13)</f>
        <v>2998091.25</v>
      </c>
      <c r="Q70" s="33" t="n">
        <f aca="false">(1-'3. Assumptions'!$B$15)*SUMPRODUCT((('2. The tape'!$C$5:$C$13*'2. The tape'!$D$5:$D$13*(1-'2. The tape'!$J$5:$J$13)^($A70/4)*(1+$P$5)^($A70/4)*((1-'3. Assumptions'!$B$13)/($P$6)-'2. The tape'!$H$5:$H$13/12-'3. Assumptions'!$B$16)-'2. The tape'!$C$5:$C$13*'2. The tape'!$I$5:$I$13*(1+$P$5)^($A70/4))&gt;0)*('2. The tape'!$C$5:$C$13*'2. The tape'!$D$5:$D$13*(1-'2. The tape'!$J$5:$J$13)^($A70/4)*(1+$P$5)^($A70/4)*((1-'3. Assumptions'!$B$13)/($P$6)-'2. The tape'!$H$5:$H$13/12-'3. Assumptions'!$B$16)-'2. The tape'!$C$5:$C$13*'2. The tape'!$I$5:$I$13*(1+$P$5)^($A70/4)))</f>
        <v>43046677.3887214</v>
      </c>
      <c r="R70" s="33" t="n">
        <f aca="false">'2. The tape'!$C$17*(1+MIN(MAX($R$5,'3. Assumptions'!$B$11),'3. Assumptions'!$B$10))^INT(($A70-1)/4)/4*(1-'3. Assumptions'!$B$13)</f>
        <v>2998091.25</v>
      </c>
      <c r="S70" s="33" t="n">
        <f aca="false">(1-'3. Assumptions'!$B$15)*SUMPRODUCT((('2. The tape'!$C$5:$C$13*'2. The tape'!$D$5:$D$13*(1-'2. The tape'!$J$5:$J$13)^($A70/4)*(1+$R$5)^($A70/4)*((1-'3. Assumptions'!$B$13)/($R$6)-'2. The tape'!$H$5:$H$13/12-'3. Assumptions'!$B$16)-'2. The tape'!$C$5:$C$13*'2. The tape'!$I$5:$I$13*(1+$R$5)^($A70/4))&gt;0)*('2. The tape'!$C$5:$C$13*'2. The tape'!$D$5:$D$13*(1-'2. The tape'!$J$5:$J$13)^($A70/4)*(1+$R$5)^($A70/4)*((1-'3. Assumptions'!$B$13)/($R$6)-'2. The tape'!$H$5:$H$13/12-'3. Assumptions'!$B$16)-'2. The tape'!$C$5:$C$13*'2. The tape'!$I$5:$I$13*(1+$R$5)^($A70/4)))</f>
        <v>39531082.4763208</v>
      </c>
      <c r="T70" s="33" t="n">
        <f aca="false">'2. The tape'!$C$17*(1+MIN(MAX($T$5,'3. Assumptions'!$B$11),'3. Assumptions'!$B$10))^INT(($A70-1)/4)/4*(1-'3. Assumptions'!$B$13)</f>
        <v>2998091.25</v>
      </c>
      <c r="U70" s="33" t="n">
        <f aca="false">(1-'3. Assumptions'!$B$15)*SUMPRODUCT((('2. The tape'!$C$5:$C$13*'2. The tape'!$D$5:$D$13*(1-'2. The tape'!$J$5:$J$13)^($A70/4)*(1+$T$5)^($A70/4)*((1-'3. Assumptions'!$B$13)/($T$6)-'2. The tape'!$H$5:$H$13/12-'3. Assumptions'!$B$16)-'2. The tape'!$C$5:$C$13*'2. The tape'!$I$5:$I$13*(1+$T$5)^($A70/4))&gt;0)*('2. The tape'!$C$5:$C$13*'2. The tape'!$D$5:$D$13*(1-'2. The tape'!$J$5:$J$13)^($A70/4)*(1+$T$5)^($A70/4)*((1-'3. Assumptions'!$B$13)/($T$6)-'2. The tape'!$H$5:$H$13/12-'3. Assumptions'!$B$16)-'2. The tape'!$C$5:$C$13*'2. The tape'!$I$5:$I$13*(1+$T$5)^($A70/4)))</f>
        <v>39439544.7496815</v>
      </c>
      <c r="V70" s="33" t="n">
        <f aca="false">'2. The tape'!$C$17*(1+MIN(MAX($V$5,'3. Assumptions'!$B$11),'3. Assumptions'!$B$10))^INT(($A70-1)/4)/4*(1-'3. Assumptions'!$B$13)</f>
        <v>2998091.25</v>
      </c>
      <c r="W70" s="33" t="n">
        <f aca="false">(1-'3. Assumptions'!$B$15)*SUMPRODUCT((('2. The tape'!$C$5:$C$13*'2. The tape'!$D$5:$D$13*(1-'2. The tape'!$J$5:$J$13)^($A70/4)*(1+$V$5)^($A70/4)*((1-'3. Assumptions'!$B$13)/($V$6)-'2. The tape'!$H$5:$H$13/12-'3. Assumptions'!$B$16)-'2. The tape'!$C$5:$C$13*'2. The tape'!$I$5:$I$13*(1+$V$5)^($A70/4))&gt;0)*('2. The tape'!$C$5:$C$13*'2. The tape'!$D$5:$D$13*(1-'2. The tape'!$J$5:$J$13)^($A70/4)*(1+$V$5)^($A70/4)*((1-'3. Assumptions'!$B$13)/($V$6)-'2. The tape'!$H$5:$H$13/12-'3. Assumptions'!$B$16)-'2. The tape'!$C$5:$C$13*'2. The tape'!$I$5:$I$13*(1+$V$5)^($A70/4)))</f>
        <v>39443218.8544471</v>
      </c>
      <c r="X70" s="33" t="n">
        <f aca="false">'2. The tape'!$C$17*(1+MIN(MAX($X$5,'3. Assumptions'!$B$11),'3. Assumptions'!$B$10))^INT(($A70-1)/4)/4*(1-'3. Assumptions'!$B$13)</f>
        <v>2998091.25</v>
      </c>
      <c r="Y70" s="33" t="n">
        <f aca="false">(1-'3. Assumptions'!$B$15)*SUMPRODUCT((('2. The tape'!$C$5:$C$13*'2. The tape'!$D$5:$D$13*(1-'2. The tape'!$J$5:$J$13)^($A70/4)*(1+$X$5)^($A70/4)*((1-'3. Assumptions'!$B$13)/($X$6)-'2. The tape'!$H$5:$H$13/12-'3. Assumptions'!$B$16)-'2. The tape'!$C$5:$C$13*'2. The tape'!$I$5:$I$13*(1+$X$5)^($A70/4))&gt;0)*('2. The tape'!$C$5:$C$13*'2. The tape'!$D$5:$D$13*(1-'2. The tape'!$J$5:$J$13)^($A70/4)*(1+$X$5)^($A70/4)*((1-'3. Assumptions'!$B$13)/($X$6)-'2. The tape'!$H$5:$H$13/12-'3. Assumptions'!$B$16)-'2. The tape'!$C$5:$C$13*'2. The tape'!$I$5:$I$13*(1+$X$5)^($A70/4)))</f>
        <v>39443214.9907307</v>
      </c>
      <c r="Z70" s="33" t="n">
        <f aca="false">'2. The tape'!$C$17*(1+MIN(MAX($Z$5,'3. Assumptions'!$B$11),'3. Assumptions'!$B$10))^INT(($A70-1)/4)/4*(1-'3. Assumptions'!$B$13)</f>
        <v>2998091.25</v>
      </c>
      <c r="AA70" s="33" t="n">
        <f aca="false">(1-'3. Assumptions'!$B$15)*SUMPRODUCT((('2. The tape'!$C$5:$C$13*'2. The tape'!$D$5:$D$13*(1-'2. The tape'!$J$5:$J$13)^($A70/4)*(1+$Z$5)^($A70/4)*((1-'3. Assumptions'!$B$13)/($Z$6)-'2. The tape'!$H$5:$H$13/12-'3. Assumptions'!$B$16)-'2. The tape'!$C$5:$C$13*'2. The tape'!$I$5:$I$13*(1+$Z$5)^($A70/4))&gt;0)*('2. The tape'!$C$5:$C$13*'2. The tape'!$D$5:$D$13*(1-'2. The tape'!$J$5:$J$13)^($A70/4)*(1+$Z$5)^($A70/4)*((1-'3. Assumptions'!$B$13)/($Z$6)-'2. The tape'!$H$5:$H$13/12-'3. Assumptions'!$B$16)-'2. The tape'!$C$5:$C$13*'2. The tape'!$I$5:$I$13*(1+$Z$5)^($A70/4)))</f>
        <v>39443214.9905607</v>
      </c>
      <c r="AB70" s="33" t="n">
        <f aca="false">'2. The tape'!$C$17*(1+MIN(MAX($AB$5,'3. Assumptions'!$B$11),'3. Assumptions'!$B$10))^INT(($A70-1)/4)/4*(1-'3. Assumptions'!$B$13)</f>
        <v>2998091.25</v>
      </c>
      <c r="AC70" s="33" t="n">
        <f aca="false">(1-'3. Assumptions'!$B$15)*SUMPRODUCT((('2. The tape'!$C$5:$C$13*'2. The tape'!$D$5:$D$13*(1-'2. The tape'!$J$5:$J$13)^($A70/4)*(1+$AB$5)^($A70/4)*((1-'3. Assumptions'!$B$13)/($AB$6)-'2. The tape'!$H$5:$H$13/12-'3. Assumptions'!$B$16)-'2. The tape'!$C$5:$C$13*'2. The tape'!$I$5:$I$13*(1+$AB$5)^($A70/4))&gt;0)*('2. The tape'!$C$5:$C$13*'2. The tape'!$D$5:$D$13*(1-'2. The tape'!$J$5:$J$13)^($A70/4)*(1+$AB$5)^($A70/4)*((1-'3. Assumptions'!$B$13)/($AB$6)-'2. The tape'!$H$5:$H$13/12-'3. Assumptions'!$B$16)-'2. The tape'!$C$5:$C$13*'2. The tape'!$I$5:$I$13*(1+$AB$5)^($A70/4)))</f>
        <v>39443214.9905607</v>
      </c>
      <c r="AD70" s="33" t="n">
        <f aca="false">'2. The tape'!$C$17*(1+MIN(MAX($AD$5,'3. Assumptions'!$B$11),'3. Assumptions'!$B$10))^INT(($A70-1)/4)/4*(1-'3. Assumptions'!$B$13)</f>
        <v>2998091.25</v>
      </c>
      <c r="AE70" s="33" t="n">
        <f aca="false">(1-'3. Assumptions'!$B$15)*SUMPRODUCT((('2. The tape'!$C$5:$C$13*'2. The tape'!$D$5:$D$13*(1-'2. The tape'!$J$5:$J$13)^($A70/4)*(1+$AD$5)^($A70/4)*((1-'3. Assumptions'!$B$13)/($AD$6)-'2. The tape'!$H$5:$H$13/12-'3. Assumptions'!$B$16)-'2. The tape'!$C$5:$C$13*'2. The tape'!$I$5:$I$13*(1+$AD$5)^($A70/4))&gt;0)*('2. The tape'!$C$5:$C$13*'2. The tape'!$D$5:$D$13*(1-'2. The tape'!$J$5:$J$13)^($A70/4)*(1+$AD$5)^($A70/4)*((1-'3. Assumptions'!$B$13)/($AD$6)-'2. The tape'!$H$5:$H$13/12-'3. Assumptions'!$B$16)-'2. The tape'!$C$5:$C$13*'2. The tape'!$I$5:$I$13*(1+$AD$5)^($A70/4)))</f>
        <v>39443214.9905607</v>
      </c>
      <c r="AF70" s="33" t="n">
        <f aca="false">'2. The tape'!$C$17*(1+MIN(MAX($AF$5,'3. Assumptions'!$B$11),'3. Assumptions'!$B$10))^INT(($A70-1)/4)/4*(1-'3. Assumptions'!$B$13)</f>
        <v>2998091.25</v>
      </c>
      <c r="AG70" s="33" t="n">
        <f aca="false">(1-'3. Assumptions'!$B$15)*SUMPRODUCT((('2. The tape'!$C$5:$C$13*'2. The tape'!$D$5:$D$13*(1-'2. The tape'!$J$5:$J$13)^($A70/4)*(1+$AF$5)^($A70/4)*((1-'3. Assumptions'!$B$13)/($AF$6)-'2. The tape'!$H$5:$H$13/12-'3. Assumptions'!$B$16)-'2. The tape'!$C$5:$C$13*'2. The tape'!$I$5:$I$13*(1+$AF$5)^($A70/4))&gt;0)*('2. The tape'!$C$5:$C$13*'2. The tape'!$D$5:$D$13*(1-'2. The tape'!$J$5:$J$13)^($A70/4)*(1+$AF$5)^($A70/4)*((1-'3. Assumptions'!$B$13)/($AF$6)-'2. The tape'!$H$5:$H$13/12-'3. Assumptions'!$B$16)-'2. The tape'!$C$5:$C$13*'2. The tape'!$I$5:$I$13*(1+$AF$5)^($A70/4)))</f>
        <v>39443214.9905607</v>
      </c>
      <c r="AH70" s="33" t="n">
        <f aca="false">'2. The tape'!$C$17*(1+MIN(MAX($AH$5,'3. Assumptions'!$B$11),'3. Assumptions'!$B$10))^INT(($A70-1)/4)/4*(1-'3. Assumptions'!$B$13)</f>
        <v>3978382.1008863</v>
      </c>
      <c r="AI70" s="33" t="n">
        <f aca="false">(1-'3. Assumptions'!$B$15)*SUMPRODUCT((('2. The tape'!$C$5:$C$13*'2. The tape'!$D$5:$D$13*(1-'2. The tape'!$J$5:$J$13)^($A70/4)*(1+$AH$5)^($A70/4)*((1-'3. Assumptions'!$B$13)/($AH$6)-'2. The tape'!$H$5:$H$13/12-'3. Assumptions'!$B$16)-'2. The tape'!$C$5:$C$13*'2. The tape'!$I$5:$I$13*(1+$AH$5)^($A70/4))&gt;0)*('2. The tape'!$C$5:$C$13*'2. The tape'!$D$5:$D$13*(1-'2. The tape'!$J$5:$J$13)^($A70/4)*(1+$AH$5)^($A70/4)*((1-'3. Assumptions'!$B$13)/($AH$6)-'2. The tape'!$H$5:$H$13/12-'3. Assumptions'!$B$16)-'2. The tape'!$C$5:$C$13*'2. The tape'!$I$5:$I$13*(1+$AH$5)^($A70/4)))</f>
        <v>153365151.711484</v>
      </c>
      <c r="AJ70" s="33" t="n">
        <f aca="false">'2. The tape'!$C$17*(1+MIN(MAX($AJ$5,'3. Assumptions'!$B$11),'3. Assumptions'!$B$10))^INT(($A70-1)/4)/4*(1-'3. Assumptions'!$B$13)</f>
        <v>3978382.1008863</v>
      </c>
      <c r="AK70" s="33" t="n">
        <f aca="false">(1-'3. Assumptions'!$B$15)*SUMPRODUCT((('2. The tape'!$C$5:$C$13*'2. The tape'!$D$5:$D$13*(1-'2. The tape'!$J$5:$J$13)^($A70/4)*(1+$AJ$5)^($A70/4)*((1-'3. Assumptions'!$B$13)/($AJ$6)-'2. The tape'!$H$5:$H$13/12-'3. Assumptions'!$B$16)-'2. The tape'!$C$5:$C$13*'2. The tape'!$I$5:$I$13*(1+$AJ$5)^($A70/4))&gt;0)*('2. The tape'!$C$5:$C$13*'2. The tape'!$D$5:$D$13*(1-'2. The tape'!$J$5:$J$13)^($A70/4)*(1+$AJ$5)^($A70/4)*((1-'3. Assumptions'!$B$13)/($AJ$6)-'2. The tape'!$H$5:$H$13/12-'3. Assumptions'!$B$16)-'2. The tape'!$C$5:$C$13*'2. The tape'!$I$5:$I$13*(1+$AJ$5)^($A70/4)))</f>
        <v>110372800.756317</v>
      </c>
      <c r="AL70" s="33" t="n">
        <f aca="false">'2. The tape'!$C$17*(1+MIN(MAX($AL$5,'3. Assumptions'!$B$11),'3. Assumptions'!$B$10))^INT(($A70-1)/4)/4*(1-'3. Assumptions'!$B$13)</f>
        <v>3978382.1008863</v>
      </c>
      <c r="AM70" s="33" t="n">
        <f aca="false">(1-'3. Assumptions'!$B$15)*SUMPRODUCT((('2. The tape'!$C$5:$C$13*'2. The tape'!$D$5:$D$13*(1-'2. The tape'!$J$5:$J$13)^($A70/4)*(1+$AL$5)^($A70/4)*((1-'3. Assumptions'!$B$13)/($AL$6)-'2. The tape'!$H$5:$H$13/12-'3. Assumptions'!$B$16)-'2. The tape'!$C$5:$C$13*'2. The tape'!$I$5:$I$13*(1+$AL$5)^($A70/4))&gt;0)*('2. The tape'!$C$5:$C$13*'2. The tape'!$D$5:$D$13*(1-'2. The tape'!$J$5:$J$13)^($A70/4)*(1+$AL$5)^($A70/4)*((1-'3. Assumptions'!$B$13)/($AL$6)-'2. The tape'!$H$5:$H$13/12-'3. Assumptions'!$B$16)-'2. The tape'!$C$5:$C$13*'2. The tape'!$I$5:$I$13*(1+$AL$5)^($A70/4)))</f>
        <v>127047102.472263</v>
      </c>
      <c r="AN70" s="33" t="n">
        <f aca="false">'2. The tape'!$C$17*(1+MIN(MAX($AN$5,'3. Assumptions'!$B$11),'3. Assumptions'!$B$10))^INT(($A70-1)/4)/4*(1-'3. Assumptions'!$B$13)</f>
        <v>3978382.1008863</v>
      </c>
      <c r="AO70" s="33" t="n">
        <f aca="false">(1-'3. Assumptions'!$B$15)*SUMPRODUCT((('2. The tape'!$C$5:$C$13*'2. The tape'!$D$5:$D$13*(1-'2. The tape'!$J$5:$J$13)^($A70/4)*(1+$AN$5)^($A70/4)*((1-'3. Assumptions'!$B$13)/($AN$6)-'2. The tape'!$H$5:$H$13/12-'3. Assumptions'!$B$16)-'2. The tape'!$C$5:$C$13*'2. The tape'!$I$5:$I$13*(1+$AN$5)^($A70/4))&gt;0)*('2. The tape'!$C$5:$C$13*'2. The tape'!$D$5:$D$13*(1-'2. The tape'!$J$5:$J$13)^($A70/4)*(1+$AN$5)^($A70/4)*((1-'3. Assumptions'!$B$13)/($AN$6)-'2. The tape'!$H$5:$H$13/12-'3. Assumptions'!$B$16)-'2. The tape'!$C$5:$C$13*'2. The tape'!$I$5:$I$13*(1+$AN$5)^($A70/4)))</f>
        <v>130169043.807276</v>
      </c>
      <c r="AP70" s="33" t="n">
        <f aca="false">'2. The tape'!$C$17*(1+MIN(MAX($AP$5,'3. Assumptions'!$B$11),'3. Assumptions'!$B$10))^INT(($A70-1)/4)/4*(1-'3. Assumptions'!$B$13)</f>
        <v>3978382.1008863</v>
      </c>
      <c r="AQ70" s="33" t="n">
        <f aca="false">(1-'3. Assumptions'!$B$15)*SUMPRODUCT((('2. The tape'!$C$5:$C$13*'2. The tape'!$D$5:$D$13*(1-'2. The tape'!$J$5:$J$13)^($A70/4)*(1+$AP$5)^($A70/4)*((1-'3. Assumptions'!$B$13)/($AP$6)-'2. The tape'!$H$5:$H$13/12-'3. Assumptions'!$B$16)-'2. The tape'!$C$5:$C$13*'2. The tape'!$I$5:$I$13*(1+$AP$5)^($A70/4))&gt;0)*('2. The tape'!$C$5:$C$13*'2. The tape'!$D$5:$D$13*(1-'2. The tape'!$J$5:$J$13)^($A70/4)*(1+$AP$5)^($A70/4)*((1-'3. Assumptions'!$B$13)/($AP$6)-'2. The tape'!$H$5:$H$13/12-'3. Assumptions'!$B$16)-'2. The tape'!$C$5:$C$13*'2. The tape'!$I$5:$I$13*(1+$AP$5)^($A70/4)))</f>
        <v>129783646.55581</v>
      </c>
      <c r="AR70" s="33" t="n">
        <f aca="false">'2. The tape'!$C$17*(1+MIN(MAX($AR$5,'3. Assumptions'!$B$11),'3. Assumptions'!$B$10))^INT(($A70-1)/4)/4*(1-'3. Assumptions'!$B$13)</f>
        <v>3978382.1008863</v>
      </c>
      <c r="AS70" s="33" t="n">
        <f aca="false">(1-'3. Assumptions'!$B$15)*SUMPRODUCT((('2. The tape'!$C$5:$C$13*'2. The tape'!$D$5:$D$13*(1-'2. The tape'!$J$5:$J$13)^($A70/4)*(1+$AR$5)^($A70/4)*((1-'3. Assumptions'!$B$13)/($AR$6)-'2. The tape'!$H$5:$H$13/12-'3. Assumptions'!$B$16)-'2. The tape'!$C$5:$C$13*'2. The tape'!$I$5:$I$13*(1+$AR$5)^($A70/4))&gt;0)*('2. The tape'!$C$5:$C$13*'2. The tape'!$D$5:$D$13*(1-'2. The tape'!$J$5:$J$13)^($A70/4)*(1+$AR$5)^($A70/4)*((1-'3. Assumptions'!$B$13)/($AR$6)-'2. The tape'!$H$5:$H$13/12-'3. Assumptions'!$B$16)-'2. The tape'!$C$5:$C$13*'2. The tape'!$I$5:$I$13*(1+$AR$5)^($A70/4)))</f>
        <v>129790112.969666</v>
      </c>
      <c r="AT70" s="33" t="n">
        <f aca="false">'2. The tape'!$C$17*(1+MIN(MAX($AT$5,'3. Assumptions'!$B$11),'3. Assumptions'!$B$10))^INT(($A70-1)/4)/4*(1-'3. Assumptions'!$B$13)</f>
        <v>3978382.1008863</v>
      </c>
      <c r="AU70" s="33" t="n">
        <f aca="false">(1-'3. Assumptions'!$B$15)*SUMPRODUCT((('2. The tape'!$C$5:$C$13*'2. The tape'!$D$5:$D$13*(1-'2. The tape'!$J$5:$J$13)^($A70/4)*(1+$AT$5)^($A70/4)*((1-'3. Assumptions'!$B$13)/($AT$6)-'2. The tape'!$H$5:$H$13/12-'3. Assumptions'!$B$16)-'2. The tape'!$C$5:$C$13*'2. The tape'!$I$5:$I$13*(1+$AT$5)^($A70/4))&gt;0)*('2. The tape'!$C$5:$C$13*'2. The tape'!$D$5:$D$13*(1-'2. The tape'!$J$5:$J$13)^($A70/4)*(1+$AT$5)^($A70/4)*((1-'3. Assumptions'!$B$13)/($AT$6)-'2. The tape'!$H$5:$H$13/12-'3. Assumptions'!$B$16)-'2. The tape'!$C$5:$C$13*'2. The tape'!$I$5:$I$13*(1+$AT$5)^($A70/4)))</f>
        <v>129790128.028317</v>
      </c>
      <c r="AV70" s="33" t="n">
        <f aca="false">'2. The tape'!$C$17*(1+MIN(MAX($AV$5,'3. Assumptions'!$B$11),'3. Assumptions'!$B$10))^INT(($A70-1)/4)/4*(1-'3. Assumptions'!$B$13)</f>
        <v>3978382.1008863</v>
      </c>
      <c r="AW70" s="33" t="n">
        <f aca="false">(1-'3. Assumptions'!$B$15)*SUMPRODUCT((('2. The tape'!$C$5:$C$13*'2. The tape'!$D$5:$D$13*(1-'2. The tape'!$J$5:$J$13)^($A70/4)*(1+$AV$5)^($A70/4)*((1-'3. Assumptions'!$B$13)/($AV$6)-'2. The tape'!$H$5:$H$13/12-'3. Assumptions'!$B$16)-'2. The tape'!$C$5:$C$13*'2. The tape'!$I$5:$I$13*(1+$AV$5)^($A70/4))&gt;0)*('2. The tape'!$C$5:$C$13*'2. The tape'!$D$5:$D$13*(1-'2. The tape'!$J$5:$J$13)^($A70/4)*(1+$AV$5)^($A70/4)*((1-'3. Assumptions'!$B$13)/($AV$6)-'2. The tape'!$H$5:$H$13/12-'3. Assumptions'!$B$16)-'2. The tape'!$C$5:$C$13*'2. The tape'!$I$5:$I$13*(1+$AV$5)^($A70/4)))</f>
        <v>129790128.027718</v>
      </c>
      <c r="AX70" s="33" t="n">
        <f aca="false">'2. The tape'!$C$17*(1+MIN(MAX($AX$5,'3. Assumptions'!$B$11),'3. Assumptions'!$B$10))^INT(($A70-1)/4)/4*(1-'3. Assumptions'!$B$13)</f>
        <v>3978382.1008863</v>
      </c>
      <c r="AY70" s="33" t="n">
        <f aca="false">(1-'3. Assumptions'!$B$15)*SUMPRODUCT((('2. The tape'!$C$5:$C$13*'2. The tape'!$D$5:$D$13*(1-'2. The tape'!$J$5:$J$13)^($A70/4)*(1+$AX$5)^($A70/4)*((1-'3. Assumptions'!$B$13)/($AX$6)-'2. The tape'!$H$5:$H$13/12-'3. Assumptions'!$B$16)-'2. The tape'!$C$5:$C$13*'2. The tape'!$I$5:$I$13*(1+$AX$5)^($A70/4))&gt;0)*('2. The tape'!$C$5:$C$13*'2. The tape'!$D$5:$D$13*(1-'2. The tape'!$J$5:$J$13)^($A70/4)*(1+$AX$5)^($A70/4)*((1-'3. Assumptions'!$B$13)/($AX$6)-'2. The tape'!$H$5:$H$13/12-'3. Assumptions'!$B$16)-'2. The tape'!$C$5:$C$13*'2. The tape'!$I$5:$I$13*(1+$AX$5)^($A70/4)))</f>
        <v>129790128.027718</v>
      </c>
      <c r="AZ70" s="33" t="n">
        <f aca="false">'2. The tape'!$C$17*(1+MIN(MAX($AZ$5,'3. Assumptions'!$B$11),'3. Assumptions'!$B$10))^INT(($A70-1)/4)/4*(1-'3. Assumptions'!$B$13)</f>
        <v>3978382.1008863</v>
      </c>
      <c r="BA70" s="33" t="n">
        <f aca="false">(1-'3. Assumptions'!$B$15)*SUMPRODUCT((('2. The tape'!$C$5:$C$13*'2. The tape'!$D$5:$D$13*(1-'2. The tape'!$J$5:$J$13)^($A70/4)*(1+$AZ$5)^($A70/4)*((1-'3. Assumptions'!$B$13)/($AZ$6)-'2. The tape'!$H$5:$H$13/12-'3. Assumptions'!$B$16)-'2. The tape'!$C$5:$C$13*'2. The tape'!$I$5:$I$13*(1+$AZ$5)^($A70/4))&gt;0)*('2. The tape'!$C$5:$C$13*'2. The tape'!$D$5:$D$13*(1-'2. The tape'!$J$5:$J$13)^($A70/4)*(1+$AZ$5)^($A70/4)*((1-'3. Assumptions'!$B$13)/($AZ$6)-'2. The tape'!$H$5:$H$13/12-'3. Assumptions'!$B$16)-'2. The tape'!$C$5:$C$13*'2. The tape'!$I$5:$I$13*(1+$AZ$5)^($A70/4)))</f>
        <v>129790128.027718</v>
      </c>
    </row>
    <row r="71" customFormat="false" ht="15" hidden="false" customHeight="false" outlineLevel="0" collapsed="false">
      <c r="A71" s="20" t="n">
        <v>56</v>
      </c>
      <c r="B71" s="33" t="n">
        <f aca="false">'2. The tape'!$C$17*(1+MIN(MAX($B$5,'3. Assumptions'!$B$11),'3. Assumptions'!$B$10))^INT(($A71-1)/4)/4*(1-'3. Assumptions'!$B$13)</f>
        <v>3978382.1008863</v>
      </c>
      <c r="C71" s="33" t="n">
        <f aca="false">(1-'3. Assumptions'!$B$15)*SUMPRODUCT((('2. The tape'!$C$5:$C$13*'2. The tape'!$D$5:$D$13*(1-'2. The tape'!$J$5:$J$13)^($A71/4)*(1+$B$5)^($A71/4)*((1-'3. Assumptions'!$B$13)/($B$6)-'2. The tape'!$H$5:$H$13/12-'3. Assumptions'!$B$16)-'2. The tape'!$C$5:$C$13*'2. The tape'!$I$5:$I$13*(1+$B$5)^($A71/4))&gt;0)*('2. The tape'!$C$5:$C$13*'2. The tape'!$D$5:$D$13*(1-'2. The tape'!$J$5:$J$13)^($A71/4)*(1+$B$5)^($A71/4)*((1-'3. Assumptions'!$B$13)/($B$6)-'2. The tape'!$H$5:$H$13/12-'3. Assumptions'!$B$16)-'2. The tape'!$C$5:$C$13*'2. The tape'!$I$5:$I$13*(1+$B$5)^($A71/4)))</f>
        <v>76550328.7565049</v>
      </c>
      <c r="D71" s="33" t="n">
        <f aca="false">'2. The tape'!$C$17*(1+MIN(MAX($D$5,'3. Assumptions'!$B$11),'3. Assumptions'!$B$10))^INT(($A71-1)/4)/4*(1-'3. Assumptions'!$B$13)</f>
        <v>4402798.07662914</v>
      </c>
      <c r="E71" s="33" t="n">
        <f aca="false">(1-'3. Assumptions'!$B$15)*SUMPRODUCT((('2. The tape'!$C$5:$C$13*'2. The tape'!$D$5:$D$13*(1-'2. The tape'!$J$5:$J$13)^($A71/4)*(1+$D$5)^($A71/4)*((1-'3. Assumptions'!$B$13)/($D$6)-'2. The tape'!$H$5:$H$13/12-'3. Assumptions'!$B$16)-'2. The tape'!$C$5:$C$13*'2. The tape'!$I$5:$I$13*(1+$D$5)^($A71/4))&gt;0)*('2. The tape'!$C$5:$C$13*'2. The tape'!$D$5:$D$13*(1-'2. The tape'!$J$5:$J$13)^($A71/4)*(1+$D$5)^($A71/4)*((1-'3. Assumptions'!$B$13)/($D$6)-'2. The tape'!$H$5:$H$13/12-'3. Assumptions'!$B$16)-'2. The tape'!$C$5:$C$13*'2. The tape'!$I$5:$I$13*(1+$D$5)^($A71/4)))</f>
        <v>91369114.5238328</v>
      </c>
      <c r="F71" s="33" t="n">
        <f aca="false">'2. The tape'!$C$17*(1+MIN(MAX($F$5,'3. Assumptions'!$B$11),'3. Assumptions'!$B$10))^INT(($A71-1)/4)/4*(1-'3. Assumptions'!$B$13)</f>
        <v>3412107.50575084</v>
      </c>
      <c r="G71" s="33" t="n">
        <f aca="false">(1-'3. Assumptions'!$B$15)*SUMPRODUCT((('2. The tape'!$C$5:$C$13*'2. The tape'!$D$5:$D$13*(1-'2. The tape'!$J$5:$J$13)^($A71/4)*(1+$F$5)^($A71/4)*((1-'3. Assumptions'!$B$13)/($F$6)-'2. The tape'!$H$5:$H$13/12-'3. Assumptions'!$B$16)-'2. The tape'!$C$5:$C$13*'2. The tape'!$I$5:$I$13*(1+$F$5)^($A71/4))&gt;0)*('2. The tape'!$C$5:$C$13*'2. The tape'!$D$5:$D$13*(1-'2. The tape'!$J$5:$J$13)^($A71/4)*(1+$F$5)^($A71/4)*((1-'3. Assumptions'!$B$13)/($F$6)-'2. The tape'!$H$5:$H$13/12-'3. Assumptions'!$B$16)-'2. The tape'!$C$5:$C$13*'2. The tape'!$I$5:$I$13*(1+$F$5)^($A71/4)))</f>
        <v>64883422.7668281</v>
      </c>
      <c r="H71" s="33" t="n">
        <f aca="false">'2. The tape'!$C$17*(1+MIN(MAX($H$5,'3. Assumptions'!$B$11),'3. Assumptions'!$B$10))^INT(($A71-1)/4)/4*(1-'3. Assumptions'!$B$13)</f>
        <v>4402798.07662914</v>
      </c>
      <c r="I71" s="33" t="n">
        <f aca="false">(1-'3. Assumptions'!$B$15)*SUMPRODUCT((('2. The tape'!$C$5:$C$13*'2. The tape'!$D$5:$D$13*(1-'2. The tape'!$J$5:$J$13)^($A71/4)*(1+$H$5)^($A71/4)*((1-'3. Assumptions'!$B$13)/($H$6)-'2. The tape'!$H$5:$H$13/12-'3. Assumptions'!$B$16)-'2. The tape'!$C$5:$C$13*'2. The tape'!$I$5:$I$13*(1+$H$5)^($A71/4))&gt;0)*('2. The tape'!$C$5:$C$13*'2. The tape'!$D$5:$D$13*(1-'2. The tape'!$J$5:$J$13)^($A71/4)*(1+$H$5)^($A71/4)*((1-'3. Assumptions'!$B$13)/($H$6)-'2. The tape'!$H$5:$H$13/12-'3. Assumptions'!$B$16)-'2. The tape'!$C$5:$C$13*'2. The tape'!$I$5:$I$13*(1+$H$5)^($A71/4)))</f>
        <v>91369114.5238328</v>
      </c>
      <c r="J71" s="33" t="n">
        <f aca="false">'2. The tape'!$C$17*(1+MIN(MAX($J$5,'3. Assumptions'!$B$11),'3. Assumptions'!$B$10))^INT(($A71-1)/4)/4*(1-'3. Assumptions'!$B$13)</f>
        <v>3978382.1008863</v>
      </c>
      <c r="K71" s="33" t="n">
        <f aca="false">(1-'3. Assumptions'!$B$15)*SUMPRODUCT((('2. The tape'!$C$5:$C$13*'2. The tape'!$D$5:$D$13*(1-'2. The tape'!$J$5:$J$13)^($A71/4)*(1+$J$5)^($A71/4)*((1-'3. Assumptions'!$B$13)/($J$6)-'2. The tape'!$H$5:$H$13/12-'3. Assumptions'!$B$16)-'2. The tape'!$C$5:$C$13*'2. The tape'!$I$5:$I$13*(1+$J$5)^($A71/4))&gt;0)*('2. The tape'!$C$5:$C$13*'2. The tape'!$D$5:$D$13*(1-'2. The tape'!$J$5:$J$13)^($A71/4)*(1+$J$5)^($A71/4)*((1-'3. Assumptions'!$B$13)/($J$6)-'2. The tape'!$H$5:$H$13/12-'3. Assumptions'!$B$16)-'2. The tape'!$C$5:$C$13*'2. The tape'!$I$5:$I$13*(1+$J$5)^($A71/4)))</f>
        <v>62500850.0583401</v>
      </c>
      <c r="L71" s="33" t="n">
        <f aca="false">'2. The tape'!$C$17*(1+MIN(MAX($L$5,'3. Assumptions'!$B$11),'3. Assumptions'!$B$10))^INT(($A71-1)/4)/4*(1-'3. Assumptions'!$B$13)</f>
        <v>4402798.07662914</v>
      </c>
      <c r="M71" s="33" t="n">
        <f aca="false">(1-'3. Assumptions'!$B$15)*SUMPRODUCT((('2. The tape'!$C$5:$C$13*'2. The tape'!$D$5:$D$13*(1-'2. The tape'!$J$5:$J$13)^($A71/4)*(1+$L$5)^($A71/4)*((1-'3. Assumptions'!$B$13)/($L$6)-'2. The tape'!$H$5:$H$13/12-'3. Assumptions'!$B$16)-'2. The tape'!$C$5:$C$13*'2. The tape'!$I$5:$I$13*(1+$L$5)^($A71/4))&gt;0)*('2. The tape'!$C$5:$C$13*'2. The tape'!$D$5:$D$13*(1-'2. The tape'!$J$5:$J$13)^($A71/4)*(1+$L$5)^($A71/4)*((1-'3. Assumptions'!$B$13)/($L$6)-'2. The tape'!$H$5:$H$13/12-'3. Assumptions'!$B$16)-'2. The tape'!$C$5:$C$13*'2. The tape'!$I$5:$I$13*(1+$L$5)^($A71/4)))</f>
        <v>2222498370.84985</v>
      </c>
      <c r="N71" s="33" t="n">
        <f aca="false">'2. The tape'!$C$17*(1+MIN(MAX($N$5,'3. Assumptions'!$B$11),'3. Assumptions'!$B$10))^INT(($A71-1)/4)/4*(1-'3. Assumptions'!$B$13)</f>
        <v>2998091.25</v>
      </c>
      <c r="O71" s="33" t="n">
        <f aca="false">(1-'3. Assumptions'!$B$15)*SUMPRODUCT((('2. The tape'!$C$5:$C$13*'2. The tape'!$D$5:$D$13*(1-'2. The tape'!$J$5:$J$13)^($A71/4)*(1+$N$5)^($A71/4)*((1-'3. Assumptions'!$B$13)/($N$6)-'2. The tape'!$H$5:$H$13/12-'3. Assumptions'!$B$16)-'2. The tape'!$C$5:$C$13*'2. The tape'!$I$5:$I$13*(1+$N$5)^($A71/4))&gt;0)*('2. The tape'!$C$5:$C$13*'2. The tape'!$D$5:$D$13*(1-'2. The tape'!$J$5:$J$13)^($A71/4)*(1+$N$5)^($A71/4)*((1-'3. Assumptions'!$B$13)/($N$6)-'2. The tape'!$H$5:$H$13/12-'3. Assumptions'!$B$16)-'2. The tape'!$C$5:$C$13*'2. The tape'!$I$5:$I$13*(1+$N$5)^($A71/4)))</f>
        <v>36850110.8595487</v>
      </c>
      <c r="P71" s="33" t="n">
        <f aca="false">'2. The tape'!$C$17*(1+MIN(MAX($P$5,'3. Assumptions'!$B$11),'3. Assumptions'!$B$10))^INT(($A71-1)/4)/4*(1-'3. Assumptions'!$B$13)</f>
        <v>2998091.25</v>
      </c>
      <c r="Q71" s="33" t="n">
        <f aca="false">(1-'3. Assumptions'!$B$15)*SUMPRODUCT((('2. The tape'!$C$5:$C$13*'2. The tape'!$D$5:$D$13*(1-'2. The tape'!$J$5:$J$13)^($A71/4)*(1+$P$5)^($A71/4)*((1-'3. Assumptions'!$B$13)/($P$6)-'2. The tape'!$H$5:$H$13/12-'3. Assumptions'!$B$16)-'2. The tape'!$C$5:$C$13*'2. The tape'!$I$5:$I$13*(1+$P$5)^($A71/4))&gt;0)*('2. The tape'!$C$5:$C$13*'2. The tape'!$D$5:$D$13*(1-'2. The tape'!$J$5:$J$13)^($A71/4)*(1+$P$5)^($A71/4)*((1-'3. Assumptions'!$B$13)/($P$6)-'2. The tape'!$H$5:$H$13/12-'3. Assumptions'!$B$16)-'2. The tape'!$C$5:$C$13*'2. The tape'!$I$5:$I$13*(1+$P$5)^($A71/4)))</f>
        <v>42540205.0262616</v>
      </c>
      <c r="R71" s="33" t="n">
        <f aca="false">'2. The tape'!$C$17*(1+MIN(MAX($R$5,'3. Assumptions'!$B$11),'3. Assumptions'!$B$10))^INT(($A71-1)/4)/4*(1-'3. Assumptions'!$B$13)</f>
        <v>2998091.25</v>
      </c>
      <c r="S71" s="33" t="n">
        <f aca="false">(1-'3. Assumptions'!$B$15)*SUMPRODUCT((('2. The tape'!$C$5:$C$13*'2. The tape'!$D$5:$D$13*(1-'2. The tape'!$J$5:$J$13)^($A71/4)*(1+$R$5)^($A71/4)*((1-'3. Assumptions'!$B$13)/($R$6)-'2. The tape'!$H$5:$H$13/12-'3. Assumptions'!$B$16)-'2. The tape'!$C$5:$C$13*'2. The tape'!$I$5:$I$13*(1+$R$5)^($A71/4))&gt;0)*('2. The tape'!$C$5:$C$13*'2. The tape'!$D$5:$D$13*(1-'2. The tape'!$J$5:$J$13)^($A71/4)*(1+$R$5)^($A71/4)*((1-'3. Assumptions'!$B$13)/($R$6)-'2. The tape'!$H$5:$H$13/12-'3. Assumptions'!$B$16)-'2. The tape'!$C$5:$C$13*'2. The tape'!$I$5:$I$13*(1+$R$5)^($A71/4)))</f>
        <v>39005505.0652972</v>
      </c>
      <c r="T71" s="33" t="n">
        <f aca="false">'2. The tape'!$C$17*(1+MIN(MAX($T$5,'3. Assumptions'!$B$11),'3. Assumptions'!$B$10))^INT(($A71-1)/4)/4*(1-'3. Assumptions'!$B$13)</f>
        <v>2998091.25</v>
      </c>
      <c r="U71" s="33" t="n">
        <f aca="false">(1-'3. Assumptions'!$B$15)*SUMPRODUCT((('2. The tape'!$C$5:$C$13*'2. The tape'!$D$5:$D$13*(1-'2. The tape'!$J$5:$J$13)^($A71/4)*(1+$T$5)^($A71/4)*((1-'3. Assumptions'!$B$13)/($T$6)-'2. The tape'!$H$5:$H$13/12-'3. Assumptions'!$B$16)-'2. The tape'!$C$5:$C$13*'2. The tape'!$I$5:$I$13*(1+$T$5)^($A71/4))&gt;0)*('2. The tape'!$C$5:$C$13*'2. The tape'!$D$5:$D$13*(1-'2. The tape'!$J$5:$J$13)^($A71/4)*(1+$T$5)^($A71/4)*((1-'3. Assumptions'!$B$13)/($T$6)-'2. The tape'!$H$5:$H$13/12-'3. Assumptions'!$B$16)-'2. The tape'!$C$5:$C$13*'2. The tape'!$I$5:$I$13*(1+$T$5)^($A71/4)))</f>
        <v>38913544.1024711</v>
      </c>
      <c r="V71" s="33" t="n">
        <f aca="false">'2. The tape'!$C$17*(1+MIN(MAX($V$5,'3. Assumptions'!$B$11),'3. Assumptions'!$B$10))^INT(($A71-1)/4)/4*(1-'3. Assumptions'!$B$13)</f>
        <v>2998091.25</v>
      </c>
      <c r="W71" s="33" t="n">
        <f aca="false">(1-'3. Assumptions'!$B$15)*SUMPRODUCT((('2. The tape'!$C$5:$C$13*'2. The tape'!$D$5:$D$13*(1-'2. The tape'!$J$5:$J$13)^($A71/4)*(1+$V$5)^($A71/4)*((1-'3. Assumptions'!$B$13)/($V$6)-'2. The tape'!$H$5:$H$13/12-'3. Assumptions'!$B$16)-'2. The tape'!$C$5:$C$13*'2. The tape'!$I$5:$I$13*(1+$V$5)^($A71/4))&gt;0)*('2. The tape'!$C$5:$C$13*'2. The tape'!$D$5:$D$13*(1-'2. The tape'!$J$5:$J$13)^($A71/4)*(1+$V$5)^($A71/4)*((1-'3. Assumptions'!$B$13)/($V$6)-'2. The tape'!$H$5:$H$13/12-'3. Assumptions'!$B$16)-'2. The tape'!$C$5:$C$13*'2. The tape'!$I$5:$I$13*(1+$V$5)^($A71/4)))</f>
        <v>38917235.1202277</v>
      </c>
      <c r="X71" s="33" t="n">
        <f aca="false">'2. The tape'!$C$17*(1+MIN(MAX($X$5,'3. Assumptions'!$B$11),'3. Assumptions'!$B$10))^INT(($A71-1)/4)/4*(1-'3. Assumptions'!$B$13)</f>
        <v>2998091.25</v>
      </c>
      <c r="Y71" s="33" t="n">
        <f aca="false">(1-'3. Assumptions'!$B$15)*SUMPRODUCT((('2. The tape'!$C$5:$C$13*'2. The tape'!$D$5:$D$13*(1-'2. The tape'!$J$5:$J$13)^($A71/4)*(1+$X$5)^($A71/4)*((1-'3. Assumptions'!$B$13)/($X$6)-'2. The tape'!$H$5:$H$13/12-'3. Assumptions'!$B$16)-'2. The tape'!$C$5:$C$13*'2. The tape'!$I$5:$I$13*(1+$X$5)^($A71/4))&gt;0)*('2. The tape'!$C$5:$C$13*'2. The tape'!$D$5:$D$13*(1-'2. The tape'!$J$5:$J$13)^($A71/4)*(1+$X$5)^($A71/4)*((1-'3. Assumptions'!$B$13)/($X$6)-'2. The tape'!$H$5:$H$13/12-'3. Assumptions'!$B$16)-'2. The tape'!$C$5:$C$13*'2. The tape'!$I$5:$I$13*(1+$X$5)^($A71/4)))</f>
        <v>38917231.2387222</v>
      </c>
      <c r="Z71" s="33" t="n">
        <f aca="false">'2. The tape'!$C$17*(1+MIN(MAX($Z$5,'3. Assumptions'!$B$11),'3. Assumptions'!$B$10))^INT(($A71-1)/4)/4*(1-'3. Assumptions'!$B$13)</f>
        <v>2998091.25</v>
      </c>
      <c r="AA71" s="33" t="n">
        <f aca="false">(1-'3. Assumptions'!$B$15)*SUMPRODUCT((('2. The tape'!$C$5:$C$13*'2. The tape'!$D$5:$D$13*(1-'2. The tape'!$J$5:$J$13)^($A71/4)*(1+$Z$5)^($A71/4)*((1-'3. Assumptions'!$B$13)/($Z$6)-'2. The tape'!$H$5:$H$13/12-'3. Assumptions'!$B$16)-'2. The tape'!$C$5:$C$13*'2. The tape'!$I$5:$I$13*(1+$Z$5)^($A71/4))&gt;0)*('2. The tape'!$C$5:$C$13*'2. The tape'!$D$5:$D$13*(1-'2. The tape'!$J$5:$J$13)^($A71/4)*(1+$Z$5)^($A71/4)*((1-'3. Assumptions'!$B$13)/($Z$6)-'2. The tape'!$H$5:$H$13/12-'3. Assumptions'!$B$16)-'2. The tape'!$C$5:$C$13*'2. The tape'!$I$5:$I$13*(1+$Z$5)^($A71/4)))</f>
        <v>38917231.2385513</v>
      </c>
      <c r="AB71" s="33" t="n">
        <f aca="false">'2. The tape'!$C$17*(1+MIN(MAX($AB$5,'3. Assumptions'!$B$11),'3. Assumptions'!$B$10))^INT(($A71-1)/4)/4*(1-'3. Assumptions'!$B$13)</f>
        <v>2998091.25</v>
      </c>
      <c r="AC71" s="33" t="n">
        <f aca="false">(1-'3. Assumptions'!$B$15)*SUMPRODUCT((('2. The tape'!$C$5:$C$13*'2. The tape'!$D$5:$D$13*(1-'2. The tape'!$J$5:$J$13)^($A71/4)*(1+$AB$5)^($A71/4)*((1-'3. Assumptions'!$B$13)/($AB$6)-'2. The tape'!$H$5:$H$13/12-'3. Assumptions'!$B$16)-'2. The tape'!$C$5:$C$13*'2. The tape'!$I$5:$I$13*(1+$AB$5)^($A71/4))&gt;0)*('2. The tape'!$C$5:$C$13*'2. The tape'!$D$5:$D$13*(1-'2. The tape'!$J$5:$J$13)^($A71/4)*(1+$AB$5)^($A71/4)*((1-'3. Assumptions'!$B$13)/($AB$6)-'2. The tape'!$H$5:$H$13/12-'3. Assumptions'!$B$16)-'2. The tape'!$C$5:$C$13*'2. The tape'!$I$5:$I$13*(1+$AB$5)^($A71/4)))</f>
        <v>38917231.2385513</v>
      </c>
      <c r="AD71" s="33" t="n">
        <f aca="false">'2. The tape'!$C$17*(1+MIN(MAX($AD$5,'3. Assumptions'!$B$11),'3. Assumptions'!$B$10))^INT(($A71-1)/4)/4*(1-'3. Assumptions'!$B$13)</f>
        <v>2998091.25</v>
      </c>
      <c r="AE71" s="33" t="n">
        <f aca="false">(1-'3. Assumptions'!$B$15)*SUMPRODUCT((('2. The tape'!$C$5:$C$13*'2. The tape'!$D$5:$D$13*(1-'2. The tape'!$J$5:$J$13)^($A71/4)*(1+$AD$5)^($A71/4)*((1-'3. Assumptions'!$B$13)/($AD$6)-'2. The tape'!$H$5:$H$13/12-'3. Assumptions'!$B$16)-'2. The tape'!$C$5:$C$13*'2. The tape'!$I$5:$I$13*(1+$AD$5)^($A71/4))&gt;0)*('2. The tape'!$C$5:$C$13*'2. The tape'!$D$5:$D$13*(1-'2. The tape'!$J$5:$J$13)^($A71/4)*(1+$AD$5)^($A71/4)*((1-'3. Assumptions'!$B$13)/($AD$6)-'2. The tape'!$H$5:$H$13/12-'3. Assumptions'!$B$16)-'2. The tape'!$C$5:$C$13*'2. The tape'!$I$5:$I$13*(1+$AD$5)^($A71/4)))</f>
        <v>38917231.2385513</v>
      </c>
      <c r="AF71" s="33" t="n">
        <f aca="false">'2. The tape'!$C$17*(1+MIN(MAX($AF$5,'3. Assumptions'!$B$11),'3. Assumptions'!$B$10))^INT(($A71-1)/4)/4*(1-'3. Assumptions'!$B$13)</f>
        <v>2998091.25</v>
      </c>
      <c r="AG71" s="33" t="n">
        <f aca="false">(1-'3. Assumptions'!$B$15)*SUMPRODUCT((('2. The tape'!$C$5:$C$13*'2. The tape'!$D$5:$D$13*(1-'2. The tape'!$J$5:$J$13)^($A71/4)*(1+$AF$5)^($A71/4)*((1-'3. Assumptions'!$B$13)/($AF$6)-'2. The tape'!$H$5:$H$13/12-'3. Assumptions'!$B$16)-'2. The tape'!$C$5:$C$13*'2. The tape'!$I$5:$I$13*(1+$AF$5)^($A71/4))&gt;0)*('2. The tape'!$C$5:$C$13*'2. The tape'!$D$5:$D$13*(1-'2. The tape'!$J$5:$J$13)^($A71/4)*(1+$AF$5)^($A71/4)*((1-'3. Assumptions'!$B$13)/($AF$6)-'2. The tape'!$H$5:$H$13/12-'3. Assumptions'!$B$16)-'2. The tape'!$C$5:$C$13*'2. The tape'!$I$5:$I$13*(1+$AF$5)^($A71/4)))</f>
        <v>38917231.2385513</v>
      </c>
      <c r="AH71" s="33" t="n">
        <f aca="false">'2. The tape'!$C$17*(1+MIN(MAX($AH$5,'3. Assumptions'!$B$11),'3. Assumptions'!$B$10))^INT(($A71-1)/4)/4*(1-'3. Assumptions'!$B$13)</f>
        <v>3978382.1008863</v>
      </c>
      <c r="AI71" s="33" t="n">
        <f aca="false">(1-'3. Assumptions'!$B$15)*SUMPRODUCT((('2. The tape'!$C$5:$C$13*'2. The tape'!$D$5:$D$13*(1-'2. The tape'!$J$5:$J$13)^($A71/4)*(1+$AH$5)^($A71/4)*((1-'3. Assumptions'!$B$13)/($AH$6)-'2. The tape'!$H$5:$H$13/12-'3. Assumptions'!$B$16)-'2. The tape'!$C$5:$C$13*'2. The tape'!$I$5:$I$13*(1+$AH$5)^($A71/4))&gt;0)*('2. The tape'!$C$5:$C$13*'2. The tape'!$D$5:$D$13*(1-'2. The tape'!$J$5:$J$13)^($A71/4)*(1+$AH$5)^($A71/4)*((1-'3. Assumptions'!$B$13)/($AH$6)-'2. The tape'!$H$5:$H$13/12-'3. Assumptions'!$B$16)-'2. The tape'!$C$5:$C$13*'2. The tape'!$I$5:$I$13*(1+$AH$5)^($A71/4)))</f>
        <v>153260482.448485</v>
      </c>
      <c r="AJ71" s="33" t="n">
        <f aca="false">'2. The tape'!$C$17*(1+MIN(MAX($AJ$5,'3. Assumptions'!$B$11),'3. Assumptions'!$B$10))^INT(($A71-1)/4)/4*(1-'3. Assumptions'!$B$13)</f>
        <v>3978382.1008863</v>
      </c>
      <c r="AK71" s="33" t="n">
        <f aca="false">(1-'3. Assumptions'!$B$15)*SUMPRODUCT((('2. The tape'!$C$5:$C$13*'2. The tape'!$D$5:$D$13*(1-'2. The tape'!$J$5:$J$13)^($A71/4)*(1+$AJ$5)^($A71/4)*((1-'3. Assumptions'!$B$13)/($AJ$6)-'2. The tape'!$H$5:$H$13/12-'3. Assumptions'!$B$16)-'2. The tape'!$C$5:$C$13*'2. The tape'!$I$5:$I$13*(1+$AJ$5)^($A71/4))&gt;0)*('2. The tape'!$C$5:$C$13*'2. The tape'!$D$5:$D$13*(1-'2. The tape'!$J$5:$J$13)^($A71/4)*(1+$AJ$5)^($A71/4)*((1-'3. Assumptions'!$B$13)/($AJ$6)-'2. The tape'!$H$5:$H$13/12-'3. Assumptions'!$B$16)-'2. The tape'!$C$5:$C$13*'2. The tape'!$I$5:$I$13*(1+$AJ$5)^($A71/4)))</f>
        <v>110269077.6321</v>
      </c>
      <c r="AL71" s="33" t="n">
        <f aca="false">'2. The tape'!$C$17*(1+MIN(MAX($AL$5,'3. Assumptions'!$B$11),'3. Assumptions'!$B$10))^INT(($A71-1)/4)/4*(1-'3. Assumptions'!$B$13)</f>
        <v>3978382.1008863</v>
      </c>
      <c r="AM71" s="33" t="n">
        <f aca="false">(1-'3. Assumptions'!$B$15)*SUMPRODUCT((('2. The tape'!$C$5:$C$13*'2. The tape'!$D$5:$D$13*(1-'2. The tape'!$J$5:$J$13)^($A71/4)*(1+$AL$5)^($A71/4)*((1-'3. Assumptions'!$B$13)/($AL$6)-'2. The tape'!$H$5:$H$13/12-'3. Assumptions'!$B$16)-'2. The tape'!$C$5:$C$13*'2. The tape'!$I$5:$I$13*(1+$AL$5)^($A71/4))&gt;0)*('2. The tape'!$C$5:$C$13*'2. The tape'!$D$5:$D$13*(1-'2. The tape'!$J$5:$J$13)^($A71/4)*(1+$AL$5)^($A71/4)*((1-'3. Assumptions'!$B$13)/($AL$6)-'2. The tape'!$H$5:$H$13/12-'3. Assumptions'!$B$16)-'2. The tape'!$C$5:$C$13*'2. The tape'!$I$5:$I$13*(1+$AL$5)^($A71/4)))</f>
        <v>126943012.394317</v>
      </c>
      <c r="AN71" s="33" t="n">
        <f aca="false">'2. The tape'!$C$17*(1+MIN(MAX($AN$5,'3. Assumptions'!$B$11),'3. Assumptions'!$B$10))^INT(($A71-1)/4)/4*(1-'3. Assumptions'!$B$13)</f>
        <v>3978382.1008863</v>
      </c>
      <c r="AO71" s="33" t="n">
        <f aca="false">(1-'3. Assumptions'!$B$15)*SUMPRODUCT((('2. The tape'!$C$5:$C$13*'2. The tape'!$D$5:$D$13*(1-'2. The tape'!$J$5:$J$13)^($A71/4)*(1+$AN$5)^($A71/4)*((1-'3. Assumptions'!$B$13)/($AN$6)-'2. The tape'!$H$5:$H$13/12-'3. Assumptions'!$B$16)-'2. The tape'!$C$5:$C$13*'2. The tape'!$I$5:$I$13*(1+$AN$5)^($A71/4))&gt;0)*('2. The tape'!$C$5:$C$13*'2. The tape'!$D$5:$D$13*(1-'2. The tape'!$J$5:$J$13)^($A71/4)*(1+$AN$5)^($A71/4)*((1-'3. Assumptions'!$B$13)/($AN$6)-'2. The tape'!$H$5:$H$13/12-'3. Assumptions'!$B$16)-'2. The tape'!$C$5:$C$13*'2. The tape'!$I$5:$I$13*(1+$AN$5)^($A71/4)))</f>
        <v>130064885.024323</v>
      </c>
      <c r="AP71" s="33" t="n">
        <f aca="false">'2. The tape'!$C$17*(1+MIN(MAX($AP$5,'3. Assumptions'!$B$11),'3. Assumptions'!$B$10))^INT(($A71-1)/4)/4*(1-'3. Assumptions'!$B$13)</f>
        <v>3978382.1008863</v>
      </c>
      <c r="AQ71" s="33" t="n">
        <f aca="false">(1-'3. Assumptions'!$B$15)*SUMPRODUCT((('2. The tape'!$C$5:$C$13*'2. The tape'!$D$5:$D$13*(1-'2. The tape'!$J$5:$J$13)^($A71/4)*(1+$AP$5)^($A71/4)*((1-'3. Assumptions'!$B$13)/($AP$6)-'2. The tape'!$H$5:$H$13/12-'3. Assumptions'!$B$16)-'2. The tape'!$C$5:$C$13*'2. The tape'!$I$5:$I$13*(1+$AP$5)^($A71/4))&gt;0)*('2. The tape'!$C$5:$C$13*'2. The tape'!$D$5:$D$13*(1-'2. The tape'!$J$5:$J$13)^($A71/4)*(1+$AP$5)^($A71/4)*((1-'3. Assumptions'!$B$13)/($AP$6)-'2. The tape'!$H$5:$H$13/12-'3. Assumptions'!$B$16)-'2. The tape'!$C$5:$C$13*'2. The tape'!$I$5:$I$13*(1+$AP$5)^($A71/4)))</f>
        <v>129679496.254349</v>
      </c>
      <c r="AR71" s="33" t="n">
        <f aca="false">'2. The tape'!$C$17*(1+MIN(MAX($AR$5,'3. Assumptions'!$B$11),'3. Assumptions'!$B$10))^INT(($A71-1)/4)/4*(1-'3. Assumptions'!$B$13)</f>
        <v>3978382.1008863</v>
      </c>
      <c r="AS71" s="33" t="n">
        <f aca="false">(1-'3. Assumptions'!$B$15)*SUMPRODUCT((('2. The tape'!$C$5:$C$13*'2. The tape'!$D$5:$D$13*(1-'2. The tape'!$J$5:$J$13)^($A71/4)*(1+$AR$5)^($A71/4)*((1-'3. Assumptions'!$B$13)/($AR$6)-'2. The tape'!$H$5:$H$13/12-'3. Assumptions'!$B$16)-'2. The tape'!$C$5:$C$13*'2. The tape'!$I$5:$I$13*(1+$AR$5)^($A71/4))&gt;0)*('2. The tape'!$C$5:$C$13*'2. The tape'!$D$5:$D$13*(1-'2. The tape'!$J$5:$J$13)^($A71/4)*(1+$AR$5)^($A71/4)*((1-'3. Assumptions'!$B$13)/($AR$6)-'2. The tape'!$H$5:$H$13/12-'3. Assumptions'!$B$16)-'2. The tape'!$C$5:$C$13*'2. The tape'!$I$5:$I$13*(1+$AR$5)^($A71/4)))</f>
        <v>129685962.525898</v>
      </c>
      <c r="AT71" s="33" t="n">
        <f aca="false">'2. The tape'!$C$17*(1+MIN(MAX($AT$5,'3. Assumptions'!$B$11),'3. Assumptions'!$B$10))^INT(($A71-1)/4)/4*(1-'3. Assumptions'!$B$13)</f>
        <v>3978382.1008863</v>
      </c>
      <c r="AU71" s="33" t="n">
        <f aca="false">(1-'3. Assumptions'!$B$15)*SUMPRODUCT((('2. The tape'!$C$5:$C$13*'2. The tape'!$D$5:$D$13*(1-'2. The tape'!$J$5:$J$13)^($A71/4)*(1+$AT$5)^($A71/4)*((1-'3. Assumptions'!$B$13)/($AT$6)-'2. The tape'!$H$5:$H$13/12-'3. Assumptions'!$B$16)-'2. The tape'!$C$5:$C$13*'2. The tape'!$I$5:$I$13*(1+$AT$5)^($A71/4))&gt;0)*('2. The tape'!$C$5:$C$13*'2. The tape'!$D$5:$D$13*(1-'2. The tape'!$J$5:$J$13)^($A71/4)*(1+$AT$5)^($A71/4)*((1-'3. Assumptions'!$B$13)/($AT$6)-'2. The tape'!$H$5:$H$13/12-'3. Assumptions'!$B$16)-'2. The tape'!$C$5:$C$13*'2. The tape'!$I$5:$I$13*(1+$AT$5)^($A71/4)))</f>
        <v>129685977.584218</v>
      </c>
      <c r="AV71" s="33" t="n">
        <f aca="false">'2. The tape'!$C$17*(1+MIN(MAX($AV$5,'3. Assumptions'!$B$11),'3. Assumptions'!$B$10))^INT(($A71-1)/4)/4*(1-'3. Assumptions'!$B$13)</f>
        <v>3978382.1008863</v>
      </c>
      <c r="AW71" s="33" t="n">
        <f aca="false">(1-'3. Assumptions'!$B$15)*SUMPRODUCT((('2. The tape'!$C$5:$C$13*'2. The tape'!$D$5:$D$13*(1-'2. The tape'!$J$5:$J$13)^($A71/4)*(1+$AV$5)^($A71/4)*((1-'3. Assumptions'!$B$13)/($AV$6)-'2. The tape'!$H$5:$H$13/12-'3. Assumptions'!$B$16)-'2. The tape'!$C$5:$C$13*'2. The tape'!$I$5:$I$13*(1+$AV$5)^($A71/4))&gt;0)*('2. The tape'!$C$5:$C$13*'2. The tape'!$D$5:$D$13*(1-'2. The tape'!$J$5:$J$13)^($A71/4)*(1+$AV$5)^($A71/4)*((1-'3. Assumptions'!$B$13)/($AV$6)-'2. The tape'!$H$5:$H$13/12-'3. Assumptions'!$B$16)-'2. The tape'!$C$5:$C$13*'2. The tape'!$I$5:$I$13*(1+$AV$5)^($A71/4)))</f>
        <v>129685977.583618</v>
      </c>
      <c r="AX71" s="33" t="n">
        <f aca="false">'2. The tape'!$C$17*(1+MIN(MAX($AX$5,'3. Assumptions'!$B$11),'3. Assumptions'!$B$10))^INT(($A71-1)/4)/4*(1-'3. Assumptions'!$B$13)</f>
        <v>3978382.1008863</v>
      </c>
      <c r="AY71" s="33" t="n">
        <f aca="false">(1-'3. Assumptions'!$B$15)*SUMPRODUCT((('2. The tape'!$C$5:$C$13*'2. The tape'!$D$5:$D$13*(1-'2. The tape'!$J$5:$J$13)^($A71/4)*(1+$AX$5)^($A71/4)*((1-'3. Assumptions'!$B$13)/($AX$6)-'2. The tape'!$H$5:$H$13/12-'3. Assumptions'!$B$16)-'2. The tape'!$C$5:$C$13*'2. The tape'!$I$5:$I$13*(1+$AX$5)^($A71/4))&gt;0)*('2. The tape'!$C$5:$C$13*'2. The tape'!$D$5:$D$13*(1-'2. The tape'!$J$5:$J$13)^($A71/4)*(1+$AX$5)^($A71/4)*((1-'3. Assumptions'!$B$13)/($AX$6)-'2. The tape'!$H$5:$H$13/12-'3. Assumptions'!$B$16)-'2. The tape'!$C$5:$C$13*'2. The tape'!$I$5:$I$13*(1+$AX$5)^($A71/4)))</f>
        <v>129685977.583618</v>
      </c>
      <c r="AZ71" s="33" t="n">
        <f aca="false">'2. The tape'!$C$17*(1+MIN(MAX($AZ$5,'3. Assumptions'!$B$11),'3. Assumptions'!$B$10))^INT(($A71-1)/4)/4*(1-'3. Assumptions'!$B$13)</f>
        <v>3978382.1008863</v>
      </c>
      <c r="BA71" s="33" t="n">
        <f aca="false">(1-'3. Assumptions'!$B$15)*SUMPRODUCT((('2. The tape'!$C$5:$C$13*'2. The tape'!$D$5:$D$13*(1-'2. The tape'!$J$5:$J$13)^($A71/4)*(1+$AZ$5)^($A71/4)*((1-'3. Assumptions'!$B$13)/($AZ$6)-'2. The tape'!$H$5:$H$13/12-'3. Assumptions'!$B$16)-'2. The tape'!$C$5:$C$13*'2. The tape'!$I$5:$I$13*(1+$AZ$5)^($A71/4))&gt;0)*('2. The tape'!$C$5:$C$13*'2. The tape'!$D$5:$D$13*(1-'2. The tape'!$J$5:$J$13)^($A71/4)*(1+$AZ$5)^($A71/4)*((1-'3. Assumptions'!$B$13)/($AZ$6)-'2. The tape'!$H$5:$H$13/12-'3. Assumptions'!$B$16)-'2. The tape'!$C$5:$C$13*'2. The tape'!$I$5:$I$13*(1+$AZ$5)^($A71/4)))</f>
        <v>129685977.583618</v>
      </c>
    </row>
    <row r="72" customFormat="false" ht="15" hidden="false" customHeight="false" outlineLevel="0" collapsed="false">
      <c r="A72" s="20" t="n">
        <v>57</v>
      </c>
      <c r="B72" s="33" t="n">
        <f aca="false">'2. The tape'!$C$17*(1+MIN(MAX($B$5,'3. Assumptions'!$B$11),'3. Assumptions'!$B$10))^INT(($A72-1)/4)/4*(1-'3. Assumptions'!$B$13)</f>
        <v>4065906.50710579</v>
      </c>
      <c r="C72" s="33" t="n">
        <f aca="false">(1-'3. Assumptions'!$B$15)*SUMPRODUCT((('2. The tape'!$C$5:$C$13*'2. The tape'!$D$5:$D$13*(1-'2. The tape'!$J$5:$J$13)^($A72/4)*(1+$B$5)^($A72/4)*((1-'3. Assumptions'!$B$13)/($B$6)-'2. The tape'!$H$5:$H$13/12-'3. Assumptions'!$B$16)-'2. The tape'!$C$5:$C$13*'2. The tape'!$I$5:$I$13*(1+$B$5)^($A72/4))&gt;0)*('2. The tape'!$C$5:$C$13*'2. The tape'!$D$5:$D$13*(1-'2. The tape'!$J$5:$J$13)^($A72/4)*(1+$B$5)^($A72/4)*((1-'3. Assumptions'!$B$13)/($B$6)-'2. The tape'!$H$5:$H$13/12-'3. Assumptions'!$B$16)-'2. The tape'!$C$5:$C$13*'2. The tape'!$I$5:$I$13*(1+$B$5)^($A72/4)))</f>
        <v>76447020.49737</v>
      </c>
      <c r="D72" s="33" t="n">
        <f aca="false">'2. The tape'!$C$17*(1+MIN(MAX($D$5,'3. Assumptions'!$B$11),'3. Assumptions'!$B$10))^INT(($A72-1)/4)/4*(1-'3. Assumptions'!$B$13)</f>
        <v>4534882.01892802</v>
      </c>
      <c r="E72" s="33" t="n">
        <f aca="false">(1-'3. Assumptions'!$B$15)*SUMPRODUCT((('2. The tape'!$C$5:$C$13*'2. The tape'!$D$5:$D$13*(1-'2. The tape'!$J$5:$J$13)^($A72/4)*(1+$D$5)^($A72/4)*((1-'3. Assumptions'!$B$13)/($D$6)-'2. The tape'!$H$5:$H$13/12-'3. Assumptions'!$B$16)-'2. The tape'!$C$5:$C$13*'2. The tape'!$I$5:$I$13*(1+$D$5)^($A72/4))&gt;0)*('2. The tape'!$C$5:$C$13*'2. The tape'!$D$5:$D$13*(1-'2. The tape'!$J$5:$J$13)^($A72/4)*(1+$D$5)^($A72/4)*((1-'3. Assumptions'!$B$13)/($D$6)-'2. The tape'!$H$5:$H$13/12-'3. Assumptions'!$B$16)-'2. The tape'!$C$5:$C$13*'2. The tape'!$I$5:$I$13*(1+$D$5)^($A72/4)))</f>
        <v>91534598.9337366</v>
      </c>
      <c r="F72" s="33" t="n">
        <f aca="false">'2. The tape'!$C$17*(1+MIN(MAX($F$5,'3. Assumptions'!$B$11),'3. Assumptions'!$B$10))^INT(($A72-1)/4)/4*(1-'3. Assumptions'!$B$13)</f>
        <v>3446228.58080835</v>
      </c>
      <c r="G72" s="33" t="n">
        <f aca="false">(1-'3. Assumptions'!$B$15)*SUMPRODUCT((('2. The tape'!$C$5:$C$13*'2. The tape'!$D$5:$D$13*(1-'2. The tape'!$J$5:$J$13)^($A72/4)*(1+$F$5)^($A72/4)*((1-'3. Assumptions'!$B$13)/($F$6)-'2. The tape'!$H$5:$H$13/12-'3. Assumptions'!$B$16)-'2. The tape'!$C$5:$C$13*'2. The tape'!$I$5:$I$13*(1+$F$5)^($A72/4))&gt;0)*('2. The tape'!$C$5:$C$13*'2. The tape'!$D$5:$D$13*(1-'2. The tape'!$J$5:$J$13)^($A72/4)*(1+$F$5)^($A72/4)*((1-'3. Assumptions'!$B$13)/($F$6)-'2. The tape'!$H$5:$H$13/12-'3. Assumptions'!$B$16)-'2. The tape'!$C$5:$C$13*'2. The tape'!$I$5:$I$13*(1+$F$5)^($A72/4)))</f>
        <v>64604813.1621587</v>
      </c>
      <c r="H72" s="33" t="n">
        <f aca="false">'2. The tape'!$C$17*(1+MIN(MAX($H$5,'3. Assumptions'!$B$11),'3. Assumptions'!$B$10))^INT(($A72-1)/4)/4*(1-'3. Assumptions'!$B$13)</f>
        <v>4534882.01892802</v>
      </c>
      <c r="I72" s="33" t="n">
        <f aca="false">(1-'3. Assumptions'!$B$15)*SUMPRODUCT((('2. The tape'!$C$5:$C$13*'2. The tape'!$D$5:$D$13*(1-'2. The tape'!$J$5:$J$13)^($A72/4)*(1+$H$5)^($A72/4)*((1-'3. Assumptions'!$B$13)/($H$6)-'2. The tape'!$H$5:$H$13/12-'3. Assumptions'!$B$16)-'2. The tape'!$C$5:$C$13*'2. The tape'!$I$5:$I$13*(1+$H$5)^($A72/4))&gt;0)*('2. The tape'!$C$5:$C$13*'2. The tape'!$D$5:$D$13*(1-'2. The tape'!$J$5:$J$13)^($A72/4)*(1+$H$5)^($A72/4)*((1-'3. Assumptions'!$B$13)/($H$6)-'2. The tape'!$H$5:$H$13/12-'3. Assumptions'!$B$16)-'2. The tape'!$C$5:$C$13*'2. The tape'!$I$5:$I$13*(1+$H$5)^($A72/4)))</f>
        <v>91534598.9337366</v>
      </c>
      <c r="J72" s="33" t="n">
        <f aca="false">'2. The tape'!$C$17*(1+MIN(MAX($J$5,'3. Assumptions'!$B$11),'3. Assumptions'!$B$10))^INT(($A72-1)/4)/4*(1-'3. Assumptions'!$B$13)</f>
        <v>4065906.50710579</v>
      </c>
      <c r="K72" s="33" t="n">
        <f aca="false">(1-'3. Assumptions'!$B$15)*SUMPRODUCT((('2. The tape'!$C$5:$C$13*'2. The tape'!$D$5:$D$13*(1-'2. The tape'!$J$5:$J$13)^($A72/4)*(1+$J$5)^($A72/4)*((1-'3. Assumptions'!$B$13)/($J$6)-'2. The tape'!$H$5:$H$13/12-'3. Assumptions'!$B$16)-'2. The tape'!$C$5:$C$13*'2. The tape'!$I$5:$I$13*(1+$J$5)^($A72/4))&gt;0)*('2. The tape'!$C$5:$C$13*'2. The tape'!$D$5:$D$13*(1-'2. The tape'!$J$5:$J$13)^($A72/4)*(1+$J$5)^($A72/4)*((1-'3. Assumptions'!$B$13)/($J$6)-'2. The tape'!$H$5:$H$13/12-'3. Assumptions'!$B$16)-'2. The tape'!$C$5:$C$13*'2. The tape'!$I$5:$I$13*(1+$J$5)^($A72/4)))</f>
        <v>62397811.2019371</v>
      </c>
      <c r="L72" s="33" t="n">
        <f aca="false">'2. The tape'!$C$17*(1+MIN(MAX($L$5,'3. Assumptions'!$B$11),'3. Assumptions'!$B$10))^INT(($A72-1)/4)/4*(1-'3. Assumptions'!$B$13)</f>
        <v>4534882.01892802</v>
      </c>
      <c r="M72" s="33" t="n">
        <f aca="false">(1-'3. Assumptions'!$B$15)*SUMPRODUCT((('2. The tape'!$C$5:$C$13*'2. The tape'!$D$5:$D$13*(1-'2. The tape'!$J$5:$J$13)^($A72/4)*(1+$L$5)^($A72/4)*((1-'3. Assumptions'!$B$13)/($L$6)-'2. The tape'!$H$5:$H$13/12-'3. Assumptions'!$B$16)-'2. The tape'!$C$5:$C$13*'2. The tape'!$I$5:$I$13*(1+$L$5)^($A72/4))&gt;0)*('2. The tape'!$C$5:$C$13*'2. The tape'!$D$5:$D$13*(1-'2. The tape'!$J$5:$J$13)^($A72/4)*(1+$L$5)^($A72/4)*((1-'3. Assumptions'!$B$13)/($L$6)-'2. The tape'!$H$5:$H$13/12-'3. Assumptions'!$B$16)-'2. The tape'!$C$5:$C$13*'2. The tape'!$I$5:$I$13*(1+$L$5)^($A72/4)))</f>
        <v>2357100330.75162</v>
      </c>
      <c r="N72" s="33" t="n">
        <f aca="false">'2. The tape'!$C$17*(1+MIN(MAX($N$5,'3. Assumptions'!$B$11),'3. Assumptions'!$B$10))^INT(($A72-1)/4)/4*(1-'3. Assumptions'!$B$13)</f>
        <v>2998091.25</v>
      </c>
      <c r="O72" s="33" t="n">
        <f aca="false">(1-'3. Assumptions'!$B$15)*SUMPRODUCT((('2. The tape'!$C$5:$C$13*'2. The tape'!$D$5:$D$13*(1-'2. The tape'!$J$5:$J$13)^($A72/4)*(1+$N$5)^($A72/4)*((1-'3. Assumptions'!$B$13)/($N$6)-'2. The tape'!$H$5:$H$13/12-'3. Assumptions'!$B$16)-'2. The tape'!$C$5:$C$13*'2. The tape'!$I$5:$I$13*(1+$N$5)^($A72/4))&gt;0)*('2. The tape'!$C$5:$C$13*'2. The tape'!$D$5:$D$13*(1-'2. The tape'!$J$5:$J$13)^($A72/4)*(1+$N$5)^($A72/4)*((1-'3. Assumptions'!$B$13)/($N$6)-'2. The tape'!$H$5:$H$13/12-'3. Assumptions'!$B$16)-'2. The tape'!$C$5:$C$13*'2. The tape'!$I$5:$I$13*(1+$N$5)^($A72/4)))</f>
        <v>36323066.994622</v>
      </c>
      <c r="P72" s="33" t="n">
        <f aca="false">'2. The tape'!$C$17*(1+MIN(MAX($P$5,'3. Assumptions'!$B$11),'3. Assumptions'!$B$10))^INT(($A72-1)/4)/4*(1-'3. Assumptions'!$B$13)</f>
        <v>2998091.25</v>
      </c>
      <c r="Q72" s="33" t="n">
        <f aca="false">(1-'3. Assumptions'!$B$15)*SUMPRODUCT((('2. The tape'!$C$5:$C$13*'2. The tape'!$D$5:$D$13*(1-'2. The tape'!$J$5:$J$13)^($A72/4)*(1+$P$5)^($A72/4)*((1-'3. Assumptions'!$B$13)/($P$6)-'2. The tape'!$H$5:$H$13/12-'3. Assumptions'!$B$16)-'2. The tape'!$C$5:$C$13*'2. The tape'!$I$5:$I$13*(1+$P$5)^($A72/4))&gt;0)*('2. The tape'!$C$5:$C$13*'2. The tape'!$D$5:$D$13*(1-'2. The tape'!$J$5:$J$13)^($A72/4)*(1+$P$5)^($A72/4)*((1-'3. Assumptions'!$B$13)/($P$6)-'2. The tape'!$H$5:$H$13/12-'3. Assumptions'!$B$16)-'2. The tape'!$C$5:$C$13*'2. The tape'!$I$5:$I$13*(1+$P$5)^($A72/4)))</f>
        <v>42039435.6262955</v>
      </c>
      <c r="R72" s="33" t="n">
        <f aca="false">'2. The tape'!$C$17*(1+MIN(MAX($R$5,'3. Assumptions'!$B$11),'3. Assumptions'!$B$10))^INT(($A72-1)/4)/4*(1-'3. Assumptions'!$B$13)</f>
        <v>2998091.25</v>
      </c>
      <c r="S72" s="33" t="n">
        <f aca="false">(1-'3. Assumptions'!$B$15)*SUMPRODUCT((('2. The tape'!$C$5:$C$13*'2. The tape'!$D$5:$D$13*(1-'2. The tape'!$J$5:$J$13)^($A72/4)*(1+$R$5)^($A72/4)*((1-'3. Assumptions'!$B$13)/($R$6)-'2. The tape'!$H$5:$H$13/12-'3. Assumptions'!$B$16)-'2. The tape'!$C$5:$C$13*'2. The tape'!$I$5:$I$13*(1+$R$5)^($A72/4))&gt;0)*('2. The tape'!$C$5:$C$13*'2. The tape'!$D$5:$D$13*(1-'2. The tape'!$J$5:$J$13)^($A72/4)*(1+$R$5)^($A72/4)*((1-'3. Assumptions'!$B$13)/($R$6)-'2. The tape'!$H$5:$H$13/12-'3. Assumptions'!$B$16)-'2. The tape'!$C$5:$C$13*'2. The tape'!$I$5:$I$13*(1+$R$5)^($A72/4)))</f>
        <v>38486680.9804067</v>
      </c>
      <c r="T72" s="33" t="n">
        <f aca="false">'2. The tape'!$C$17*(1+MIN(MAX($T$5,'3. Assumptions'!$B$11),'3. Assumptions'!$B$10))^INT(($A72-1)/4)/4*(1-'3. Assumptions'!$B$13)</f>
        <v>2998091.25</v>
      </c>
      <c r="U72" s="33" t="n">
        <f aca="false">(1-'3. Assumptions'!$B$15)*SUMPRODUCT((('2. The tape'!$C$5:$C$13*'2. The tape'!$D$5:$D$13*(1-'2. The tape'!$J$5:$J$13)^($A72/4)*(1+$T$5)^($A72/4)*((1-'3. Assumptions'!$B$13)/($T$6)-'2. The tape'!$H$5:$H$13/12-'3. Assumptions'!$B$16)-'2. The tape'!$C$5:$C$13*'2. The tape'!$I$5:$I$13*(1+$T$5)^($A72/4))&gt;0)*('2. The tape'!$C$5:$C$13*'2. The tape'!$D$5:$D$13*(1-'2. The tape'!$J$5:$J$13)^($A72/4)*(1+$T$5)^($A72/4)*((1-'3. Assumptions'!$B$13)/($T$6)-'2. The tape'!$H$5:$H$13/12-'3. Assumptions'!$B$16)-'2. The tape'!$C$5:$C$13*'2. The tape'!$I$5:$I$13*(1+$T$5)^($A72/4)))</f>
        <v>38394324.8468067</v>
      </c>
      <c r="V72" s="33" t="n">
        <f aca="false">'2. The tape'!$C$17*(1+MIN(MAX($V$5,'3. Assumptions'!$B$11),'3. Assumptions'!$B$10))^INT(($A72-1)/4)/4*(1-'3. Assumptions'!$B$13)</f>
        <v>2998091.25</v>
      </c>
      <c r="W72" s="33" t="n">
        <f aca="false">(1-'3. Assumptions'!$B$15)*SUMPRODUCT((('2. The tape'!$C$5:$C$13*'2. The tape'!$D$5:$D$13*(1-'2. The tape'!$J$5:$J$13)^($A72/4)*(1+$V$5)^($A72/4)*((1-'3. Assumptions'!$B$13)/($V$6)-'2. The tape'!$H$5:$H$13/12-'3. Assumptions'!$B$16)-'2. The tape'!$C$5:$C$13*'2. The tape'!$I$5:$I$13*(1+$V$5)^($A72/4))&gt;0)*('2. The tape'!$C$5:$C$13*'2. The tape'!$D$5:$D$13*(1-'2. The tape'!$J$5:$J$13)^($A72/4)*(1+$V$5)^($A72/4)*((1-'3. Assumptions'!$B$13)/($V$6)-'2. The tape'!$H$5:$H$13/12-'3. Assumptions'!$B$16)-'2. The tape'!$C$5:$C$13*'2. The tape'!$I$5:$I$13*(1+$V$5)^($A72/4)))</f>
        <v>38398031.6504349</v>
      </c>
      <c r="X72" s="33" t="n">
        <f aca="false">'2. The tape'!$C$17*(1+MIN(MAX($X$5,'3. Assumptions'!$B$11),'3. Assumptions'!$B$10))^INT(($A72-1)/4)/4*(1-'3. Assumptions'!$B$13)</f>
        <v>2998091.25</v>
      </c>
      <c r="Y72" s="33" t="n">
        <f aca="false">(1-'3. Assumptions'!$B$15)*SUMPRODUCT((('2. The tape'!$C$5:$C$13*'2. The tape'!$D$5:$D$13*(1-'2. The tape'!$J$5:$J$13)^($A72/4)*(1+$X$5)^($A72/4)*((1-'3. Assumptions'!$B$13)/($X$6)-'2. The tape'!$H$5:$H$13/12-'3. Assumptions'!$B$16)-'2. The tape'!$C$5:$C$13*'2. The tape'!$I$5:$I$13*(1+$X$5)^($A72/4))&gt;0)*('2. The tape'!$C$5:$C$13*'2. The tape'!$D$5:$D$13*(1-'2. The tape'!$J$5:$J$13)^($A72/4)*(1+$X$5)^($A72/4)*((1-'3. Assumptions'!$B$13)/($X$6)-'2. The tape'!$H$5:$H$13/12-'3. Assumptions'!$B$16)-'2. The tape'!$C$5:$C$13*'2. The tape'!$I$5:$I$13*(1+$X$5)^($A72/4)))</f>
        <v>38398027.7523256</v>
      </c>
      <c r="Z72" s="33" t="n">
        <f aca="false">'2. The tape'!$C$17*(1+MIN(MAX($Z$5,'3. Assumptions'!$B$11),'3. Assumptions'!$B$10))^INT(($A72-1)/4)/4*(1-'3. Assumptions'!$B$13)</f>
        <v>2998091.25</v>
      </c>
      <c r="AA72" s="33" t="n">
        <f aca="false">(1-'3. Assumptions'!$B$15)*SUMPRODUCT((('2. The tape'!$C$5:$C$13*'2. The tape'!$D$5:$D$13*(1-'2. The tape'!$J$5:$J$13)^($A72/4)*(1+$Z$5)^($A72/4)*((1-'3. Assumptions'!$B$13)/($Z$6)-'2. The tape'!$H$5:$H$13/12-'3. Assumptions'!$B$16)-'2. The tape'!$C$5:$C$13*'2. The tape'!$I$5:$I$13*(1+$Z$5)^($A72/4))&gt;0)*('2. The tape'!$C$5:$C$13*'2. The tape'!$D$5:$D$13*(1-'2. The tape'!$J$5:$J$13)^($A72/4)*(1+$Z$5)^($A72/4)*((1-'3. Assumptions'!$B$13)/($Z$6)-'2. The tape'!$H$5:$H$13/12-'3. Assumptions'!$B$16)-'2. The tape'!$C$5:$C$13*'2. The tape'!$I$5:$I$13*(1+$Z$5)^($A72/4)))</f>
        <v>38398027.752154</v>
      </c>
      <c r="AB72" s="33" t="n">
        <f aca="false">'2. The tape'!$C$17*(1+MIN(MAX($AB$5,'3. Assumptions'!$B$11),'3. Assumptions'!$B$10))^INT(($A72-1)/4)/4*(1-'3. Assumptions'!$B$13)</f>
        <v>2998091.25</v>
      </c>
      <c r="AC72" s="33" t="n">
        <f aca="false">(1-'3. Assumptions'!$B$15)*SUMPRODUCT((('2. The tape'!$C$5:$C$13*'2. The tape'!$D$5:$D$13*(1-'2. The tape'!$J$5:$J$13)^($A72/4)*(1+$AB$5)^($A72/4)*((1-'3. Assumptions'!$B$13)/($AB$6)-'2. The tape'!$H$5:$H$13/12-'3. Assumptions'!$B$16)-'2. The tape'!$C$5:$C$13*'2. The tape'!$I$5:$I$13*(1+$AB$5)^($A72/4))&gt;0)*('2. The tape'!$C$5:$C$13*'2. The tape'!$D$5:$D$13*(1-'2. The tape'!$J$5:$J$13)^($A72/4)*(1+$AB$5)^($A72/4)*((1-'3. Assumptions'!$B$13)/($AB$6)-'2. The tape'!$H$5:$H$13/12-'3. Assumptions'!$B$16)-'2. The tape'!$C$5:$C$13*'2. The tape'!$I$5:$I$13*(1+$AB$5)^($A72/4)))</f>
        <v>38398027.752154</v>
      </c>
      <c r="AD72" s="33" t="n">
        <f aca="false">'2. The tape'!$C$17*(1+MIN(MAX($AD$5,'3. Assumptions'!$B$11),'3. Assumptions'!$B$10))^INT(($A72-1)/4)/4*(1-'3. Assumptions'!$B$13)</f>
        <v>2998091.25</v>
      </c>
      <c r="AE72" s="33" t="n">
        <f aca="false">(1-'3. Assumptions'!$B$15)*SUMPRODUCT((('2. The tape'!$C$5:$C$13*'2. The tape'!$D$5:$D$13*(1-'2. The tape'!$J$5:$J$13)^($A72/4)*(1+$AD$5)^($A72/4)*((1-'3. Assumptions'!$B$13)/($AD$6)-'2. The tape'!$H$5:$H$13/12-'3. Assumptions'!$B$16)-'2. The tape'!$C$5:$C$13*'2. The tape'!$I$5:$I$13*(1+$AD$5)^($A72/4))&gt;0)*('2. The tape'!$C$5:$C$13*'2. The tape'!$D$5:$D$13*(1-'2. The tape'!$J$5:$J$13)^($A72/4)*(1+$AD$5)^($A72/4)*((1-'3. Assumptions'!$B$13)/($AD$6)-'2. The tape'!$H$5:$H$13/12-'3. Assumptions'!$B$16)-'2. The tape'!$C$5:$C$13*'2. The tape'!$I$5:$I$13*(1+$AD$5)^($A72/4)))</f>
        <v>38398027.752154</v>
      </c>
      <c r="AF72" s="33" t="n">
        <f aca="false">'2. The tape'!$C$17*(1+MIN(MAX($AF$5,'3. Assumptions'!$B$11),'3. Assumptions'!$B$10))^INT(($A72-1)/4)/4*(1-'3. Assumptions'!$B$13)</f>
        <v>2998091.25</v>
      </c>
      <c r="AG72" s="33" t="n">
        <f aca="false">(1-'3. Assumptions'!$B$15)*SUMPRODUCT((('2. The tape'!$C$5:$C$13*'2. The tape'!$D$5:$D$13*(1-'2. The tape'!$J$5:$J$13)^($A72/4)*(1+$AF$5)^($A72/4)*((1-'3. Assumptions'!$B$13)/($AF$6)-'2. The tape'!$H$5:$H$13/12-'3. Assumptions'!$B$16)-'2. The tape'!$C$5:$C$13*'2. The tape'!$I$5:$I$13*(1+$AF$5)^($A72/4))&gt;0)*('2. The tape'!$C$5:$C$13*'2. The tape'!$D$5:$D$13*(1-'2. The tape'!$J$5:$J$13)^($A72/4)*(1+$AF$5)^($A72/4)*((1-'3. Assumptions'!$B$13)/($AF$6)-'2. The tape'!$H$5:$H$13/12-'3. Assumptions'!$B$16)-'2. The tape'!$C$5:$C$13*'2. The tape'!$I$5:$I$13*(1+$AF$5)^($A72/4)))</f>
        <v>38398027.752154</v>
      </c>
      <c r="AH72" s="33" t="n">
        <f aca="false">'2. The tape'!$C$17*(1+MIN(MAX($AH$5,'3. Assumptions'!$B$11),'3. Assumptions'!$B$10))^INT(($A72-1)/4)/4*(1-'3. Assumptions'!$B$13)</f>
        <v>4065906.50710579</v>
      </c>
      <c r="AI72" s="33" t="n">
        <f aca="false">(1-'3. Assumptions'!$B$15)*SUMPRODUCT((('2. The tape'!$C$5:$C$13*'2. The tape'!$D$5:$D$13*(1-'2. The tape'!$J$5:$J$13)^($A72/4)*(1+$AH$5)^($A72/4)*((1-'3. Assumptions'!$B$13)/($AH$6)-'2. The tape'!$H$5:$H$13/12-'3. Assumptions'!$B$16)-'2. The tape'!$C$5:$C$13*'2. The tape'!$I$5:$I$13*(1+$AH$5)^($A72/4))&gt;0)*('2. The tape'!$C$5:$C$13*'2. The tape'!$D$5:$D$13*(1-'2. The tape'!$J$5:$J$13)^($A72/4)*(1+$AH$5)^($A72/4)*((1-'3. Assumptions'!$B$13)/($AH$6)-'2. The tape'!$H$5:$H$13/12-'3. Assumptions'!$B$16)-'2. The tape'!$C$5:$C$13*'2. The tape'!$I$5:$I$13*(1+$AH$5)^($A72/4)))</f>
        <v>153155703.250434</v>
      </c>
      <c r="AJ72" s="33" t="n">
        <f aca="false">'2. The tape'!$C$17*(1+MIN(MAX($AJ$5,'3. Assumptions'!$B$11),'3. Assumptions'!$B$10))^INT(($A72-1)/4)/4*(1-'3. Assumptions'!$B$13)</f>
        <v>4065906.50710579</v>
      </c>
      <c r="AK72" s="33" t="n">
        <f aca="false">(1-'3. Assumptions'!$B$15)*SUMPRODUCT((('2. The tape'!$C$5:$C$13*'2. The tape'!$D$5:$D$13*(1-'2. The tape'!$J$5:$J$13)^($A72/4)*(1+$AJ$5)^($A72/4)*((1-'3. Assumptions'!$B$13)/($AJ$6)-'2. The tape'!$H$5:$H$13/12-'3. Assumptions'!$B$16)-'2. The tape'!$C$5:$C$13*'2. The tape'!$I$5:$I$13*(1+$AJ$5)^($A72/4))&gt;0)*('2. The tape'!$C$5:$C$13*'2. The tape'!$D$5:$D$13*(1-'2. The tape'!$J$5:$J$13)^($A72/4)*(1+$AJ$5)^($A72/4)*((1-'3. Assumptions'!$B$13)/($AJ$6)-'2. The tape'!$H$5:$H$13/12-'3. Assumptions'!$B$16)-'2. The tape'!$C$5:$C$13*'2. The tape'!$I$5:$I$13*(1+$AJ$5)^($A72/4)))</f>
        <v>110165122.806409</v>
      </c>
      <c r="AL72" s="33" t="n">
        <f aca="false">'2. The tape'!$C$17*(1+MIN(MAX($AL$5,'3. Assumptions'!$B$11),'3. Assumptions'!$B$10))^INT(($A72-1)/4)/4*(1-'3. Assumptions'!$B$13)</f>
        <v>4065906.50710579</v>
      </c>
      <c r="AM72" s="33" t="n">
        <f aca="false">(1-'3. Assumptions'!$B$15)*SUMPRODUCT((('2. The tape'!$C$5:$C$13*'2. The tape'!$D$5:$D$13*(1-'2. The tape'!$J$5:$J$13)^($A72/4)*(1+$AL$5)^($A72/4)*((1-'3. Assumptions'!$B$13)/($AL$6)-'2. The tape'!$H$5:$H$13/12-'3. Assumptions'!$B$16)-'2. The tape'!$C$5:$C$13*'2. The tape'!$I$5:$I$13*(1+$AL$5)^($A72/4))&gt;0)*('2. The tape'!$C$5:$C$13*'2. The tape'!$D$5:$D$13*(1-'2. The tape'!$J$5:$J$13)^($A72/4)*(1+$AL$5)^($A72/4)*((1-'3. Assumptions'!$B$13)/($AL$6)-'2. The tape'!$H$5:$H$13/12-'3. Assumptions'!$B$16)-'2. The tape'!$C$5:$C$13*'2. The tape'!$I$5:$I$13*(1+$AL$5)^($A72/4)))</f>
        <v>126838737.841205</v>
      </c>
      <c r="AN72" s="33" t="n">
        <f aca="false">'2. The tape'!$C$17*(1+MIN(MAX($AN$5,'3. Assumptions'!$B$11),'3. Assumptions'!$B$10))^INT(($A72-1)/4)/4*(1-'3. Assumptions'!$B$13)</f>
        <v>4065906.50710579</v>
      </c>
      <c r="AO72" s="33" t="n">
        <f aca="false">(1-'3. Assumptions'!$B$15)*SUMPRODUCT((('2. The tape'!$C$5:$C$13*'2. The tape'!$D$5:$D$13*(1-'2. The tape'!$J$5:$J$13)^($A72/4)*(1+$AN$5)^($A72/4)*((1-'3. Assumptions'!$B$13)/($AN$6)-'2. The tape'!$H$5:$H$13/12-'3. Assumptions'!$B$16)-'2. The tape'!$C$5:$C$13*'2. The tape'!$I$5:$I$13*(1+$AN$5)^($A72/4))&gt;0)*('2. The tape'!$C$5:$C$13*'2. The tape'!$D$5:$D$13*(1-'2. The tape'!$J$5:$J$13)^($A72/4)*(1+$AN$5)^($A72/4)*((1-'3. Assumptions'!$B$13)/($AN$6)-'2. The tape'!$H$5:$H$13/12-'3. Assumptions'!$B$16)-'2. The tape'!$C$5:$C$13*'2. The tape'!$I$5:$I$13*(1+$AN$5)^($A72/4)))</f>
        <v>129960550.60842</v>
      </c>
      <c r="AP72" s="33" t="n">
        <f aca="false">'2. The tape'!$C$17*(1+MIN(MAX($AP$5,'3. Assumptions'!$B$11),'3. Assumptions'!$B$10))^INT(($A72-1)/4)/4*(1-'3. Assumptions'!$B$13)</f>
        <v>4065906.50710579</v>
      </c>
      <c r="AQ72" s="33" t="n">
        <f aca="false">(1-'3. Assumptions'!$B$15)*SUMPRODUCT((('2. The tape'!$C$5:$C$13*'2. The tape'!$D$5:$D$13*(1-'2. The tape'!$J$5:$J$13)^($A72/4)*(1+$AP$5)^($A72/4)*((1-'3. Assumptions'!$B$13)/($AP$6)-'2. The tape'!$H$5:$H$13/12-'3. Assumptions'!$B$16)-'2. The tape'!$C$5:$C$13*'2. The tape'!$I$5:$I$13*(1+$AP$5)^($A72/4))&gt;0)*('2. The tape'!$C$5:$C$13*'2. The tape'!$D$5:$D$13*(1-'2. The tape'!$J$5:$J$13)^($A72/4)*(1+$AP$5)^($A72/4)*((1-'3. Assumptions'!$B$13)/($AP$6)-'2. The tape'!$H$5:$H$13/12-'3. Assumptions'!$B$16)-'2. The tape'!$C$5:$C$13*'2. The tape'!$I$5:$I$13*(1+$AP$5)^($A72/4)))</f>
        <v>129575169.228384</v>
      </c>
      <c r="AR72" s="33" t="n">
        <f aca="false">'2. The tape'!$C$17*(1+MIN(MAX($AR$5,'3. Assumptions'!$B$11),'3. Assumptions'!$B$10))^INT(($A72-1)/4)/4*(1-'3. Assumptions'!$B$13)</f>
        <v>4065906.50710579</v>
      </c>
      <c r="AS72" s="33" t="n">
        <f aca="false">(1-'3. Assumptions'!$B$15)*SUMPRODUCT((('2. The tape'!$C$5:$C$13*'2. The tape'!$D$5:$D$13*(1-'2. The tape'!$J$5:$J$13)^($A72/4)*(1+$AR$5)^($A72/4)*((1-'3. Assumptions'!$B$13)/($AR$6)-'2. The tape'!$H$5:$H$13/12-'3. Assumptions'!$B$16)-'2. The tape'!$C$5:$C$13*'2. The tape'!$I$5:$I$13*(1+$AR$5)^($A72/4))&gt;0)*('2. The tape'!$C$5:$C$13*'2. The tape'!$D$5:$D$13*(1-'2. The tape'!$J$5:$J$13)^($A72/4)*(1+$AR$5)^($A72/4)*((1-'3. Assumptions'!$B$13)/($AR$6)-'2. The tape'!$H$5:$H$13/12-'3. Assumptions'!$B$16)-'2. The tape'!$C$5:$C$13*'2. The tape'!$I$5:$I$13*(1+$AR$5)^($A72/4)))</f>
        <v>129581635.375941</v>
      </c>
      <c r="AT72" s="33" t="n">
        <f aca="false">'2. The tape'!$C$17*(1+MIN(MAX($AT$5,'3. Assumptions'!$B$11),'3. Assumptions'!$B$10))^INT(($A72-1)/4)/4*(1-'3. Assumptions'!$B$13)</f>
        <v>4065906.50710579</v>
      </c>
      <c r="AU72" s="33" t="n">
        <f aca="false">(1-'3. Assumptions'!$B$15)*SUMPRODUCT((('2. The tape'!$C$5:$C$13*'2. The tape'!$D$5:$D$13*(1-'2. The tape'!$J$5:$J$13)^($A72/4)*(1+$AT$5)^($A72/4)*((1-'3. Assumptions'!$B$13)/($AT$6)-'2. The tape'!$H$5:$H$13/12-'3. Assumptions'!$B$16)-'2. The tape'!$C$5:$C$13*'2. The tape'!$I$5:$I$13*(1+$AT$5)^($A72/4))&gt;0)*('2. The tape'!$C$5:$C$13*'2. The tape'!$D$5:$D$13*(1-'2. The tape'!$J$5:$J$13)^($A72/4)*(1+$AT$5)^($A72/4)*((1-'3. Assumptions'!$B$13)/($AT$6)-'2. The tape'!$H$5:$H$13/12-'3. Assumptions'!$B$16)-'2. The tape'!$C$5:$C$13*'2. The tape'!$I$5:$I$13*(1+$AT$5)^($A72/4)))</f>
        <v>129581650.433972</v>
      </c>
      <c r="AV72" s="33" t="n">
        <f aca="false">'2. The tape'!$C$17*(1+MIN(MAX($AV$5,'3. Assumptions'!$B$11),'3. Assumptions'!$B$10))^INT(($A72-1)/4)/4*(1-'3. Assumptions'!$B$13)</f>
        <v>4065906.50710579</v>
      </c>
      <c r="AW72" s="33" t="n">
        <f aca="false">(1-'3. Assumptions'!$B$15)*SUMPRODUCT((('2. The tape'!$C$5:$C$13*'2. The tape'!$D$5:$D$13*(1-'2. The tape'!$J$5:$J$13)^($A72/4)*(1+$AV$5)^($A72/4)*((1-'3. Assumptions'!$B$13)/($AV$6)-'2. The tape'!$H$5:$H$13/12-'3. Assumptions'!$B$16)-'2. The tape'!$C$5:$C$13*'2. The tape'!$I$5:$I$13*(1+$AV$5)^($A72/4))&gt;0)*('2. The tape'!$C$5:$C$13*'2. The tape'!$D$5:$D$13*(1-'2. The tape'!$J$5:$J$13)^($A72/4)*(1+$AV$5)^($A72/4)*((1-'3. Assumptions'!$B$13)/($AV$6)-'2. The tape'!$H$5:$H$13/12-'3. Assumptions'!$B$16)-'2. The tape'!$C$5:$C$13*'2. The tape'!$I$5:$I$13*(1+$AV$5)^($A72/4)))</f>
        <v>129581650.433372</v>
      </c>
      <c r="AX72" s="33" t="n">
        <f aca="false">'2. The tape'!$C$17*(1+MIN(MAX($AX$5,'3. Assumptions'!$B$11),'3. Assumptions'!$B$10))^INT(($A72-1)/4)/4*(1-'3. Assumptions'!$B$13)</f>
        <v>4065906.50710579</v>
      </c>
      <c r="AY72" s="33" t="n">
        <f aca="false">(1-'3. Assumptions'!$B$15)*SUMPRODUCT((('2. The tape'!$C$5:$C$13*'2. The tape'!$D$5:$D$13*(1-'2. The tape'!$J$5:$J$13)^($A72/4)*(1+$AX$5)^($A72/4)*((1-'3. Assumptions'!$B$13)/($AX$6)-'2. The tape'!$H$5:$H$13/12-'3. Assumptions'!$B$16)-'2. The tape'!$C$5:$C$13*'2. The tape'!$I$5:$I$13*(1+$AX$5)^($A72/4))&gt;0)*('2. The tape'!$C$5:$C$13*'2. The tape'!$D$5:$D$13*(1-'2. The tape'!$J$5:$J$13)^($A72/4)*(1+$AX$5)^($A72/4)*((1-'3. Assumptions'!$B$13)/($AX$6)-'2. The tape'!$H$5:$H$13/12-'3. Assumptions'!$B$16)-'2. The tape'!$C$5:$C$13*'2. The tape'!$I$5:$I$13*(1+$AX$5)^($A72/4)))</f>
        <v>129581650.433372</v>
      </c>
      <c r="AZ72" s="33" t="n">
        <f aca="false">'2. The tape'!$C$17*(1+MIN(MAX($AZ$5,'3. Assumptions'!$B$11),'3. Assumptions'!$B$10))^INT(($A72-1)/4)/4*(1-'3. Assumptions'!$B$13)</f>
        <v>4065906.50710579</v>
      </c>
      <c r="BA72" s="33" t="n">
        <f aca="false">(1-'3. Assumptions'!$B$15)*SUMPRODUCT((('2. The tape'!$C$5:$C$13*'2. The tape'!$D$5:$D$13*(1-'2. The tape'!$J$5:$J$13)^($A72/4)*(1+$AZ$5)^($A72/4)*((1-'3. Assumptions'!$B$13)/($AZ$6)-'2. The tape'!$H$5:$H$13/12-'3. Assumptions'!$B$16)-'2. The tape'!$C$5:$C$13*'2. The tape'!$I$5:$I$13*(1+$AZ$5)^($A72/4))&gt;0)*('2. The tape'!$C$5:$C$13*'2. The tape'!$D$5:$D$13*(1-'2. The tape'!$J$5:$J$13)^($A72/4)*(1+$AZ$5)^($A72/4)*((1-'3. Assumptions'!$B$13)/($AZ$6)-'2. The tape'!$H$5:$H$13/12-'3. Assumptions'!$B$16)-'2. The tape'!$C$5:$C$13*'2. The tape'!$I$5:$I$13*(1+$AZ$5)^($A72/4)))</f>
        <v>129581650.433372</v>
      </c>
    </row>
    <row r="73" customFormat="false" ht="15" hidden="false" customHeight="false" outlineLevel="0" collapsed="false">
      <c r="A73" s="20" t="n">
        <v>58</v>
      </c>
      <c r="B73" s="33" t="n">
        <f aca="false">'2. The tape'!$C$17*(1+MIN(MAX($B$5,'3. Assumptions'!$B$11),'3. Assumptions'!$B$10))^INT(($A73-1)/4)/4*(1-'3. Assumptions'!$B$13)</f>
        <v>4065906.50710579</v>
      </c>
      <c r="C73" s="33" t="n">
        <f aca="false">(1-'3. Assumptions'!$B$15)*SUMPRODUCT((('2. The tape'!$C$5:$C$13*'2. The tape'!$D$5:$D$13*(1-'2. The tape'!$J$5:$J$13)^($A73/4)*(1+$B$5)^($A73/4)*((1-'3. Assumptions'!$B$13)/($B$6)-'2. The tape'!$H$5:$H$13/12-'3. Assumptions'!$B$16)-'2. The tape'!$C$5:$C$13*'2. The tape'!$I$5:$I$13*(1+$B$5)^($A73/4))&gt;0)*('2. The tape'!$C$5:$C$13*'2. The tape'!$D$5:$D$13*(1-'2. The tape'!$J$5:$J$13)^($A73/4)*(1+$B$5)^($A73/4)*((1-'3. Assumptions'!$B$13)/($B$6)-'2. The tape'!$H$5:$H$13/12-'3. Assumptions'!$B$16)-'2. The tape'!$C$5:$C$13*'2. The tape'!$I$5:$I$13*(1+$B$5)^($A73/4)))</f>
        <v>76343381.6897568</v>
      </c>
      <c r="D73" s="33" t="n">
        <f aca="false">'2. The tape'!$C$17*(1+MIN(MAX($D$5,'3. Assumptions'!$B$11),'3. Assumptions'!$B$10))^INT(($A73-1)/4)/4*(1-'3. Assumptions'!$B$13)</f>
        <v>4534882.01892802</v>
      </c>
      <c r="E73" s="33" t="n">
        <f aca="false">(1-'3. Assumptions'!$B$15)*SUMPRODUCT((('2. The tape'!$C$5:$C$13*'2. The tape'!$D$5:$D$13*(1-'2. The tape'!$J$5:$J$13)^($A73/4)*(1+$D$5)^($A73/4)*((1-'3. Assumptions'!$B$13)/($D$6)-'2. The tape'!$H$5:$H$13/12-'3. Assumptions'!$B$16)-'2. The tape'!$C$5:$C$13*'2. The tape'!$I$5:$I$13*(1+$D$5)^($A73/4))&gt;0)*('2. The tape'!$C$5:$C$13*'2. The tape'!$D$5:$D$13*(1-'2. The tape'!$J$5:$J$13)^($A73/4)*(1+$D$5)^($A73/4)*((1-'3. Assumptions'!$B$13)/($D$6)-'2. The tape'!$H$5:$H$13/12-'3. Assumptions'!$B$16)-'2. The tape'!$C$5:$C$13*'2. The tape'!$I$5:$I$13*(1+$D$5)^($A73/4)))</f>
        <v>91699818.5613371</v>
      </c>
      <c r="F73" s="33" t="n">
        <f aca="false">'2. The tape'!$C$17*(1+MIN(MAX($F$5,'3. Assumptions'!$B$11),'3. Assumptions'!$B$10))^INT(($A73-1)/4)/4*(1-'3. Assumptions'!$B$13)</f>
        <v>3446228.58080835</v>
      </c>
      <c r="G73" s="33" t="n">
        <f aca="false">(1-'3. Assumptions'!$B$15)*SUMPRODUCT((('2. The tape'!$C$5:$C$13*'2. The tape'!$D$5:$D$13*(1-'2. The tape'!$J$5:$J$13)^($A73/4)*(1+$F$5)^($A73/4)*((1-'3. Assumptions'!$B$13)/($F$6)-'2. The tape'!$H$5:$H$13/12-'3. Assumptions'!$B$16)-'2. The tape'!$C$5:$C$13*'2. The tape'!$I$5:$I$13*(1+$F$5)^($A73/4))&gt;0)*('2. The tape'!$C$5:$C$13*'2. The tape'!$D$5:$D$13*(1-'2. The tape'!$J$5:$J$13)^($A73/4)*(1+$F$5)^($A73/4)*((1-'3. Assumptions'!$B$13)/($F$6)-'2. The tape'!$H$5:$H$13/12-'3. Assumptions'!$B$16)-'2. The tape'!$C$5:$C$13*'2. The tape'!$I$5:$I$13*(1+$F$5)^($A73/4)))</f>
        <v>64327003.9126173</v>
      </c>
      <c r="H73" s="33" t="n">
        <f aca="false">'2. The tape'!$C$17*(1+MIN(MAX($H$5,'3. Assumptions'!$B$11),'3. Assumptions'!$B$10))^INT(($A73-1)/4)/4*(1-'3. Assumptions'!$B$13)</f>
        <v>4534882.01892802</v>
      </c>
      <c r="I73" s="33" t="n">
        <f aca="false">(1-'3. Assumptions'!$B$15)*SUMPRODUCT((('2. The tape'!$C$5:$C$13*'2. The tape'!$D$5:$D$13*(1-'2. The tape'!$J$5:$J$13)^($A73/4)*(1+$H$5)^($A73/4)*((1-'3. Assumptions'!$B$13)/($H$6)-'2. The tape'!$H$5:$H$13/12-'3. Assumptions'!$B$16)-'2. The tape'!$C$5:$C$13*'2. The tape'!$I$5:$I$13*(1+$H$5)^($A73/4))&gt;0)*('2. The tape'!$C$5:$C$13*'2. The tape'!$D$5:$D$13*(1-'2. The tape'!$J$5:$J$13)^($A73/4)*(1+$H$5)^($A73/4)*((1-'3. Assumptions'!$B$13)/($H$6)-'2. The tape'!$H$5:$H$13/12-'3. Assumptions'!$B$16)-'2. The tape'!$C$5:$C$13*'2. The tape'!$I$5:$I$13*(1+$H$5)^($A73/4)))</f>
        <v>91699818.5613371</v>
      </c>
      <c r="J73" s="33" t="n">
        <f aca="false">'2. The tape'!$C$17*(1+MIN(MAX($J$5,'3. Assumptions'!$B$11),'3. Assumptions'!$B$10))^INT(($A73-1)/4)/4*(1-'3. Assumptions'!$B$13)</f>
        <v>4065906.50710579</v>
      </c>
      <c r="K73" s="33" t="n">
        <f aca="false">(1-'3. Assumptions'!$B$15)*SUMPRODUCT((('2. The tape'!$C$5:$C$13*'2. The tape'!$D$5:$D$13*(1-'2. The tape'!$J$5:$J$13)^($A73/4)*(1+$J$5)^($A73/4)*((1-'3. Assumptions'!$B$13)/($J$6)-'2. The tape'!$H$5:$H$13/12-'3. Assumptions'!$B$16)-'2. The tape'!$C$5:$C$13*'2. The tape'!$I$5:$I$13*(1+$J$5)^($A73/4))&gt;0)*('2. The tape'!$C$5:$C$13*'2. The tape'!$D$5:$D$13*(1-'2. The tape'!$J$5:$J$13)^($A73/4)*(1+$J$5)^($A73/4)*((1-'3. Assumptions'!$B$13)/($J$6)-'2. The tape'!$H$5:$H$13/12-'3. Assumptions'!$B$16)-'2. The tape'!$C$5:$C$13*'2. The tape'!$I$5:$I$13*(1+$J$5)^($A73/4)))</f>
        <v>62294402.021431</v>
      </c>
      <c r="L73" s="33" t="n">
        <f aca="false">'2. The tape'!$C$17*(1+MIN(MAX($L$5,'3. Assumptions'!$B$11),'3. Assumptions'!$B$10))^INT(($A73-1)/4)/4*(1-'3. Assumptions'!$B$13)</f>
        <v>4534882.01892802</v>
      </c>
      <c r="M73" s="33" t="n">
        <f aca="false">(1-'3. Assumptions'!$B$15)*SUMPRODUCT((('2. The tape'!$C$5:$C$13*'2. The tape'!$D$5:$D$13*(1-'2. The tape'!$J$5:$J$13)^($A73/4)*(1+$L$5)^($A73/4)*((1-'3. Assumptions'!$B$13)/($L$6)-'2. The tape'!$H$5:$H$13/12-'3. Assumptions'!$B$16)-'2. The tape'!$C$5:$C$13*'2. The tape'!$I$5:$I$13*(1+$L$5)^($A73/4))&gt;0)*('2. The tape'!$C$5:$C$13*'2. The tape'!$D$5:$D$13*(1-'2. The tape'!$J$5:$J$13)^($A73/4)*(1+$L$5)^($A73/4)*((1-'3. Assumptions'!$B$13)/($L$6)-'2. The tape'!$H$5:$H$13/12-'3. Assumptions'!$B$16)-'2. The tape'!$C$5:$C$13*'2. The tape'!$I$5:$I$13*(1+$L$5)^($A73/4)))</f>
        <v>2499838848.11946</v>
      </c>
      <c r="N73" s="33" t="n">
        <f aca="false">'2. The tape'!$C$17*(1+MIN(MAX($N$5,'3. Assumptions'!$B$11),'3. Assumptions'!$B$10))^INT(($A73-1)/4)/4*(1-'3. Assumptions'!$B$13)</f>
        <v>2998091.25</v>
      </c>
      <c r="O73" s="33" t="n">
        <f aca="false">(1-'3. Assumptions'!$B$15)*SUMPRODUCT((('2. The tape'!$C$5:$C$13*'2. The tape'!$D$5:$D$13*(1-'2. The tape'!$J$5:$J$13)^($A73/4)*(1+$N$5)^($A73/4)*((1-'3. Assumptions'!$B$13)/($N$6)-'2. The tape'!$H$5:$H$13/12-'3. Assumptions'!$B$16)-'2. The tape'!$C$5:$C$13*'2. The tape'!$I$5:$I$13*(1+$N$5)^($A73/4))&gt;0)*('2. The tape'!$C$5:$C$13*'2. The tape'!$D$5:$D$13*(1-'2. The tape'!$J$5:$J$13)^($A73/4)*(1+$N$5)^($A73/4)*((1-'3. Assumptions'!$B$13)/($N$6)-'2. The tape'!$H$5:$H$13/12-'3. Assumptions'!$B$16)-'2. The tape'!$C$5:$C$13*'2. The tape'!$I$5:$I$13*(1+$N$5)^($A73/4)))</f>
        <v>35803340.7008599</v>
      </c>
      <c r="P73" s="33" t="n">
        <f aca="false">'2. The tape'!$C$17*(1+MIN(MAX($P$5,'3. Assumptions'!$B$11),'3. Assumptions'!$B$10))^INT(($A73-1)/4)/4*(1-'3. Assumptions'!$B$13)</f>
        <v>2998091.25</v>
      </c>
      <c r="Q73" s="33" t="n">
        <f aca="false">(1-'3. Assumptions'!$B$15)*SUMPRODUCT((('2. The tape'!$C$5:$C$13*'2. The tape'!$D$5:$D$13*(1-'2. The tape'!$J$5:$J$13)^($A73/4)*(1+$P$5)^($A73/4)*((1-'3. Assumptions'!$B$13)/($P$6)-'2. The tape'!$H$5:$H$13/12-'3. Assumptions'!$B$16)-'2. The tape'!$C$5:$C$13*'2. The tape'!$I$5:$I$13*(1+$P$5)^($A73/4))&gt;0)*('2. The tape'!$C$5:$C$13*'2. The tape'!$D$5:$D$13*(1-'2. The tape'!$J$5:$J$13)^($A73/4)*(1+$P$5)^($A73/4)*((1-'3. Assumptions'!$B$13)/($P$6)-'2. The tape'!$H$5:$H$13/12-'3. Assumptions'!$B$16)-'2. The tape'!$C$5:$C$13*'2. The tape'!$I$5:$I$13*(1+$P$5)^($A73/4)))</f>
        <v>41544305.3745202</v>
      </c>
      <c r="R73" s="33" t="n">
        <f aca="false">'2. The tape'!$C$17*(1+MIN(MAX($R$5,'3. Assumptions'!$B$11),'3. Assumptions'!$B$10))^INT(($A73-1)/4)/4*(1-'3. Assumptions'!$B$13)</f>
        <v>2998091.25</v>
      </c>
      <c r="S73" s="33" t="n">
        <f aca="false">(1-'3. Assumptions'!$B$15)*SUMPRODUCT((('2. The tape'!$C$5:$C$13*'2. The tape'!$D$5:$D$13*(1-'2. The tape'!$J$5:$J$13)^($A73/4)*(1+$R$5)^($A73/4)*((1-'3. Assumptions'!$B$13)/($R$6)-'2. The tape'!$H$5:$H$13/12-'3. Assumptions'!$B$16)-'2. The tape'!$C$5:$C$13*'2. The tape'!$I$5:$I$13*(1+$R$5)^($A73/4))&gt;0)*('2. The tape'!$C$5:$C$13*'2. The tape'!$D$5:$D$13*(1-'2. The tape'!$J$5:$J$13)^($A73/4)*(1+$R$5)^($A73/4)*((1-'3. Assumptions'!$B$13)/($R$6)-'2. The tape'!$H$5:$H$13/12-'3. Assumptions'!$B$16)-'2. The tape'!$C$5:$C$13*'2. The tape'!$I$5:$I$13*(1+$R$5)^($A73/4)))</f>
        <v>37974524.1622928</v>
      </c>
      <c r="T73" s="33" t="n">
        <f aca="false">'2. The tape'!$C$17*(1+MIN(MAX($T$5,'3. Assumptions'!$B$11),'3. Assumptions'!$B$10))^INT(($A73-1)/4)/4*(1-'3. Assumptions'!$B$13)</f>
        <v>2998091.25</v>
      </c>
      <c r="U73" s="33" t="n">
        <f aca="false">(1-'3. Assumptions'!$B$15)*SUMPRODUCT((('2. The tape'!$C$5:$C$13*'2. The tape'!$D$5:$D$13*(1-'2. The tape'!$J$5:$J$13)^($A73/4)*(1+$T$5)^($A73/4)*((1-'3. Assumptions'!$B$13)/($T$6)-'2. The tape'!$H$5:$H$13/12-'3. Assumptions'!$B$16)-'2. The tape'!$C$5:$C$13*'2. The tape'!$I$5:$I$13*(1+$T$5)^($A73/4))&gt;0)*('2. The tape'!$C$5:$C$13*'2. The tape'!$D$5:$D$13*(1-'2. The tape'!$J$5:$J$13)^($A73/4)*(1+$T$5)^($A73/4)*((1-'3. Assumptions'!$B$13)/($T$6)-'2. The tape'!$H$5:$H$13/12-'3. Assumptions'!$B$16)-'2. The tape'!$C$5:$C$13*'2. The tape'!$I$5:$I$13*(1+$T$5)^($A73/4)))</f>
        <v>37881800.2787691</v>
      </c>
      <c r="V73" s="33" t="n">
        <f aca="false">'2. The tape'!$C$17*(1+MIN(MAX($V$5,'3. Assumptions'!$B$11),'3. Assumptions'!$B$10))^INT(($A73-1)/4)/4*(1-'3. Assumptions'!$B$13)</f>
        <v>2998091.25</v>
      </c>
      <c r="W73" s="33" t="n">
        <f aca="false">(1-'3. Assumptions'!$B$15)*SUMPRODUCT((('2. The tape'!$C$5:$C$13*'2. The tape'!$D$5:$D$13*(1-'2. The tape'!$J$5:$J$13)^($A73/4)*(1+$V$5)^($A73/4)*((1-'3. Assumptions'!$B$13)/($V$6)-'2. The tape'!$H$5:$H$13/12-'3. Assumptions'!$B$16)-'2. The tape'!$C$5:$C$13*'2. The tape'!$I$5:$I$13*(1+$V$5)^($A73/4))&gt;0)*('2. The tape'!$C$5:$C$13*'2. The tape'!$D$5:$D$13*(1-'2. The tape'!$J$5:$J$13)^($A73/4)*(1+$V$5)^($A73/4)*((1-'3. Assumptions'!$B$13)/($V$6)-'2. The tape'!$H$5:$H$13/12-'3. Assumptions'!$B$16)-'2. The tape'!$C$5:$C$13*'2. The tape'!$I$5:$I$13*(1+$V$5)^($A73/4)))</f>
        <v>37885521.7670877</v>
      </c>
      <c r="X73" s="33" t="n">
        <f aca="false">'2. The tape'!$C$17*(1+MIN(MAX($X$5,'3. Assumptions'!$B$11),'3. Assumptions'!$B$10))^INT(($A73-1)/4)/4*(1-'3. Assumptions'!$B$13)</f>
        <v>2998091.25</v>
      </c>
      <c r="Y73" s="33" t="n">
        <f aca="false">(1-'3. Assumptions'!$B$15)*SUMPRODUCT((('2. The tape'!$C$5:$C$13*'2. The tape'!$D$5:$D$13*(1-'2. The tape'!$J$5:$J$13)^($A73/4)*(1+$X$5)^($A73/4)*((1-'3. Assumptions'!$B$13)/($X$6)-'2. The tape'!$H$5:$H$13/12-'3. Assumptions'!$B$16)-'2. The tape'!$C$5:$C$13*'2. The tape'!$I$5:$I$13*(1+$X$5)^($A73/4))&gt;0)*('2. The tape'!$C$5:$C$13*'2. The tape'!$D$5:$D$13*(1-'2. The tape'!$J$5:$J$13)^($A73/4)*(1+$X$5)^($A73/4)*((1-'3. Assumptions'!$B$13)/($X$6)-'2. The tape'!$H$5:$H$13/12-'3. Assumptions'!$B$16)-'2. The tape'!$C$5:$C$13*'2. The tape'!$I$5:$I$13*(1+$X$5)^($A73/4)))</f>
        <v>37885517.8535325</v>
      </c>
      <c r="Z73" s="33" t="n">
        <f aca="false">'2. The tape'!$C$17*(1+MIN(MAX($Z$5,'3. Assumptions'!$B$11),'3. Assumptions'!$B$10))^INT(($A73-1)/4)/4*(1-'3. Assumptions'!$B$13)</f>
        <v>2998091.25</v>
      </c>
      <c r="AA73" s="33" t="n">
        <f aca="false">(1-'3. Assumptions'!$B$15)*SUMPRODUCT((('2. The tape'!$C$5:$C$13*'2. The tape'!$D$5:$D$13*(1-'2. The tape'!$J$5:$J$13)^($A73/4)*(1+$Z$5)^($A73/4)*((1-'3. Assumptions'!$B$13)/($Z$6)-'2. The tape'!$H$5:$H$13/12-'3. Assumptions'!$B$16)-'2. The tape'!$C$5:$C$13*'2. The tape'!$I$5:$I$13*(1+$Z$5)^($A73/4))&gt;0)*('2. The tape'!$C$5:$C$13*'2. The tape'!$D$5:$D$13*(1-'2. The tape'!$J$5:$J$13)^($A73/4)*(1+$Z$5)^($A73/4)*((1-'3. Assumptions'!$B$13)/($Z$6)-'2. The tape'!$H$5:$H$13/12-'3. Assumptions'!$B$16)-'2. The tape'!$C$5:$C$13*'2. The tape'!$I$5:$I$13*(1+$Z$5)^($A73/4)))</f>
        <v>37885517.8533602</v>
      </c>
      <c r="AB73" s="33" t="n">
        <f aca="false">'2. The tape'!$C$17*(1+MIN(MAX($AB$5,'3. Assumptions'!$B$11),'3. Assumptions'!$B$10))^INT(($A73-1)/4)/4*(1-'3. Assumptions'!$B$13)</f>
        <v>2998091.25</v>
      </c>
      <c r="AC73" s="33" t="n">
        <f aca="false">(1-'3. Assumptions'!$B$15)*SUMPRODUCT((('2. The tape'!$C$5:$C$13*'2. The tape'!$D$5:$D$13*(1-'2. The tape'!$J$5:$J$13)^($A73/4)*(1+$AB$5)^($A73/4)*((1-'3. Assumptions'!$B$13)/($AB$6)-'2. The tape'!$H$5:$H$13/12-'3. Assumptions'!$B$16)-'2. The tape'!$C$5:$C$13*'2. The tape'!$I$5:$I$13*(1+$AB$5)^($A73/4))&gt;0)*('2. The tape'!$C$5:$C$13*'2. The tape'!$D$5:$D$13*(1-'2. The tape'!$J$5:$J$13)^($A73/4)*(1+$AB$5)^($A73/4)*((1-'3. Assumptions'!$B$13)/($AB$6)-'2. The tape'!$H$5:$H$13/12-'3. Assumptions'!$B$16)-'2. The tape'!$C$5:$C$13*'2. The tape'!$I$5:$I$13*(1+$AB$5)^($A73/4)))</f>
        <v>37885517.8533602</v>
      </c>
      <c r="AD73" s="33" t="n">
        <f aca="false">'2. The tape'!$C$17*(1+MIN(MAX($AD$5,'3. Assumptions'!$B$11),'3. Assumptions'!$B$10))^INT(($A73-1)/4)/4*(1-'3. Assumptions'!$B$13)</f>
        <v>2998091.25</v>
      </c>
      <c r="AE73" s="33" t="n">
        <f aca="false">(1-'3. Assumptions'!$B$15)*SUMPRODUCT((('2. The tape'!$C$5:$C$13*'2. The tape'!$D$5:$D$13*(1-'2. The tape'!$J$5:$J$13)^($A73/4)*(1+$AD$5)^($A73/4)*((1-'3. Assumptions'!$B$13)/($AD$6)-'2. The tape'!$H$5:$H$13/12-'3. Assumptions'!$B$16)-'2. The tape'!$C$5:$C$13*'2. The tape'!$I$5:$I$13*(1+$AD$5)^($A73/4))&gt;0)*('2. The tape'!$C$5:$C$13*'2. The tape'!$D$5:$D$13*(1-'2. The tape'!$J$5:$J$13)^($A73/4)*(1+$AD$5)^($A73/4)*((1-'3. Assumptions'!$B$13)/($AD$6)-'2. The tape'!$H$5:$H$13/12-'3. Assumptions'!$B$16)-'2. The tape'!$C$5:$C$13*'2. The tape'!$I$5:$I$13*(1+$AD$5)^($A73/4)))</f>
        <v>37885517.8533602</v>
      </c>
      <c r="AF73" s="33" t="n">
        <f aca="false">'2. The tape'!$C$17*(1+MIN(MAX($AF$5,'3. Assumptions'!$B$11),'3. Assumptions'!$B$10))^INT(($A73-1)/4)/4*(1-'3. Assumptions'!$B$13)</f>
        <v>2998091.25</v>
      </c>
      <c r="AG73" s="33" t="n">
        <f aca="false">(1-'3. Assumptions'!$B$15)*SUMPRODUCT((('2. The tape'!$C$5:$C$13*'2. The tape'!$D$5:$D$13*(1-'2. The tape'!$J$5:$J$13)^($A73/4)*(1+$AF$5)^($A73/4)*((1-'3. Assumptions'!$B$13)/($AF$6)-'2. The tape'!$H$5:$H$13/12-'3. Assumptions'!$B$16)-'2. The tape'!$C$5:$C$13*'2. The tape'!$I$5:$I$13*(1+$AF$5)^($A73/4))&gt;0)*('2. The tape'!$C$5:$C$13*'2. The tape'!$D$5:$D$13*(1-'2. The tape'!$J$5:$J$13)^($A73/4)*(1+$AF$5)^($A73/4)*((1-'3. Assumptions'!$B$13)/($AF$6)-'2. The tape'!$H$5:$H$13/12-'3. Assumptions'!$B$16)-'2. The tape'!$C$5:$C$13*'2. The tape'!$I$5:$I$13*(1+$AF$5)^($A73/4)))</f>
        <v>37885517.8533602</v>
      </c>
      <c r="AH73" s="33" t="n">
        <f aca="false">'2. The tape'!$C$17*(1+MIN(MAX($AH$5,'3. Assumptions'!$B$11),'3. Assumptions'!$B$10))^INT(($A73-1)/4)/4*(1-'3. Assumptions'!$B$13)</f>
        <v>4065906.50710579</v>
      </c>
      <c r="AI73" s="33" t="n">
        <f aca="false">(1-'3. Assumptions'!$B$15)*SUMPRODUCT((('2. The tape'!$C$5:$C$13*'2. The tape'!$D$5:$D$13*(1-'2. The tape'!$J$5:$J$13)^($A73/4)*(1+$AH$5)^($A73/4)*((1-'3. Assumptions'!$B$13)/($AH$6)-'2. The tape'!$H$5:$H$13/12-'3. Assumptions'!$B$16)-'2. The tape'!$C$5:$C$13*'2. The tape'!$I$5:$I$13*(1+$AH$5)^($A73/4))&gt;0)*('2. The tape'!$C$5:$C$13*'2. The tape'!$D$5:$D$13*(1-'2. The tape'!$J$5:$J$13)^($A73/4)*(1+$AH$5)^($A73/4)*((1-'3. Assumptions'!$B$13)/($AH$6)-'2. The tape'!$H$5:$H$13/12-'3. Assumptions'!$B$16)-'2. The tape'!$C$5:$C$13*'2. The tape'!$I$5:$I$13*(1+$AH$5)^($A73/4)))</f>
        <v>153050810.678816</v>
      </c>
      <c r="AJ73" s="33" t="n">
        <f aca="false">'2. The tape'!$C$17*(1+MIN(MAX($AJ$5,'3. Assumptions'!$B$11),'3. Assumptions'!$B$10))^INT(($A73-1)/4)/4*(1-'3. Assumptions'!$B$13)</f>
        <v>4065906.50710579</v>
      </c>
      <c r="AK73" s="33" t="n">
        <f aca="false">(1-'3. Assumptions'!$B$15)*SUMPRODUCT((('2. The tape'!$C$5:$C$13*'2. The tape'!$D$5:$D$13*(1-'2. The tape'!$J$5:$J$13)^($A73/4)*(1+$AJ$5)^($A73/4)*((1-'3. Assumptions'!$B$13)/($AJ$6)-'2. The tape'!$H$5:$H$13/12-'3. Assumptions'!$B$16)-'2. The tape'!$C$5:$C$13*'2. The tape'!$I$5:$I$13*(1+$AJ$5)^($A73/4))&gt;0)*('2. The tape'!$C$5:$C$13*'2. The tape'!$D$5:$D$13*(1-'2. The tape'!$J$5:$J$13)^($A73/4)*(1+$AJ$5)^($A73/4)*((1-'3. Assumptions'!$B$13)/($AJ$6)-'2. The tape'!$H$5:$H$13/12-'3. Assumptions'!$B$16)-'2. The tape'!$C$5:$C$13*'2. The tape'!$I$5:$I$13*(1+$AJ$5)^($A73/4)))</f>
        <v>110060932.893739</v>
      </c>
      <c r="AL73" s="33" t="n">
        <f aca="false">'2. The tape'!$C$17*(1+MIN(MAX($AL$5,'3. Assumptions'!$B$11),'3. Assumptions'!$B$10))^INT(($A73-1)/4)/4*(1-'3. Assumptions'!$B$13)</f>
        <v>4065906.50710579</v>
      </c>
      <c r="AM73" s="33" t="n">
        <f aca="false">(1-'3. Assumptions'!$B$15)*SUMPRODUCT((('2. The tape'!$C$5:$C$13*'2. The tape'!$D$5:$D$13*(1-'2. The tape'!$J$5:$J$13)^($A73/4)*(1+$AL$5)^($A73/4)*((1-'3. Assumptions'!$B$13)/($AL$6)-'2. The tape'!$H$5:$H$13/12-'3. Assumptions'!$B$16)-'2. The tape'!$C$5:$C$13*'2. The tape'!$I$5:$I$13*(1+$AL$5)^($A73/4))&gt;0)*('2. The tape'!$C$5:$C$13*'2. The tape'!$D$5:$D$13*(1-'2. The tape'!$J$5:$J$13)^($A73/4)*(1+$AL$5)^($A73/4)*((1-'3. Assumptions'!$B$13)/($AL$6)-'2. The tape'!$H$5:$H$13/12-'3. Assumptions'!$B$16)-'2. The tape'!$C$5:$C$13*'2. The tape'!$I$5:$I$13*(1+$AL$5)^($A73/4)))</f>
        <v>126734275.406865</v>
      </c>
      <c r="AN73" s="33" t="n">
        <f aca="false">'2. The tape'!$C$17*(1+MIN(MAX($AN$5,'3. Assumptions'!$B$11),'3. Assumptions'!$B$10))^INT(($A73-1)/4)/4*(1-'3. Assumptions'!$B$13)</f>
        <v>4065906.50710579</v>
      </c>
      <c r="AO73" s="33" t="n">
        <f aca="false">(1-'3. Assumptions'!$B$15)*SUMPRODUCT((('2. The tape'!$C$5:$C$13*'2. The tape'!$D$5:$D$13*(1-'2. The tape'!$J$5:$J$13)^($A73/4)*(1+$AN$5)^($A73/4)*((1-'3. Assumptions'!$B$13)/($AN$6)-'2. The tape'!$H$5:$H$13/12-'3. Assumptions'!$B$16)-'2. The tape'!$C$5:$C$13*'2. The tape'!$I$5:$I$13*(1+$AN$5)^($A73/4))&gt;0)*('2. The tape'!$C$5:$C$13*'2. The tape'!$D$5:$D$13*(1-'2. The tape'!$J$5:$J$13)^($A73/4)*(1+$AN$5)^($A73/4)*((1-'3. Assumptions'!$B$13)/($AN$6)-'2. The tape'!$H$5:$H$13/12-'3. Assumptions'!$B$16)-'2. The tape'!$C$5:$C$13*'2. The tape'!$I$5:$I$13*(1+$AN$5)^($A73/4)))</f>
        <v>129856037.149654</v>
      </c>
      <c r="AP73" s="33" t="n">
        <f aca="false">'2. The tape'!$C$17*(1+MIN(MAX($AP$5,'3. Assumptions'!$B$11),'3. Assumptions'!$B$10))^INT(($A73-1)/4)/4*(1-'3. Assumptions'!$B$13)</f>
        <v>4065906.50710579</v>
      </c>
      <c r="AQ73" s="33" t="n">
        <f aca="false">(1-'3. Assumptions'!$B$15)*SUMPRODUCT((('2. The tape'!$C$5:$C$13*'2. The tape'!$D$5:$D$13*(1-'2. The tape'!$J$5:$J$13)^($A73/4)*(1+$AP$5)^($A73/4)*((1-'3. Assumptions'!$B$13)/($AP$6)-'2. The tape'!$H$5:$H$13/12-'3. Assumptions'!$B$16)-'2. The tape'!$C$5:$C$13*'2. The tape'!$I$5:$I$13*(1+$AP$5)^($A73/4))&gt;0)*('2. The tape'!$C$5:$C$13*'2. The tape'!$D$5:$D$13*(1-'2. The tape'!$J$5:$J$13)^($A73/4)*(1+$AP$5)^($A73/4)*((1-'3. Assumptions'!$B$13)/($AP$6)-'2. The tape'!$H$5:$H$13/12-'3. Assumptions'!$B$16)-'2. The tape'!$C$5:$C$13*'2. The tape'!$I$5:$I$13*(1+$AP$5)^($A73/4)))</f>
        <v>129470662.068479</v>
      </c>
      <c r="AR73" s="33" t="n">
        <f aca="false">'2. The tape'!$C$17*(1+MIN(MAX($AR$5,'3. Assumptions'!$B$11),'3. Assumptions'!$B$10))^INT(($A73-1)/4)/4*(1-'3. Assumptions'!$B$13)</f>
        <v>4065906.50710579</v>
      </c>
      <c r="AS73" s="33" t="n">
        <f aca="false">(1-'3. Assumptions'!$B$15)*SUMPRODUCT((('2. The tape'!$C$5:$C$13*'2. The tape'!$D$5:$D$13*(1-'2. The tape'!$J$5:$J$13)^($A73/4)*(1+$AR$5)^($A73/4)*((1-'3. Assumptions'!$B$13)/($AR$6)-'2. The tape'!$H$5:$H$13/12-'3. Assumptions'!$B$16)-'2. The tape'!$C$5:$C$13*'2. The tape'!$I$5:$I$13*(1+$AR$5)^($A73/4))&gt;0)*('2. The tape'!$C$5:$C$13*'2. The tape'!$D$5:$D$13*(1-'2. The tape'!$J$5:$J$13)^($A73/4)*(1+$AR$5)^($A73/4)*((1-'3. Assumptions'!$B$13)/($AR$6)-'2. The tape'!$H$5:$H$13/12-'3. Assumptions'!$B$16)-'2. The tape'!$C$5:$C$13*'2. The tape'!$I$5:$I$13*(1+$AR$5)^($A73/4)))</f>
        <v>129477128.11035</v>
      </c>
      <c r="AT73" s="33" t="n">
        <f aca="false">'2. The tape'!$C$17*(1+MIN(MAX($AT$5,'3. Assumptions'!$B$11),'3. Assumptions'!$B$10))^INT(($A73-1)/4)/4*(1-'3. Assumptions'!$B$13)</f>
        <v>4065906.50710579</v>
      </c>
      <c r="AU73" s="33" t="n">
        <f aca="false">(1-'3. Assumptions'!$B$15)*SUMPRODUCT((('2. The tape'!$C$5:$C$13*'2. The tape'!$D$5:$D$13*(1-'2. The tape'!$J$5:$J$13)^($A73/4)*(1+$AT$5)^($A73/4)*((1-'3. Assumptions'!$B$13)/($AT$6)-'2. The tape'!$H$5:$H$13/12-'3. Assumptions'!$B$16)-'2. The tape'!$C$5:$C$13*'2. The tape'!$I$5:$I$13*(1+$AT$5)^($A73/4))&gt;0)*('2. The tape'!$C$5:$C$13*'2. The tape'!$D$5:$D$13*(1-'2. The tape'!$J$5:$J$13)^($A73/4)*(1+$AT$5)^($A73/4)*((1-'3. Assumptions'!$B$13)/($AT$6)-'2. The tape'!$H$5:$H$13/12-'3. Assumptions'!$B$16)-'2. The tape'!$C$5:$C$13*'2. The tape'!$I$5:$I$13*(1+$AT$5)^($A73/4)))</f>
        <v>129477143.168135</v>
      </c>
      <c r="AV73" s="33" t="n">
        <f aca="false">'2. The tape'!$C$17*(1+MIN(MAX($AV$5,'3. Assumptions'!$B$11),'3. Assumptions'!$B$10))^INT(($A73-1)/4)/4*(1-'3. Assumptions'!$B$13)</f>
        <v>4065906.50710579</v>
      </c>
      <c r="AW73" s="33" t="n">
        <f aca="false">(1-'3. Assumptions'!$B$15)*SUMPRODUCT((('2. The tape'!$C$5:$C$13*'2. The tape'!$D$5:$D$13*(1-'2. The tape'!$J$5:$J$13)^($A73/4)*(1+$AV$5)^($A73/4)*((1-'3. Assumptions'!$B$13)/($AV$6)-'2. The tape'!$H$5:$H$13/12-'3. Assumptions'!$B$16)-'2. The tape'!$C$5:$C$13*'2. The tape'!$I$5:$I$13*(1+$AV$5)^($A73/4))&gt;0)*('2. The tape'!$C$5:$C$13*'2. The tape'!$D$5:$D$13*(1-'2. The tape'!$J$5:$J$13)^($A73/4)*(1+$AV$5)^($A73/4)*((1-'3. Assumptions'!$B$13)/($AV$6)-'2. The tape'!$H$5:$H$13/12-'3. Assumptions'!$B$16)-'2. The tape'!$C$5:$C$13*'2. The tape'!$I$5:$I$13*(1+$AV$5)^($A73/4)))</f>
        <v>129477143.167535</v>
      </c>
      <c r="AX73" s="33" t="n">
        <f aca="false">'2. The tape'!$C$17*(1+MIN(MAX($AX$5,'3. Assumptions'!$B$11),'3. Assumptions'!$B$10))^INT(($A73-1)/4)/4*(1-'3. Assumptions'!$B$13)</f>
        <v>4065906.50710579</v>
      </c>
      <c r="AY73" s="33" t="n">
        <f aca="false">(1-'3. Assumptions'!$B$15)*SUMPRODUCT((('2. The tape'!$C$5:$C$13*'2. The tape'!$D$5:$D$13*(1-'2. The tape'!$J$5:$J$13)^($A73/4)*(1+$AX$5)^($A73/4)*((1-'3. Assumptions'!$B$13)/($AX$6)-'2. The tape'!$H$5:$H$13/12-'3. Assumptions'!$B$16)-'2. The tape'!$C$5:$C$13*'2. The tape'!$I$5:$I$13*(1+$AX$5)^($A73/4))&gt;0)*('2. The tape'!$C$5:$C$13*'2. The tape'!$D$5:$D$13*(1-'2. The tape'!$J$5:$J$13)^($A73/4)*(1+$AX$5)^($A73/4)*((1-'3. Assumptions'!$B$13)/($AX$6)-'2. The tape'!$H$5:$H$13/12-'3. Assumptions'!$B$16)-'2. The tape'!$C$5:$C$13*'2. The tape'!$I$5:$I$13*(1+$AX$5)^($A73/4)))</f>
        <v>129477143.167535</v>
      </c>
      <c r="AZ73" s="33" t="n">
        <f aca="false">'2. The tape'!$C$17*(1+MIN(MAX($AZ$5,'3. Assumptions'!$B$11),'3. Assumptions'!$B$10))^INT(($A73-1)/4)/4*(1-'3. Assumptions'!$B$13)</f>
        <v>4065906.50710579</v>
      </c>
      <c r="BA73" s="33" t="n">
        <f aca="false">(1-'3. Assumptions'!$B$15)*SUMPRODUCT((('2. The tape'!$C$5:$C$13*'2. The tape'!$D$5:$D$13*(1-'2. The tape'!$J$5:$J$13)^($A73/4)*(1+$AZ$5)^($A73/4)*((1-'3. Assumptions'!$B$13)/($AZ$6)-'2. The tape'!$H$5:$H$13/12-'3. Assumptions'!$B$16)-'2. The tape'!$C$5:$C$13*'2. The tape'!$I$5:$I$13*(1+$AZ$5)^($A73/4))&gt;0)*('2. The tape'!$C$5:$C$13*'2. The tape'!$D$5:$D$13*(1-'2. The tape'!$J$5:$J$13)^($A73/4)*(1+$AZ$5)^($A73/4)*((1-'3. Assumptions'!$B$13)/($AZ$6)-'2. The tape'!$H$5:$H$13/12-'3. Assumptions'!$B$16)-'2. The tape'!$C$5:$C$13*'2. The tape'!$I$5:$I$13*(1+$AZ$5)^($A73/4)))</f>
        <v>129477143.167535</v>
      </c>
    </row>
    <row r="74" customFormat="false" ht="15" hidden="false" customHeight="false" outlineLevel="0" collapsed="false">
      <c r="A74" s="20" t="n">
        <v>59</v>
      </c>
      <c r="B74" s="33" t="n">
        <f aca="false">'2. The tape'!$C$17*(1+MIN(MAX($B$5,'3. Assumptions'!$B$11),'3. Assumptions'!$B$10))^INT(($A74-1)/4)/4*(1-'3. Assumptions'!$B$13)</f>
        <v>4065906.50710579</v>
      </c>
      <c r="C74" s="33" t="n">
        <f aca="false">(1-'3. Assumptions'!$B$15)*SUMPRODUCT((('2. The tape'!$C$5:$C$13*'2. The tape'!$D$5:$D$13*(1-'2. The tape'!$J$5:$J$13)^($A74/4)*(1+$B$5)^($A74/4)*((1-'3. Assumptions'!$B$13)/($B$6)-'2. The tape'!$H$5:$H$13/12-'3. Assumptions'!$B$16)-'2. The tape'!$C$5:$C$13*'2. The tape'!$I$5:$I$13*(1+$B$5)^($A74/4))&gt;0)*('2. The tape'!$C$5:$C$13*'2. The tape'!$D$5:$D$13*(1-'2. The tape'!$J$5:$J$13)^($A74/4)*(1+$B$5)^($A74/4)*((1-'3. Assumptions'!$B$13)/($B$6)-'2. The tape'!$H$5:$H$13/12-'3. Assumptions'!$B$16)-'2. The tape'!$C$5:$C$13*'2. The tape'!$I$5:$I$13*(1+$B$5)^($A74/4)))</f>
        <v>76239408.9729415</v>
      </c>
      <c r="D74" s="33" t="n">
        <f aca="false">'2. The tape'!$C$17*(1+MIN(MAX($D$5,'3. Assumptions'!$B$11),'3. Assumptions'!$B$10))^INT(($A74-1)/4)/4*(1-'3. Assumptions'!$B$13)</f>
        <v>4534882.01892802</v>
      </c>
      <c r="E74" s="33" t="n">
        <f aca="false">(1-'3. Assumptions'!$B$15)*SUMPRODUCT((('2. The tape'!$C$5:$C$13*'2. The tape'!$D$5:$D$13*(1-'2. The tape'!$J$5:$J$13)^($A74/4)*(1+$D$5)^($A74/4)*((1-'3. Assumptions'!$B$13)/($D$6)-'2. The tape'!$H$5:$H$13/12-'3. Assumptions'!$B$16)-'2. The tape'!$C$5:$C$13*'2. The tape'!$I$5:$I$13*(1+$D$5)^($A74/4))&gt;0)*('2. The tape'!$C$5:$C$13*'2. The tape'!$D$5:$D$13*(1-'2. The tape'!$J$5:$J$13)^($A74/4)*(1+$D$5)^($A74/4)*((1-'3. Assumptions'!$B$13)/($D$6)-'2. The tape'!$H$5:$H$13/12-'3. Assumptions'!$B$16)-'2. The tape'!$C$5:$C$13*'2. The tape'!$I$5:$I$13*(1+$D$5)^($A74/4)))</f>
        <v>91864764.7667696</v>
      </c>
      <c r="F74" s="33" t="n">
        <f aca="false">'2. The tape'!$C$17*(1+MIN(MAX($F$5,'3. Assumptions'!$B$11),'3. Assumptions'!$B$10))^INT(($A74-1)/4)/4*(1-'3. Assumptions'!$B$13)</f>
        <v>3446228.58080835</v>
      </c>
      <c r="G74" s="33" t="n">
        <f aca="false">(1-'3. Assumptions'!$B$15)*SUMPRODUCT((('2. The tape'!$C$5:$C$13*'2. The tape'!$D$5:$D$13*(1-'2. The tape'!$J$5:$J$13)^($A74/4)*(1+$F$5)^($A74/4)*((1-'3. Assumptions'!$B$13)/($F$6)-'2. The tape'!$H$5:$H$13/12-'3. Assumptions'!$B$16)-'2. The tape'!$C$5:$C$13*'2. The tape'!$I$5:$I$13*(1+$F$5)^($A74/4))&gt;0)*('2. The tape'!$C$5:$C$13*'2. The tape'!$D$5:$D$13*(1-'2. The tape'!$J$5:$J$13)^($A74/4)*(1+$F$5)^($A74/4)*((1-'3. Assumptions'!$B$13)/($F$6)-'2. The tape'!$H$5:$H$13/12-'3. Assumptions'!$B$16)-'2. The tape'!$C$5:$C$13*'2. The tape'!$I$5:$I$13*(1+$F$5)^($A74/4)))</f>
        <v>64049990.7184417</v>
      </c>
      <c r="H74" s="33" t="n">
        <f aca="false">'2. The tape'!$C$17*(1+MIN(MAX($H$5,'3. Assumptions'!$B$11),'3. Assumptions'!$B$10))^INT(($A74-1)/4)/4*(1-'3. Assumptions'!$B$13)</f>
        <v>4534882.01892802</v>
      </c>
      <c r="I74" s="33" t="n">
        <f aca="false">(1-'3. Assumptions'!$B$15)*SUMPRODUCT((('2. The tape'!$C$5:$C$13*'2. The tape'!$D$5:$D$13*(1-'2. The tape'!$J$5:$J$13)^($A74/4)*(1+$H$5)^($A74/4)*((1-'3. Assumptions'!$B$13)/($H$6)-'2. The tape'!$H$5:$H$13/12-'3. Assumptions'!$B$16)-'2. The tape'!$C$5:$C$13*'2. The tape'!$I$5:$I$13*(1+$H$5)^($A74/4))&gt;0)*('2. The tape'!$C$5:$C$13*'2. The tape'!$D$5:$D$13*(1-'2. The tape'!$J$5:$J$13)^($A74/4)*(1+$H$5)^($A74/4)*((1-'3. Assumptions'!$B$13)/($H$6)-'2. The tape'!$H$5:$H$13/12-'3. Assumptions'!$B$16)-'2. The tape'!$C$5:$C$13*'2. The tape'!$I$5:$I$13*(1+$H$5)^($A74/4)))</f>
        <v>91864764.7667696</v>
      </c>
      <c r="J74" s="33" t="n">
        <f aca="false">'2. The tape'!$C$17*(1+MIN(MAX($J$5,'3. Assumptions'!$B$11),'3. Assumptions'!$B$10))^INT(($A74-1)/4)/4*(1-'3. Assumptions'!$B$13)</f>
        <v>4065906.50710579</v>
      </c>
      <c r="K74" s="33" t="n">
        <f aca="false">(1-'3. Assumptions'!$B$15)*SUMPRODUCT((('2. The tape'!$C$5:$C$13*'2. The tape'!$D$5:$D$13*(1-'2. The tape'!$J$5:$J$13)^($A74/4)*(1+$J$5)^($A74/4)*((1-'3. Assumptions'!$B$13)/($J$6)-'2. The tape'!$H$5:$H$13/12-'3. Assumptions'!$B$16)-'2. The tape'!$C$5:$C$13*'2. The tape'!$I$5:$I$13*(1+$J$5)^($A74/4))&gt;0)*('2. The tape'!$C$5:$C$13*'2. The tape'!$D$5:$D$13*(1-'2. The tape'!$J$5:$J$13)^($A74/4)*(1+$J$5)^($A74/4)*((1-'3. Assumptions'!$B$13)/($J$6)-'2. The tape'!$H$5:$H$13/12-'3. Assumptions'!$B$16)-'2. The tape'!$C$5:$C$13*'2. The tape'!$I$5:$I$13*(1+$J$5)^($A74/4)))</f>
        <v>62190619.1732769</v>
      </c>
      <c r="L74" s="33" t="n">
        <f aca="false">'2. The tape'!$C$17*(1+MIN(MAX($L$5,'3. Assumptions'!$B$11),'3. Assumptions'!$B$10))^INT(($A74-1)/4)/4*(1-'3. Assumptions'!$B$13)</f>
        <v>4534882.01892802</v>
      </c>
      <c r="M74" s="33" t="n">
        <f aca="false">(1-'3. Assumptions'!$B$15)*SUMPRODUCT((('2. The tape'!$C$5:$C$13*'2. The tape'!$D$5:$D$13*(1-'2. The tape'!$J$5:$J$13)^($A74/4)*(1+$L$5)^($A74/4)*((1-'3. Assumptions'!$B$13)/($L$6)-'2. The tape'!$H$5:$H$13/12-'3. Assumptions'!$B$16)-'2. The tape'!$C$5:$C$13*'2. The tape'!$I$5:$I$13*(1+$L$5)^($A74/4))&gt;0)*('2. The tape'!$C$5:$C$13*'2. The tape'!$D$5:$D$13*(1-'2. The tape'!$J$5:$J$13)^($A74/4)*(1+$L$5)^($A74/4)*((1-'3. Assumptions'!$B$13)/($L$6)-'2. The tape'!$H$5:$H$13/12-'3. Assumptions'!$B$16)-'2. The tape'!$C$5:$C$13*'2. The tape'!$I$5:$I$13*(1+$L$5)^($A74/4)))</f>
        <v>2651204659.67517</v>
      </c>
      <c r="N74" s="33" t="n">
        <f aca="false">'2. The tape'!$C$17*(1+MIN(MAX($N$5,'3. Assumptions'!$B$11),'3. Assumptions'!$B$10))^INT(($A74-1)/4)/4*(1-'3. Assumptions'!$B$13)</f>
        <v>2998091.25</v>
      </c>
      <c r="O74" s="33" t="n">
        <f aca="false">(1-'3. Assumptions'!$B$15)*SUMPRODUCT((('2. The tape'!$C$5:$C$13*'2. The tape'!$D$5:$D$13*(1-'2. The tape'!$J$5:$J$13)^($A74/4)*(1+$N$5)^($A74/4)*((1-'3. Assumptions'!$B$13)/($N$6)-'2. The tape'!$H$5:$H$13/12-'3. Assumptions'!$B$16)-'2. The tape'!$C$5:$C$13*'2. The tape'!$I$5:$I$13*(1+$N$5)^($A74/4))&gt;0)*('2. The tape'!$C$5:$C$13*'2. The tape'!$D$5:$D$13*(1-'2. The tape'!$J$5:$J$13)^($A74/4)*(1+$N$5)^($A74/4)*((1-'3. Assumptions'!$B$13)/($N$6)-'2. The tape'!$H$5:$H$13/12-'3. Assumptions'!$B$16)-'2. The tape'!$C$5:$C$13*'2. The tape'!$I$5:$I$13*(1+$N$5)^($A74/4)))</f>
        <v>35290831.2749418</v>
      </c>
      <c r="P74" s="33" t="n">
        <f aca="false">'2. The tape'!$C$17*(1+MIN(MAX($P$5,'3. Assumptions'!$B$11),'3. Assumptions'!$B$10))^INT(($A74-1)/4)/4*(1-'3. Assumptions'!$B$13)</f>
        <v>2998091.25</v>
      </c>
      <c r="Q74" s="33" t="n">
        <f aca="false">(1-'3. Assumptions'!$B$15)*SUMPRODUCT((('2. The tape'!$C$5:$C$13*'2. The tape'!$D$5:$D$13*(1-'2. The tape'!$J$5:$J$13)^($A74/4)*(1+$P$5)^($A74/4)*((1-'3. Assumptions'!$B$13)/($P$6)-'2. The tape'!$H$5:$H$13/12-'3. Assumptions'!$B$16)-'2. The tape'!$C$5:$C$13*'2. The tape'!$I$5:$I$13*(1+$P$5)^($A74/4))&gt;0)*('2. The tape'!$C$5:$C$13*'2. The tape'!$D$5:$D$13*(1-'2. The tape'!$J$5:$J$13)^($A74/4)*(1+$P$5)^($A74/4)*((1-'3. Assumptions'!$B$13)/($P$6)-'2. The tape'!$H$5:$H$13/12-'3. Assumptions'!$B$16)-'2. The tape'!$C$5:$C$13*'2. The tape'!$I$5:$I$13*(1+$P$5)^($A74/4)))</f>
        <v>41054751.1767943</v>
      </c>
      <c r="R74" s="33" t="n">
        <f aca="false">'2. The tape'!$C$17*(1+MIN(MAX($R$5,'3. Assumptions'!$B$11),'3. Assumptions'!$B$10))^INT(($A74-1)/4)/4*(1-'3. Assumptions'!$B$13)</f>
        <v>2998091.25</v>
      </c>
      <c r="S74" s="33" t="n">
        <f aca="false">(1-'3. Assumptions'!$B$15)*SUMPRODUCT((('2. The tape'!$C$5:$C$13*'2. The tape'!$D$5:$D$13*(1-'2. The tape'!$J$5:$J$13)^($A74/4)*(1+$R$5)^($A74/4)*((1-'3. Assumptions'!$B$13)/($R$6)-'2. The tape'!$H$5:$H$13/12-'3. Assumptions'!$B$16)-'2. The tape'!$C$5:$C$13*'2. The tape'!$I$5:$I$13*(1+$R$5)^($A74/4))&gt;0)*('2. The tape'!$C$5:$C$13*'2. The tape'!$D$5:$D$13*(1-'2. The tape'!$J$5:$J$13)^($A74/4)*(1+$R$5)^($A74/4)*((1-'3. Assumptions'!$B$13)/($R$6)-'2. The tape'!$H$5:$H$13/12-'3. Assumptions'!$B$16)-'2. The tape'!$C$5:$C$13*'2. The tape'!$I$5:$I$13*(1+$R$5)^($A74/4)))</f>
        <v>37468949.6521785</v>
      </c>
      <c r="T74" s="33" t="n">
        <f aca="false">'2. The tape'!$C$17*(1+MIN(MAX($T$5,'3. Assumptions'!$B$11),'3. Assumptions'!$B$10))^INT(($A74-1)/4)/4*(1-'3. Assumptions'!$B$13)</f>
        <v>2998091.25</v>
      </c>
      <c r="U74" s="33" t="n">
        <f aca="false">(1-'3. Assumptions'!$B$15)*SUMPRODUCT((('2. The tape'!$C$5:$C$13*'2. The tape'!$D$5:$D$13*(1-'2. The tape'!$J$5:$J$13)^($A74/4)*(1+$T$5)^($A74/4)*((1-'3. Assumptions'!$B$13)/($T$6)-'2. The tape'!$H$5:$H$13/12-'3. Assumptions'!$B$16)-'2. The tape'!$C$5:$C$13*'2. The tape'!$I$5:$I$13*(1+$T$5)^($A74/4))&gt;0)*('2. The tape'!$C$5:$C$13*'2. The tape'!$D$5:$D$13*(1-'2. The tape'!$J$5:$J$13)^($A74/4)*(1+$T$5)^($A74/4)*((1-'3. Assumptions'!$B$13)/($T$6)-'2. The tape'!$H$5:$H$13/12-'3. Assumptions'!$B$16)-'2. The tape'!$C$5:$C$13*'2. The tape'!$I$5:$I$13*(1+$T$5)^($A74/4)))</f>
        <v>37375884.8068311</v>
      </c>
      <c r="V74" s="33" t="n">
        <f aca="false">'2. The tape'!$C$17*(1+MIN(MAX($V$5,'3. Assumptions'!$B$11),'3. Assumptions'!$B$10))^INT(($A74-1)/4)/4*(1-'3. Assumptions'!$B$13)</f>
        <v>2998091.25</v>
      </c>
      <c r="W74" s="33" t="n">
        <f aca="false">(1-'3. Assumptions'!$B$15)*SUMPRODUCT((('2. The tape'!$C$5:$C$13*'2. The tape'!$D$5:$D$13*(1-'2. The tape'!$J$5:$J$13)^($A74/4)*(1+$V$5)^($A74/4)*((1-'3. Assumptions'!$B$13)/($V$6)-'2. The tape'!$H$5:$H$13/12-'3. Assumptions'!$B$16)-'2. The tape'!$C$5:$C$13*'2. The tape'!$I$5:$I$13*(1+$V$5)^($A74/4))&gt;0)*('2. The tape'!$C$5:$C$13*'2. The tape'!$D$5:$D$13*(1-'2. The tape'!$J$5:$J$13)^($A74/4)*(1+$V$5)^($A74/4)*((1-'3. Assumptions'!$B$13)/($V$6)-'2. The tape'!$H$5:$H$13/12-'3. Assumptions'!$B$16)-'2. The tape'!$C$5:$C$13*'2. The tape'!$I$5:$I$13*(1+$V$5)^($A74/4)))</f>
        <v>37379619.9041206</v>
      </c>
      <c r="X74" s="33" t="n">
        <f aca="false">'2. The tape'!$C$17*(1+MIN(MAX($X$5,'3. Assumptions'!$B$11),'3. Assumptions'!$B$10))^INT(($A74-1)/4)/4*(1-'3. Assumptions'!$B$13)</f>
        <v>2998091.25</v>
      </c>
      <c r="Y74" s="33" t="n">
        <f aca="false">(1-'3. Assumptions'!$B$15)*SUMPRODUCT((('2. The tape'!$C$5:$C$13*'2. The tape'!$D$5:$D$13*(1-'2. The tape'!$J$5:$J$13)^($A74/4)*(1+$X$5)^($A74/4)*((1-'3. Assumptions'!$B$13)/($X$6)-'2. The tape'!$H$5:$H$13/12-'3. Assumptions'!$B$16)-'2. The tape'!$C$5:$C$13*'2. The tape'!$I$5:$I$13*(1+$X$5)^($A74/4))&gt;0)*('2. The tape'!$C$5:$C$13*'2. The tape'!$D$5:$D$13*(1-'2. The tape'!$J$5:$J$13)^($A74/4)*(1+$X$5)^($A74/4)*((1-'3. Assumptions'!$B$13)/($X$6)-'2. The tape'!$H$5:$H$13/12-'3. Assumptions'!$B$16)-'2. The tape'!$C$5:$C$13*'2. The tape'!$I$5:$I$13*(1+$X$5)^($A74/4)))</f>
        <v>37379615.9762507</v>
      </c>
      <c r="Z74" s="33" t="n">
        <f aca="false">'2. The tape'!$C$17*(1+MIN(MAX($Z$5,'3. Assumptions'!$B$11),'3. Assumptions'!$B$10))^INT(($A74-1)/4)/4*(1-'3. Assumptions'!$B$13)</f>
        <v>2998091.25</v>
      </c>
      <c r="AA74" s="33" t="n">
        <f aca="false">(1-'3. Assumptions'!$B$15)*SUMPRODUCT((('2. The tape'!$C$5:$C$13*'2. The tape'!$D$5:$D$13*(1-'2. The tape'!$J$5:$J$13)^($A74/4)*(1+$Z$5)^($A74/4)*((1-'3. Assumptions'!$B$13)/($Z$6)-'2. The tape'!$H$5:$H$13/12-'3. Assumptions'!$B$16)-'2. The tape'!$C$5:$C$13*'2. The tape'!$I$5:$I$13*(1+$Z$5)^($A74/4))&gt;0)*('2. The tape'!$C$5:$C$13*'2. The tape'!$D$5:$D$13*(1-'2. The tape'!$J$5:$J$13)^($A74/4)*(1+$Z$5)^($A74/4)*((1-'3. Assumptions'!$B$13)/($Z$6)-'2. The tape'!$H$5:$H$13/12-'3. Assumptions'!$B$16)-'2. The tape'!$C$5:$C$13*'2. The tape'!$I$5:$I$13*(1+$Z$5)^($A74/4)))</f>
        <v>37379615.9760779</v>
      </c>
      <c r="AB74" s="33" t="n">
        <f aca="false">'2. The tape'!$C$17*(1+MIN(MAX($AB$5,'3. Assumptions'!$B$11),'3. Assumptions'!$B$10))^INT(($A74-1)/4)/4*(1-'3. Assumptions'!$B$13)</f>
        <v>2998091.25</v>
      </c>
      <c r="AC74" s="33" t="n">
        <f aca="false">(1-'3. Assumptions'!$B$15)*SUMPRODUCT((('2. The tape'!$C$5:$C$13*'2. The tape'!$D$5:$D$13*(1-'2. The tape'!$J$5:$J$13)^($A74/4)*(1+$AB$5)^($A74/4)*((1-'3. Assumptions'!$B$13)/($AB$6)-'2. The tape'!$H$5:$H$13/12-'3. Assumptions'!$B$16)-'2. The tape'!$C$5:$C$13*'2. The tape'!$I$5:$I$13*(1+$AB$5)^($A74/4))&gt;0)*('2. The tape'!$C$5:$C$13*'2. The tape'!$D$5:$D$13*(1-'2. The tape'!$J$5:$J$13)^($A74/4)*(1+$AB$5)^($A74/4)*((1-'3. Assumptions'!$B$13)/($AB$6)-'2. The tape'!$H$5:$H$13/12-'3. Assumptions'!$B$16)-'2. The tape'!$C$5:$C$13*'2. The tape'!$I$5:$I$13*(1+$AB$5)^($A74/4)))</f>
        <v>37379615.9760779</v>
      </c>
      <c r="AD74" s="33" t="n">
        <f aca="false">'2. The tape'!$C$17*(1+MIN(MAX($AD$5,'3. Assumptions'!$B$11),'3. Assumptions'!$B$10))^INT(($A74-1)/4)/4*(1-'3. Assumptions'!$B$13)</f>
        <v>2998091.25</v>
      </c>
      <c r="AE74" s="33" t="n">
        <f aca="false">(1-'3. Assumptions'!$B$15)*SUMPRODUCT((('2. The tape'!$C$5:$C$13*'2. The tape'!$D$5:$D$13*(1-'2. The tape'!$J$5:$J$13)^($A74/4)*(1+$AD$5)^($A74/4)*((1-'3. Assumptions'!$B$13)/($AD$6)-'2. The tape'!$H$5:$H$13/12-'3. Assumptions'!$B$16)-'2. The tape'!$C$5:$C$13*'2. The tape'!$I$5:$I$13*(1+$AD$5)^($A74/4))&gt;0)*('2. The tape'!$C$5:$C$13*'2. The tape'!$D$5:$D$13*(1-'2. The tape'!$J$5:$J$13)^($A74/4)*(1+$AD$5)^($A74/4)*((1-'3. Assumptions'!$B$13)/($AD$6)-'2. The tape'!$H$5:$H$13/12-'3. Assumptions'!$B$16)-'2. The tape'!$C$5:$C$13*'2. The tape'!$I$5:$I$13*(1+$AD$5)^($A74/4)))</f>
        <v>37379615.9760779</v>
      </c>
      <c r="AF74" s="33" t="n">
        <f aca="false">'2. The tape'!$C$17*(1+MIN(MAX($AF$5,'3. Assumptions'!$B$11),'3. Assumptions'!$B$10))^INT(($A74-1)/4)/4*(1-'3. Assumptions'!$B$13)</f>
        <v>2998091.25</v>
      </c>
      <c r="AG74" s="33" t="n">
        <f aca="false">(1-'3. Assumptions'!$B$15)*SUMPRODUCT((('2. The tape'!$C$5:$C$13*'2. The tape'!$D$5:$D$13*(1-'2. The tape'!$J$5:$J$13)^($A74/4)*(1+$AF$5)^($A74/4)*((1-'3. Assumptions'!$B$13)/($AF$6)-'2. The tape'!$H$5:$H$13/12-'3. Assumptions'!$B$16)-'2. The tape'!$C$5:$C$13*'2. The tape'!$I$5:$I$13*(1+$AF$5)^($A74/4))&gt;0)*('2. The tape'!$C$5:$C$13*'2. The tape'!$D$5:$D$13*(1-'2. The tape'!$J$5:$J$13)^($A74/4)*(1+$AF$5)^($A74/4)*((1-'3. Assumptions'!$B$13)/($AF$6)-'2. The tape'!$H$5:$H$13/12-'3. Assumptions'!$B$16)-'2. The tape'!$C$5:$C$13*'2. The tape'!$I$5:$I$13*(1+$AF$5)^($A74/4)))</f>
        <v>37379615.9760779</v>
      </c>
      <c r="AH74" s="33" t="n">
        <f aca="false">'2. The tape'!$C$17*(1+MIN(MAX($AH$5,'3. Assumptions'!$B$11),'3. Assumptions'!$B$10))^INT(($A74-1)/4)/4*(1-'3. Assumptions'!$B$13)</f>
        <v>4065906.50710579</v>
      </c>
      <c r="AI74" s="33" t="n">
        <f aca="false">(1-'3. Assumptions'!$B$15)*SUMPRODUCT((('2. The tape'!$C$5:$C$13*'2. The tape'!$D$5:$D$13*(1-'2. The tape'!$J$5:$J$13)^($A74/4)*(1+$AH$5)^($A74/4)*((1-'3. Assumptions'!$B$13)/($AH$6)-'2. The tape'!$H$5:$H$13/12-'3. Assumptions'!$B$16)-'2. The tape'!$C$5:$C$13*'2. The tape'!$I$5:$I$13*(1+$AH$5)^($A74/4))&gt;0)*('2. The tape'!$C$5:$C$13*'2. The tape'!$D$5:$D$13*(1-'2. The tape'!$J$5:$J$13)^($A74/4)*(1+$AH$5)^($A74/4)*((1-'3. Assumptions'!$B$13)/($AH$6)-'2. The tape'!$H$5:$H$13/12-'3. Assumptions'!$B$16)-'2. The tape'!$C$5:$C$13*'2. The tape'!$I$5:$I$13*(1+$AH$5)^($A74/4)))</f>
        <v>152945801.27911</v>
      </c>
      <c r="AJ74" s="33" t="n">
        <f aca="false">'2. The tape'!$C$17*(1+MIN(MAX($AJ$5,'3. Assumptions'!$B$11),'3. Assumptions'!$B$10))^INT(($A74-1)/4)/4*(1-'3. Assumptions'!$B$13)</f>
        <v>4065906.50710579</v>
      </c>
      <c r="AK74" s="33" t="n">
        <f aca="false">(1-'3. Assumptions'!$B$15)*SUMPRODUCT((('2. The tape'!$C$5:$C$13*'2. The tape'!$D$5:$D$13*(1-'2. The tape'!$J$5:$J$13)^($A74/4)*(1+$AJ$5)^($A74/4)*((1-'3. Assumptions'!$B$13)/($AJ$6)-'2. The tape'!$H$5:$H$13/12-'3. Assumptions'!$B$16)-'2. The tape'!$C$5:$C$13*'2. The tape'!$I$5:$I$13*(1+$AJ$5)^($A74/4))&gt;0)*('2. The tape'!$C$5:$C$13*'2. The tape'!$D$5:$D$13*(1-'2. The tape'!$J$5:$J$13)^($A74/4)*(1+$AJ$5)^($A74/4)*((1-'3. Assumptions'!$B$13)/($AJ$6)-'2. The tape'!$H$5:$H$13/12-'3. Assumptions'!$B$16)-'2. The tape'!$C$5:$C$13*'2. The tape'!$I$5:$I$13*(1+$AJ$5)^($A74/4)))</f>
        <v>109956504.492137</v>
      </c>
      <c r="AL74" s="33" t="n">
        <f aca="false">'2. The tape'!$C$17*(1+MIN(MAX($AL$5,'3. Assumptions'!$B$11),'3. Assumptions'!$B$10))^INT(($A74-1)/4)/4*(1-'3. Assumptions'!$B$13)</f>
        <v>4065906.50710579</v>
      </c>
      <c r="AM74" s="33" t="n">
        <f aca="false">(1-'3. Assumptions'!$B$15)*SUMPRODUCT((('2. The tape'!$C$5:$C$13*'2. The tape'!$D$5:$D$13*(1-'2. The tape'!$J$5:$J$13)^($A74/4)*(1+$AL$5)^($A74/4)*((1-'3. Assumptions'!$B$13)/($AL$6)-'2. The tape'!$H$5:$H$13/12-'3. Assumptions'!$B$16)-'2. The tape'!$C$5:$C$13*'2. The tape'!$I$5:$I$13*(1+$AL$5)^($A74/4))&gt;0)*('2. The tape'!$C$5:$C$13*'2. The tape'!$D$5:$D$13*(1-'2. The tape'!$J$5:$J$13)^($A74/4)*(1+$AL$5)^($A74/4)*((1-'3. Assumptions'!$B$13)/($AL$6)-'2. The tape'!$H$5:$H$13/12-'3. Assumptions'!$B$16)-'2. The tape'!$C$5:$C$13*'2. The tape'!$I$5:$I$13*(1+$AL$5)^($A74/4)))</f>
        <v>126629621.668954</v>
      </c>
      <c r="AN74" s="33" t="n">
        <f aca="false">'2. The tape'!$C$17*(1+MIN(MAX($AN$5,'3. Assumptions'!$B$11),'3. Assumptions'!$B$10))^INT(($A74-1)/4)/4*(1-'3. Assumptions'!$B$13)</f>
        <v>4065906.50710579</v>
      </c>
      <c r="AO74" s="33" t="n">
        <f aca="false">(1-'3. Assumptions'!$B$15)*SUMPRODUCT((('2. The tape'!$C$5:$C$13*'2. The tape'!$D$5:$D$13*(1-'2. The tape'!$J$5:$J$13)^($A74/4)*(1+$AN$5)^($A74/4)*((1-'3. Assumptions'!$B$13)/($AN$6)-'2. The tape'!$H$5:$H$13/12-'3. Assumptions'!$B$16)-'2. The tape'!$C$5:$C$13*'2. The tape'!$I$5:$I$13*(1+$AN$5)^($A74/4))&gt;0)*('2. The tape'!$C$5:$C$13*'2. The tape'!$D$5:$D$13*(1-'2. The tape'!$J$5:$J$13)^($A74/4)*(1+$AN$5)^($A74/4)*((1-'3. Assumptions'!$B$13)/($AN$6)-'2. The tape'!$H$5:$H$13/12-'3. Assumptions'!$B$16)-'2. The tape'!$C$5:$C$13*'2. The tape'!$I$5:$I$13*(1+$AN$5)^($A74/4)))</f>
        <v>129751341.221866</v>
      </c>
      <c r="AP74" s="33" t="n">
        <f aca="false">'2. The tape'!$C$17*(1+MIN(MAX($AP$5,'3. Assumptions'!$B$11),'3. Assumptions'!$B$10))^INT(($A74-1)/4)/4*(1-'3. Assumptions'!$B$13)</f>
        <v>4065906.50710579</v>
      </c>
      <c r="AQ74" s="33" t="n">
        <f aca="false">(1-'3. Assumptions'!$B$15)*SUMPRODUCT((('2. The tape'!$C$5:$C$13*'2. The tape'!$D$5:$D$13*(1-'2. The tape'!$J$5:$J$13)^($A74/4)*(1+$AP$5)^($A74/4)*((1-'3. Assumptions'!$B$13)/($AP$6)-'2. The tape'!$H$5:$H$13/12-'3. Assumptions'!$B$16)-'2. The tape'!$C$5:$C$13*'2. The tape'!$I$5:$I$13*(1+$AP$5)^($A74/4))&gt;0)*('2. The tape'!$C$5:$C$13*'2. The tape'!$D$5:$D$13*(1-'2. The tape'!$J$5:$J$13)^($A74/4)*(1+$AP$5)^($A74/4)*((1-'3. Assumptions'!$B$13)/($AP$6)-'2. The tape'!$H$5:$H$13/12-'3. Assumptions'!$B$16)-'2. The tape'!$C$5:$C$13*'2. The tape'!$I$5:$I$13*(1+$AP$5)^($A74/4)))</f>
        <v>129365971.348945</v>
      </c>
      <c r="AR74" s="33" t="n">
        <f aca="false">'2. The tape'!$C$17*(1+MIN(MAX($AR$5,'3. Assumptions'!$B$11),'3. Assumptions'!$B$10))^INT(($A74-1)/4)/4*(1-'3. Assumptions'!$B$13)</f>
        <v>4065906.50710579</v>
      </c>
      <c r="AS74" s="33" t="n">
        <f aca="false">(1-'3. Assumptions'!$B$15)*SUMPRODUCT((('2. The tape'!$C$5:$C$13*'2. The tape'!$D$5:$D$13*(1-'2. The tape'!$J$5:$J$13)^($A74/4)*(1+$AR$5)^($A74/4)*((1-'3. Assumptions'!$B$13)/($AR$6)-'2. The tape'!$H$5:$H$13/12-'3. Assumptions'!$B$16)-'2. The tape'!$C$5:$C$13*'2. The tape'!$I$5:$I$13*(1+$AR$5)^($A74/4))&gt;0)*('2. The tape'!$C$5:$C$13*'2. The tape'!$D$5:$D$13*(1-'2. The tape'!$J$5:$J$13)^($A74/4)*(1+$AR$5)^($A74/4)*((1-'3. Assumptions'!$B$13)/($AR$6)-'2. The tape'!$H$5:$H$13/12-'3. Assumptions'!$B$16)-'2. The tape'!$C$5:$C$13*'2. The tape'!$I$5:$I$13*(1+$AR$5)^($A74/4)))</f>
        <v>129372437.303429</v>
      </c>
      <c r="AT74" s="33" t="n">
        <f aca="false">'2. The tape'!$C$17*(1+MIN(MAX($AT$5,'3. Assumptions'!$B$11),'3. Assumptions'!$B$10))^INT(($A74-1)/4)/4*(1-'3. Assumptions'!$B$13)</f>
        <v>4065906.50710579</v>
      </c>
      <c r="AU74" s="33" t="n">
        <f aca="false">(1-'3. Assumptions'!$B$15)*SUMPRODUCT((('2. The tape'!$C$5:$C$13*'2. The tape'!$D$5:$D$13*(1-'2. The tape'!$J$5:$J$13)^($A74/4)*(1+$AT$5)^($A74/4)*((1-'3. Assumptions'!$B$13)/($AT$6)-'2. The tape'!$H$5:$H$13/12-'3. Assumptions'!$B$16)-'2. The tape'!$C$5:$C$13*'2. The tape'!$I$5:$I$13*(1+$AT$5)^($A74/4))&gt;0)*('2. The tape'!$C$5:$C$13*'2. The tape'!$D$5:$D$13*(1-'2. The tape'!$J$5:$J$13)^($A74/4)*(1+$AT$5)^($A74/4)*((1-'3. Assumptions'!$B$13)/($AT$6)-'2. The tape'!$H$5:$H$13/12-'3. Assumptions'!$B$16)-'2. The tape'!$C$5:$C$13*'2. The tape'!$I$5:$I$13*(1+$AT$5)^($A74/4)))</f>
        <v>129372452.36101</v>
      </c>
      <c r="AV74" s="33" t="n">
        <f aca="false">'2. The tape'!$C$17*(1+MIN(MAX($AV$5,'3. Assumptions'!$B$11),'3. Assumptions'!$B$10))^INT(($A74-1)/4)/4*(1-'3. Assumptions'!$B$13)</f>
        <v>4065906.50710579</v>
      </c>
      <c r="AW74" s="33" t="n">
        <f aca="false">(1-'3. Assumptions'!$B$15)*SUMPRODUCT((('2. The tape'!$C$5:$C$13*'2. The tape'!$D$5:$D$13*(1-'2. The tape'!$J$5:$J$13)^($A74/4)*(1+$AV$5)^($A74/4)*((1-'3. Assumptions'!$B$13)/($AV$6)-'2. The tape'!$H$5:$H$13/12-'3. Assumptions'!$B$16)-'2. The tape'!$C$5:$C$13*'2. The tape'!$I$5:$I$13*(1+$AV$5)^($A74/4))&gt;0)*('2. The tape'!$C$5:$C$13*'2. The tape'!$D$5:$D$13*(1-'2. The tape'!$J$5:$J$13)^($A74/4)*(1+$AV$5)^($A74/4)*((1-'3. Assumptions'!$B$13)/($AV$6)-'2. The tape'!$H$5:$H$13/12-'3. Assumptions'!$B$16)-'2. The tape'!$C$5:$C$13*'2. The tape'!$I$5:$I$13*(1+$AV$5)^($A74/4)))</f>
        <v>129372452.36041</v>
      </c>
      <c r="AX74" s="33" t="n">
        <f aca="false">'2. The tape'!$C$17*(1+MIN(MAX($AX$5,'3. Assumptions'!$B$11),'3. Assumptions'!$B$10))^INT(($A74-1)/4)/4*(1-'3. Assumptions'!$B$13)</f>
        <v>4065906.50710579</v>
      </c>
      <c r="AY74" s="33" t="n">
        <f aca="false">(1-'3. Assumptions'!$B$15)*SUMPRODUCT((('2. The tape'!$C$5:$C$13*'2. The tape'!$D$5:$D$13*(1-'2. The tape'!$J$5:$J$13)^($A74/4)*(1+$AX$5)^($A74/4)*((1-'3. Assumptions'!$B$13)/($AX$6)-'2. The tape'!$H$5:$H$13/12-'3. Assumptions'!$B$16)-'2. The tape'!$C$5:$C$13*'2. The tape'!$I$5:$I$13*(1+$AX$5)^($A74/4))&gt;0)*('2. The tape'!$C$5:$C$13*'2. The tape'!$D$5:$D$13*(1-'2. The tape'!$J$5:$J$13)^($A74/4)*(1+$AX$5)^($A74/4)*((1-'3. Assumptions'!$B$13)/($AX$6)-'2. The tape'!$H$5:$H$13/12-'3. Assumptions'!$B$16)-'2. The tape'!$C$5:$C$13*'2. The tape'!$I$5:$I$13*(1+$AX$5)^($A74/4)))</f>
        <v>129372452.36041</v>
      </c>
      <c r="AZ74" s="33" t="n">
        <f aca="false">'2. The tape'!$C$17*(1+MIN(MAX($AZ$5,'3. Assumptions'!$B$11),'3. Assumptions'!$B$10))^INT(($A74-1)/4)/4*(1-'3. Assumptions'!$B$13)</f>
        <v>4065906.50710579</v>
      </c>
      <c r="BA74" s="33" t="n">
        <f aca="false">(1-'3. Assumptions'!$B$15)*SUMPRODUCT((('2. The tape'!$C$5:$C$13*'2. The tape'!$D$5:$D$13*(1-'2. The tape'!$J$5:$J$13)^($A74/4)*(1+$AZ$5)^($A74/4)*((1-'3. Assumptions'!$B$13)/($AZ$6)-'2. The tape'!$H$5:$H$13/12-'3. Assumptions'!$B$16)-'2. The tape'!$C$5:$C$13*'2. The tape'!$I$5:$I$13*(1+$AZ$5)^($A74/4))&gt;0)*('2. The tape'!$C$5:$C$13*'2. The tape'!$D$5:$D$13*(1-'2. The tape'!$J$5:$J$13)^($A74/4)*(1+$AZ$5)^($A74/4)*((1-'3. Assumptions'!$B$13)/($AZ$6)-'2. The tape'!$H$5:$H$13/12-'3. Assumptions'!$B$16)-'2. The tape'!$C$5:$C$13*'2. The tape'!$I$5:$I$13*(1+$AZ$5)^($A74/4)))</f>
        <v>129372452.36041</v>
      </c>
    </row>
    <row r="75" customFormat="false" ht="15" hidden="false" customHeight="false" outlineLevel="0" collapsed="false">
      <c r="A75" s="20" t="n">
        <v>60</v>
      </c>
      <c r="B75" s="33" t="n">
        <f aca="false">'2. The tape'!$C$17*(1+MIN(MAX($B$5,'3. Assumptions'!$B$11),'3. Assumptions'!$B$10))^INT(($A75-1)/4)/4*(1-'3. Assumptions'!$B$13)</f>
        <v>4065906.50710579</v>
      </c>
      <c r="C75" s="33" t="n">
        <f aca="false">(1-'3. Assumptions'!$B$15)*SUMPRODUCT((('2. The tape'!$C$5:$C$13*'2. The tape'!$D$5:$D$13*(1-'2. The tape'!$J$5:$J$13)^($A75/4)*(1+$B$5)^($A75/4)*((1-'3. Assumptions'!$B$13)/($B$6)-'2. The tape'!$H$5:$H$13/12-'3. Assumptions'!$B$16)-'2. The tape'!$C$5:$C$13*'2. The tape'!$I$5:$I$13*(1+$B$5)^($A75/4))&gt;0)*('2. The tape'!$C$5:$C$13*'2. The tape'!$D$5:$D$13*(1-'2. The tape'!$J$5:$J$13)^($A75/4)*(1+$B$5)^($A75/4)*((1-'3. Assumptions'!$B$13)/($B$6)-'2. The tape'!$H$5:$H$13/12-'3. Assumptions'!$B$16)-'2. The tape'!$C$5:$C$13*'2. The tape'!$I$5:$I$13*(1+$B$5)^($A75/4)))</f>
        <v>76135098.9693043</v>
      </c>
      <c r="D75" s="33" t="n">
        <f aca="false">'2. The tape'!$C$17*(1+MIN(MAX($D$5,'3. Assumptions'!$B$11),'3. Assumptions'!$B$10))^INT(($A75-1)/4)/4*(1-'3. Assumptions'!$B$13)</f>
        <v>4534882.01892802</v>
      </c>
      <c r="E75" s="33" t="n">
        <f aca="false">(1-'3. Assumptions'!$B$15)*SUMPRODUCT((('2. The tape'!$C$5:$C$13*'2. The tape'!$D$5:$D$13*(1-'2. The tape'!$J$5:$J$13)^($A75/4)*(1+$D$5)^($A75/4)*((1-'3. Assumptions'!$B$13)/($D$6)-'2. The tape'!$H$5:$H$13/12-'3. Assumptions'!$B$16)-'2. The tape'!$C$5:$C$13*'2. The tape'!$I$5:$I$13*(1+$D$5)^($A75/4))&gt;0)*('2. The tape'!$C$5:$C$13*'2. The tape'!$D$5:$D$13*(1-'2. The tape'!$J$5:$J$13)^($A75/4)*(1+$D$5)^($A75/4)*((1-'3. Assumptions'!$B$13)/($D$6)-'2. The tape'!$H$5:$H$13/12-'3. Assumptions'!$B$16)-'2. The tape'!$C$5:$C$13*'2. The tape'!$I$5:$I$13*(1+$D$5)^($A75/4)))</f>
        <v>92029428.8080986</v>
      </c>
      <c r="F75" s="33" t="n">
        <f aca="false">'2. The tape'!$C$17*(1+MIN(MAX($F$5,'3. Assumptions'!$B$11),'3. Assumptions'!$B$10))^INT(($A75-1)/4)/4*(1-'3. Assumptions'!$B$13)</f>
        <v>3446228.58080835</v>
      </c>
      <c r="G75" s="33" t="n">
        <f aca="false">(1-'3. Assumptions'!$B$15)*SUMPRODUCT((('2. The tape'!$C$5:$C$13*'2. The tape'!$D$5:$D$13*(1-'2. The tape'!$J$5:$J$13)^($A75/4)*(1+$F$5)^($A75/4)*((1-'3. Assumptions'!$B$13)/($F$6)-'2. The tape'!$H$5:$H$13/12-'3. Assumptions'!$B$16)-'2. The tape'!$C$5:$C$13*'2. The tape'!$I$5:$I$13*(1+$F$5)^($A75/4))&gt;0)*('2. The tape'!$C$5:$C$13*'2. The tape'!$D$5:$D$13*(1-'2. The tape'!$J$5:$J$13)^($A75/4)*(1+$F$5)^($A75/4)*((1-'3. Assumptions'!$B$13)/($F$6)-'2. The tape'!$H$5:$H$13/12-'3. Assumptions'!$B$16)-'2. The tape'!$C$5:$C$13*'2. The tape'!$I$5:$I$13*(1+$F$5)^($A75/4)))</f>
        <v>63773769.2983424</v>
      </c>
      <c r="H75" s="33" t="n">
        <f aca="false">'2. The tape'!$C$17*(1+MIN(MAX($H$5,'3. Assumptions'!$B$11),'3. Assumptions'!$B$10))^INT(($A75-1)/4)/4*(1-'3. Assumptions'!$B$13)</f>
        <v>4534882.01892802</v>
      </c>
      <c r="I75" s="33" t="n">
        <f aca="false">(1-'3. Assumptions'!$B$15)*SUMPRODUCT((('2. The tape'!$C$5:$C$13*'2. The tape'!$D$5:$D$13*(1-'2. The tape'!$J$5:$J$13)^($A75/4)*(1+$H$5)^($A75/4)*((1-'3. Assumptions'!$B$13)/($H$6)-'2. The tape'!$H$5:$H$13/12-'3. Assumptions'!$B$16)-'2. The tape'!$C$5:$C$13*'2. The tape'!$I$5:$I$13*(1+$H$5)^($A75/4))&gt;0)*('2. The tape'!$C$5:$C$13*'2. The tape'!$D$5:$D$13*(1-'2. The tape'!$J$5:$J$13)^($A75/4)*(1+$H$5)^($A75/4)*((1-'3. Assumptions'!$B$13)/($H$6)-'2. The tape'!$H$5:$H$13/12-'3. Assumptions'!$B$16)-'2. The tape'!$C$5:$C$13*'2. The tape'!$I$5:$I$13*(1+$H$5)^($A75/4)))</f>
        <v>92029428.8080986</v>
      </c>
      <c r="J75" s="33" t="n">
        <f aca="false">'2. The tape'!$C$17*(1+MIN(MAX($J$5,'3. Assumptions'!$B$11),'3. Assumptions'!$B$10))^INT(($A75-1)/4)/4*(1-'3. Assumptions'!$B$13)</f>
        <v>4065906.50710579</v>
      </c>
      <c r="K75" s="33" t="n">
        <f aca="false">(1-'3. Assumptions'!$B$15)*SUMPRODUCT((('2. The tape'!$C$5:$C$13*'2. The tape'!$D$5:$D$13*(1-'2. The tape'!$J$5:$J$13)^($A75/4)*(1+$J$5)^($A75/4)*((1-'3. Assumptions'!$B$13)/($J$6)-'2. The tape'!$H$5:$H$13/12-'3. Assumptions'!$B$16)-'2. The tape'!$C$5:$C$13*'2. The tape'!$I$5:$I$13*(1+$J$5)^($A75/4))&gt;0)*('2. The tape'!$C$5:$C$13*'2. The tape'!$D$5:$D$13*(1-'2. The tape'!$J$5:$J$13)^($A75/4)*(1+$J$5)^($A75/4)*((1-'3. Assumptions'!$B$13)/($J$6)-'2. The tape'!$H$5:$H$13/12-'3. Assumptions'!$B$16)-'2. The tape'!$C$5:$C$13*'2. The tape'!$I$5:$I$13*(1+$J$5)^($A75/4)))</f>
        <v>62086459.2968891</v>
      </c>
      <c r="L75" s="33" t="n">
        <f aca="false">'2. The tape'!$C$17*(1+MIN(MAX($L$5,'3. Assumptions'!$B$11),'3. Assumptions'!$B$10))^INT(($A75-1)/4)/4*(1-'3. Assumptions'!$B$13)</f>
        <v>4534882.01892802</v>
      </c>
      <c r="M75" s="33" t="n">
        <f aca="false">(1-'3. Assumptions'!$B$15)*SUMPRODUCT((('2. The tape'!$C$5:$C$13*'2. The tape'!$D$5:$D$13*(1-'2. The tape'!$J$5:$J$13)^($A75/4)*(1+$L$5)^($A75/4)*((1-'3. Assumptions'!$B$13)/($L$6)-'2. The tape'!$H$5:$H$13/12-'3. Assumptions'!$B$16)-'2. The tape'!$C$5:$C$13*'2. The tape'!$I$5:$I$13*(1+$L$5)^($A75/4))&gt;0)*('2. The tape'!$C$5:$C$13*'2. The tape'!$D$5:$D$13*(1-'2. The tape'!$J$5:$J$13)^($A75/4)*(1+$L$5)^($A75/4)*((1-'3. Assumptions'!$B$13)/($L$6)-'2. The tape'!$H$5:$H$13/12-'3. Assumptions'!$B$16)-'2. The tape'!$C$5:$C$13*'2. The tape'!$I$5:$I$13*(1+$L$5)^($A75/4)))</f>
        <v>2811718019.94475</v>
      </c>
      <c r="N75" s="33" t="n">
        <f aca="false">'2. The tape'!$C$17*(1+MIN(MAX($N$5,'3. Assumptions'!$B$11),'3. Assumptions'!$B$10))^INT(($A75-1)/4)/4*(1-'3. Assumptions'!$B$13)</f>
        <v>2998091.25</v>
      </c>
      <c r="O75" s="33" t="n">
        <f aca="false">(1-'3. Assumptions'!$B$15)*SUMPRODUCT((('2. The tape'!$C$5:$C$13*'2. The tape'!$D$5:$D$13*(1-'2. The tape'!$J$5:$J$13)^($A75/4)*(1+$N$5)^($A75/4)*((1-'3. Assumptions'!$B$13)/($N$6)-'2. The tape'!$H$5:$H$13/12-'3. Assumptions'!$B$16)-'2. The tape'!$C$5:$C$13*'2. The tape'!$I$5:$I$13*(1+$N$5)^($A75/4))&gt;0)*('2. The tape'!$C$5:$C$13*'2. The tape'!$D$5:$D$13*(1-'2. The tape'!$J$5:$J$13)^($A75/4)*(1+$N$5)^($A75/4)*((1-'3. Assumptions'!$B$13)/($N$6)-'2. The tape'!$H$5:$H$13/12-'3. Assumptions'!$B$16)-'2. The tape'!$C$5:$C$13*'2. The tape'!$I$5:$I$13*(1+$N$5)^($A75/4)))</f>
        <v>34785439.4013835</v>
      </c>
      <c r="P75" s="33" t="n">
        <f aca="false">'2. The tape'!$C$17*(1+MIN(MAX($P$5,'3. Assumptions'!$B$11),'3. Assumptions'!$B$10))^INT(($A75-1)/4)/4*(1-'3. Assumptions'!$B$13)</f>
        <v>2998091.25</v>
      </c>
      <c r="Q75" s="33" t="n">
        <f aca="false">(1-'3. Assumptions'!$B$15)*SUMPRODUCT((('2. The tape'!$C$5:$C$13*'2. The tape'!$D$5:$D$13*(1-'2. The tape'!$J$5:$J$13)^($A75/4)*(1+$P$5)^($A75/4)*((1-'3. Assumptions'!$B$13)/($P$6)-'2. The tape'!$H$5:$H$13/12-'3. Assumptions'!$B$16)-'2. The tape'!$C$5:$C$13*'2. The tape'!$I$5:$I$13*(1+$P$5)^($A75/4))&gt;0)*('2. The tape'!$C$5:$C$13*'2. The tape'!$D$5:$D$13*(1-'2. The tape'!$J$5:$J$13)^($A75/4)*(1+$P$5)^($A75/4)*((1-'3. Assumptions'!$B$13)/($P$6)-'2. The tape'!$H$5:$H$13/12-'3. Assumptions'!$B$16)-'2. The tape'!$C$5:$C$13*'2. The tape'!$I$5:$I$13*(1+$P$5)^($A75/4)))</f>
        <v>40570710.6508982</v>
      </c>
      <c r="R75" s="33" t="n">
        <f aca="false">'2. The tape'!$C$17*(1+MIN(MAX($R$5,'3. Assumptions'!$B$11),'3. Assumptions'!$B$10))^INT(($A75-1)/4)/4*(1-'3. Assumptions'!$B$13)</f>
        <v>2998091.25</v>
      </c>
      <c r="S75" s="33" t="n">
        <f aca="false">(1-'3. Assumptions'!$B$15)*SUMPRODUCT((('2. The tape'!$C$5:$C$13*'2. The tape'!$D$5:$D$13*(1-'2. The tape'!$J$5:$J$13)^($A75/4)*(1+$R$5)^($A75/4)*((1-'3. Assumptions'!$B$13)/($R$6)-'2. The tape'!$H$5:$H$13/12-'3. Assumptions'!$B$16)-'2. The tape'!$C$5:$C$13*'2. The tape'!$I$5:$I$13*(1+$R$5)^($A75/4))&gt;0)*('2. The tape'!$C$5:$C$13*'2. The tape'!$D$5:$D$13*(1-'2. The tape'!$J$5:$J$13)^($A75/4)*(1+$R$5)^($A75/4)*((1-'3. Assumptions'!$B$13)/($R$6)-'2. The tape'!$H$5:$H$13/12-'3. Assumptions'!$B$16)-'2. The tape'!$C$5:$C$13*'2. The tape'!$I$5:$I$13*(1+$R$5)^($A75/4)))</f>
        <v>36969873.5776663</v>
      </c>
      <c r="T75" s="33" t="n">
        <f aca="false">'2. The tape'!$C$17*(1+MIN(MAX($T$5,'3. Assumptions'!$B$11),'3. Assumptions'!$B$10))^INT(($A75-1)/4)/4*(1-'3. Assumptions'!$B$13)</f>
        <v>2998091.25</v>
      </c>
      <c r="U75" s="33" t="n">
        <f aca="false">(1-'3. Assumptions'!$B$15)*SUMPRODUCT((('2. The tape'!$C$5:$C$13*'2. The tape'!$D$5:$D$13*(1-'2. The tape'!$J$5:$J$13)^($A75/4)*(1+$T$5)^($A75/4)*((1-'3. Assumptions'!$B$13)/($T$6)-'2. The tape'!$H$5:$H$13/12-'3. Assumptions'!$B$16)-'2. The tape'!$C$5:$C$13*'2. The tape'!$I$5:$I$13*(1+$T$5)^($A75/4))&gt;0)*('2. The tape'!$C$5:$C$13*'2. The tape'!$D$5:$D$13*(1-'2. The tape'!$J$5:$J$13)^($A75/4)*(1+$T$5)^($A75/4)*((1-'3. Assumptions'!$B$13)/($T$6)-'2. The tape'!$H$5:$H$13/12-'3. Assumptions'!$B$16)-'2. The tape'!$C$5:$C$13*'2. The tape'!$I$5:$I$13*(1+$T$5)^($A75/4)))</f>
        <v>36876493.9374603</v>
      </c>
      <c r="V75" s="33" t="n">
        <f aca="false">'2. The tape'!$C$17*(1+MIN(MAX($V$5,'3. Assumptions'!$B$11),'3. Assumptions'!$B$10))^INT(($A75-1)/4)/4*(1-'3. Assumptions'!$B$13)</f>
        <v>2998091.25</v>
      </c>
      <c r="W75" s="33" t="n">
        <f aca="false">(1-'3. Assumptions'!$B$15)*SUMPRODUCT((('2. The tape'!$C$5:$C$13*'2. The tape'!$D$5:$D$13*(1-'2. The tape'!$J$5:$J$13)^($A75/4)*(1+$V$5)^($A75/4)*((1-'3. Assumptions'!$B$13)/($V$6)-'2. The tape'!$H$5:$H$13/12-'3. Assumptions'!$B$16)-'2. The tape'!$C$5:$C$13*'2. The tape'!$I$5:$I$13*(1+$V$5)^($A75/4))&gt;0)*('2. The tape'!$C$5:$C$13*'2. The tape'!$D$5:$D$13*(1-'2. The tape'!$J$5:$J$13)^($A75/4)*(1+$V$5)^($A75/4)*((1-'3. Assumptions'!$B$13)/($V$6)-'2. The tape'!$H$5:$H$13/12-'3. Assumptions'!$B$16)-'2. The tape'!$C$5:$C$13*'2. The tape'!$I$5:$I$13*(1+$V$5)^($A75/4)))</f>
        <v>36880241.5929949</v>
      </c>
      <c r="X75" s="33" t="n">
        <f aca="false">'2. The tape'!$C$17*(1+MIN(MAX($X$5,'3. Assumptions'!$B$11),'3. Assumptions'!$B$10))^INT(($A75-1)/4)/4*(1-'3. Assumptions'!$B$13)</f>
        <v>2998091.25</v>
      </c>
      <c r="Y75" s="33" t="n">
        <f aca="false">(1-'3. Assumptions'!$B$15)*SUMPRODUCT((('2. The tape'!$C$5:$C$13*'2. The tape'!$D$5:$D$13*(1-'2. The tape'!$J$5:$J$13)^($A75/4)*(1+$X$5)^($A75/4)*((1-'3. Assumptions'!$B$13)/($X$6)-'2. The tape'!$H$5:$H$13/12-'3. Assumptions'!$B$16)-'2. The tape'!$C$5:$C$13*'2. The tape'!$I$5:$I$13*(1+$X$5)^($A75/4))&gt;0)*('2. The tape'!$C$5:$C$13*'2. The tape'!$D$5:$D$13*(1-'2. The tape'!$J$5:$J$13)^($A75/4)*(1+$X$5)^($A75/4)*((1-'3. Assumptions'!$B$13)/($X$6)-'2. The tape'!$H$5:$H$13/12-'3. Assumptions'!$B$16)-'2. The tape'!$C$5:$C$13*'2. The tape'!$I$5:$I$13*(1+$X$5)^($A75/4)))</f>
        <v>36880237.6519152</v>
      </c>
      <c r="Z75" s="33" t="n">
        <f aca="false">'2. The tape'!$C$17*(1+MIN(MAX($Z$5,'3. Assumptions'!$B$11),'3. Assumptions'!$B$10))^INT(($A75-1)/4)/4*(1-'3. Assumptions'!$B$13)</f>
        <v>2998091.25</v>
      </c>
      <c r="AA75" s="33" t="n">
        <f aca="false">(1-'3. Assumptions'!$B$15)*SUMPRODUCT((('2. The tape'!$C$5:$C$13*'2. The tape'!$D$5:$D$13*(1-'2. The tape'!$J$5:$J$13)^($A75/4)*(1+$Z$5)^($A75/4)*((1-'3. Assumptions'!$B$13)/($Z$6)-'2. The tape'!$H$5:$H$13/12-'3. Assumptions'!$B$16)-'2. The tape'!$C$5:$C$13*'2. The tape'!$I$5:$I$13*(1+$Z$5)^($A75/4))&gt;0)*('2. The tape'!$C$5:$C$13*'2. The tape'!$D$5:$D$13*(1-'2. The tape'!$J$5:$J$13)^($A75/4)*(1+$Z$5)^($A75/4)*((1-'3. Assumptions'!$B$13)/($Z$6)-'2. The tape'!$H$5:$H$13/12-'3. Assumptions'!$B$16)-'2. The tape'!$C$5:$C$13*'2. The tape'!$I$5:$I$13*(1+$Z$5)^($A75/4)))</f>
        <v>36880237.6517418</v>
      </c>
      <c r="AB75" s="33" t="n">
        <f aca="false">'2. The tape'!$C$17*(1+MIN(MAX($AB$5,'3. Assumptions'!$B$11),'3. Assumptions'!$B$10))^INT(($A75-1)/4)/4*(1-'3. Assumptions'!$B$13)</f>
        <v>2998091.25</v>
      </c>
      <c r="AC75" s="33" t="n">
        <f aca="false">(1-'3. Assumptions'!$B$15)*SUMPRODUCT((('2. The tape'!$C$5:$C$13*'2. The tape'!$D$5:$D$13*(1-'2. The tape'!$J$5:$J$13)^($A75/4)*(1+$AB$5)^($A75/4)*((1-'3. Assumptions'!$B$13)/($AB$6)-'2. The tape'!$H$5:$H$13/12-'3. Assumptions'!$B$16)-'2. The tape'!$C$5:$C$13*'2. The tape'!$I$5:$I$13*(1+$AB$5)^($A75/4))&gt;0)*('2. The tape'!$C$5:$C$13*'2. The tape'!$D$5:$D$13*(1-'2. The tape'!$J$5:$J$13)^($A75/4)*(1+$AB$5)^($A75/4)*((1-'3. Assumptions'!$B$13)/($AB$6)-'2. The tape'!$H$5:$H$13/12-'3. Assumptions'!$B$16)-'2. The tape'!$C$5:$C$13*'2. The tape'!$I$5:$I$13*(1+$AB$5)^($A75/4)))</f>
        <v>36880237.6517418</v>
      </c>
      <c r="AD75" s="33" t="n">
        <f aca="false">'2. The tape'!$C$17*(1+MIN(MAX($AD$5,'3. Assumptions'!$B$11),'3. Assumptions'!$B$10))^INT(($A75-1)/4)/4*(1-'3. Assumptions'!$B$13)</f>
        <v>2998091.25</v>
      </c>
      <c r="AE75" s="33" t="n">
        <f aca="false">(1-'3. Assumptions'!$B$15)*SUMPRODUCT((('2. The tape'!$C$5:$C$13*'2. The tape'!$D$5:$D$13*(1-'2. The tape'!$J$5:$J$13)^($A75/4)*(1+$AD$5)^($A75/4)*((1-'3. Assumptions'!$B$13)/($AD$6)-'2. The tape'!$H$5:$H$13/12-'3. Assumptions'!$B$16)-'2. The tape'!$C$5:$C$13*'2. The tape'!$I$5:$I$13*(1+$AD$5)^($A75/4))&gt;0)*('2. The tape'!$C$5:$C$13*'2. The tape'!$D$5:$D$13*(1-'2. The tape'!$J$5:$J$13)^($A75/4)*(1+$AD$5)^($A75/4)*((1-'3. Assumptions'!$B$13)/($AD$6)-'2. The tape'!$H$5:$H$13/12-'3. Assumptions'!$B$16)-'2. The tape'!$C$5:$C$13*'2. The tape'!$I$5:$I$13*(1+$AD$5)^($A75/4)))</f>
        <v>36880237.6517418</v>
      </c>
      <c r="AF75" s="33" t="n">
        <f aca="false">'2. The tape'!$C$17*(1+MIN(MAX($AF$5,'3. Assumptions'!$B$11),'3. Assumptions'!$B$10))^INT(($A75-1)/4)/4*(1-'3. Assumptions'!$B$13)</f>
        <v>2998091.25</v>
      </c>
      <c r="AG75" s="33" t="n">
        <f aca="false">(1-'3. Assumptions'!$B$15)*SUMPRODUCT((('2. The tape'!$C$5:$C$13*'2. The tape'!$D$5:$D$13*(1-'2. The tape'!$J$5:$J$13)^($A75/4)*(1+$AF$5)^($A75/4)*((1-'3. Assumptions'!$B$13)/($AF$6)-'2. The tape'!$H$5:$H$13/12-'3. Assumptions'!$B$16)-'2. The tape'!$C$5:$C$13*'2. The tape'!$I$5:$I$13*(1+$AF$5)^($A75/4))&gt;0)*('2. The tape'!$C$5:$C$13*'2. The tape'!$D$5:$D$13*(1-'2. The tape'!$J$5:$J$13)^($A75/4)*(1+$AF$5)^($A75/4)*((1-'3. Assumptions'!$B$13)/($AF$6)-'2. The tape'!$H$5:$H$13/12-'3. Assumptions'!$B$16)-'2. The tape'!$C$5:$C$13*'2. The tape'!$I$5:$I$13*(1+$AF$5)^($A75/4)))</f>
        <v>36880237.6517418</v>
      </c>
      <c r="AH75" s="33" t="n">
        <f aca="false">'2. The tape'!$C$17*(1+MIN(MAX($AH$5,'3. Assumptions'!$B$11),'3. Assumptions'!$B$10))^INT(($A75-1)/4)/4*(1-'3. Assumptions'!$B$13)</f>
        <v>4065906.50710579</v>
      </c>
      <c r="AI75" s="33" t="n">
        <f aca="false">(1-'3. Assumptions'!$B$15)*SUMPRODUCT((('2. The tape'!$C$5:$C$13*'2. The tape'!$D$5:$D$13*(1-'2. The tape'!$J$5:$J$13)^($A75/4)*(1+$AH$5)^($A75/4)*((1-'3. Assumptions'!$B$13)/($AH$6)-'2. The tape'!$H$5:$H$13/12-'3. Assumptions'!$B$16)-'2. The tape'!$C$5:$C$13*'2. The tape'!$I$5:$I$13*(1+$AH$5)^($A75/4))&gt;0)*('2. The tape'!$C$5:$C$13*'2. The tape'!$D$5:$D$13*(1-'2. The tape'!$J$5:$J$13)^($A75/4)*(1+$AH$5)^($A75/4)*((1-'3. Assumptions'!$B$13)/($AH$6)-'2. The tape'!$H$5:$H$13/12-'3. Assumptions'!$B$16)-'2. The tape'!$C$5:$C$13*'2. The tape'!$I$5:$I$13*(1+$AH$5)^($A75/4)))</f>
        <v>152840671.580691</v>
      </c>
      <c r="AJ75" s="33" t="n">
        <f aca="false">'2. The tape'!$C$17*(1+MIN(MAX($AJ$5,'3. Assumptions'!$B$11),'3. Assumptions'!$B$10))^INT(($A75-1)/4)/4*(1-'3. Assumptions'!$B$13)</f>
        <v>4065906.50710579</v>
      </c>
      <c r="AK75" s="33" t="n">
        <f aca="false">(1-'3. Assumptions'!$B$15)*SUMPRODUCT((('2. The tape'!$C$5:$C$13*'2. The tape'!$D$5:$D$13*(1-'2. The tape'!$J$5:$J$13)^($A75/4)*(1+$AJ$5)^($A75/4)*((1-'3. Assumptions'!$B$13)/($AJ$6)-'2. The tape'!$H$5:$H$13/12-'3. Assumptions'!$B$16)-'2. The tape'!$C$5:$C$13*'2. The tape'!$I$5:$I$13*(1+$AJ$5)^($A75/4))&gt;0)*('2. The tape'!$C$5:$C$13*'2. The tape'!$D$5:$D$13*(1-'2. The tape'!$J$5:$J$13)^($A75/4)*(1+$AJ$5)^($A75/4)*((1-'3. Assumptions'!$B$13)/($AJ$6)-'2. The tape'!$H$5:$H$13/12-'3. Assumptions'!$B$16)-'2. The tape'!$C$5:$C$13*'2. The tape'!$I$5:$I$13*(1+$AJ$5)^($A75/4)))</f>
        <v>109851834.183101</v>
      </c>
      <c r="AL75" s="33" t="n">
        <f aca="false">'2. The tape'!$C$17*(1+MIN(MAX($AL$5,'3. Assumptions'!$B$11),'3. Assumptions'!$B$10))^INT(($A75-1)/4)/4*(1-'3. Assumptions'!$B$13)</f>
        <v>4065906.50710579</v>
      </c>
      <c r="AM75" s="33" t="n">
        <f aca="false">(1-'3. Assumptions'!$B$15)*SUMPRODUCT((('2. The tape'!$C$5:$C$13*'2. The tape'!$D$5:$D$13*(1-'2. The tape'!$J$5:$J$13)^($A75/4)*(1+$AL$5)^($A75/4)*((1-'3. Assumptions'!$B$13)/($AL$6)-'2. The tape'!$H$5:$H$13/12-'3. Assumptions'!$B$16)-'2. The tape'!$C$5:$C$13*'2. The tape'!$I$5:$I$13*(1+$AL$5)^($A75/4))&gt;0)*('2. The tape'!$C$5:$C$13*'2. The tape'!$D$5:$D$13*(1-'2. The tape'!$J$5:$J$13)^($A75/4)*(1+$AL$5)^($A75/4)*((1-'3. Assumptions'!$B$13)/($AL$6)-'2. The tape'!$H$5:$H$13/12-'3. Assumptions'!$B$16)-'2. The tape'!$C$5:$C$13*'2. The tape'!$I$5:$I$13*(1+$AL$5)^($A75/4)))</f>
        <v>126524773.188754</v>
      </c>
      <c r="AN75" s="33" t="n">
        <f aca="false">'2. The tape'!$C$17*(1+MIN(MAX($AN$5,'3. Assumptions'!$B$11),'3. Assumptions'!$B$10))^INT(($A75-1)/4)/4*(1-'3. Assumptions'!$B$13)</f>
        <v>4065906.50710579</v>
      </c>
      <c r="AO75" s="33" t="n">
        <f aca="false">(1-'3. Assumptions'!$B$15)*SUMPRODUCT((('2. The tape'!$C$5:$C$13*'2. The tape'!$D$5:$D$13*(1-'2. The tape'!$J$5:$J$13)^($A75/4)*(1+$AN$5)^($A75/4)*((1-'3. Assumptions'!$B$13)/($AN$6)-'2. The tape'!$H$5:$H$13/12-'3. Assumptions'!$B$16)-'2. The tape'!$C$5:$C$13*'2. The tape'!$I$5:$I$13*(1+$AN$5)^($A75/4))&gt;0)*('2. The tape'!$C$5:$C$13*'2. The tape'!$D$5:$D$13*(1-'2. The tape'!$J$5:$J$13)^($A75/4)*(1+$AN$5)^($A75/4)*((1-'3. Assumptions'!$B$13)/($AN$6)-'2. The tape'!$H$5:$H$13/12-'3. Assumptions'!$B$16)-'2. The tape'!$C$5:$C$13*'2. The tape'!$I$5:$I$13*(1+$AN$5)^($A75/4)))</f>
        <v>129646459.382553</v>
      </c>
      <c r="AP75" s="33" t="n">
        <f aca="false">'2. The tape'!$C$17*(1+MIN(MAX($AP$5,'3. Assumptions'!$B$11),'3. Assumptions'!$B$10))^INT(($A75-1)/4)/4*(1-'3. Assumptions'!$B$13)</f>
        <v>4065906.50710579</v>
      </c>
      <c r="AQ75" s="33" t="n">
        <f aca="false">(1-'3. Assumptions'!$B$15)*SUMPRODUCT((('2. The tape'!$C$5:$C$13*'2. The tape'!$D$5:$D$13*(1-'2. The tape'!$J$5:$J$13)^($A75/4)*(1+$AP$5)^($A75/4)*((1-'3. Assumptions'!$B$13)/($AP$6)-'2. The tape'!$H$5:$H$13/12-'3. Assumptions'!$B$16)-'2. The tape'!$C$5:$C$13*'2. The tape'!$I$5:$I$13*(1+$AP$5)^($A75/4))&gt;0)*('2. The tape'!$C$5:$C$13*'2. The tape'!$D$5:$D$13*(1-'2. The tape'!$J$5:$J$13)^($A75/4)*(1+$AP$5)^($A75/4)*((1-'3. Assumptions'!$B$13)/($AP$6)-'2. The tape'!$H$5:$H$13/12-'3. Assumptions'!$B$16)-'2. The tape'!$C$5:$C$13*'2. The tape'!$I$5:$I$13*(1+$AP$5)^($A75/4)))</f>
        <v>129261093.627746</v>
      </c>
      <c r="AR75" s="33" t="n">
        <f aca="false">'2. The tape'!$C$17*(1+MIN(MAX($AR$5,'3. Assumptions'!$B$11),'3. Assumptions'!$B$10))^INT(($A75-1)/4)/4*(1-'3. Assumptions'!$B$13)</f>
        <v>4065906.50710579</v>
      </c>
      <c r="AS75" s="33" t="n">
        <f aca="false">(1-'3. Assumptions'!$B$15)*SUMPRODUCT((('2. The tape'!$C$5:$C$13*'2. The tape'!$D$5:$D$13*(1-'2. The tape'!$J$5:$J$13)^($A75/4)*(1+$AR$5)^($A75/4)*((1-'3. Assumptions'!$B$13)/($AR$6)-'2. The tape'!$H$5:$H$13/12-'3. Assumptions'!$B$16)-'2. The tape'!$C$5:$C$13*'2. The tape'!$I$5:$I$13*(1+$AR$5)^($A75/4))&gt;0)*('2. The tape'!$C$5:$C$13*'2. The tape'!$D$5:$D$13*(1-'2. The tape'!$J$5:$J$13)^($A75/4)*(1+$AR$5)^($A75/4)*((1-'3. Assumptions'!$B$13)/($AR$6)-'2. The tape'!$H$5:$H$13/12-'3. Assumptions'!$B$16)-'2. The tape'!$C$5:$C$13*'2. The tape'!$I$5:$I$13*(1+$AR$5)^($A75/4)))</f>
        <v>129267559.513134</v>
      </c>
      <c r="AT75" s="33" t="n">
        <f aca="false">'2. The tape'!$C$17*(1+MIN(MAX($AT$5,'3. Assumptions'!$B$11),'3. Assumptions'!$B$10))^INT(($A75-1)/4)/4*(1-'3. Assumptions'!$B$13)</f>
        <v>4065906.50710579</v>
      </c>
      <c r="AU75" s="33" t="n">
        <f aca="false">(1-'3. Assumptions'!$B$15)*SUMPRODUCT((('2. The tape'!$C$5:$C$13*'2. The tape'!$D$5:$D$13*(1-'2. The tape'!$J$5:$J$13)^($A75/4)*(1+$AT$5)^($A75/4)*((1-'3. Assumptions'!$B$13)/($AT$6)-'2. The tape'!$H$5:$H$13/12-'3. Assumptions'!$B$16)-'2. The tape'!$C$5:$C$13*'2. The tape'!$I$5:$I$13*(1+$AT$5)^($A75/4))&gt;0)*('2. The tape'!$C$5:$C$13*'2. The tape'!$D$5:$D$13*(1-'2. The tape'!$J$5:$J$13)^($A75/4)*(1+$AT$5)^($A75/4)*((1-'3. Assumptions'!$B$13)/($AT$6)-'2. The tape'!$H$5:$H$13/12-'3. Assumptions'!$B$16)-'2. The tape'!$C$5:$C$13*'2. The tape'!$I$5:$I$13*(1+$AT$5)^($A75/4)))</f>
        <v>129267574.570554</v>
      </c>
      <c r="AV75" s="33" t="n">
        <f aca="false">'2. The tape'!$C$17*(1+MIN(MAX($AV$5,'3. Assumptions'!$B$11),'3. Assumptions'!$B$10))^INT(($A75-1)/4)/4*(1-'3. Assumptions'!$B$13)</f>
        <v>4065906.50710579</v>
      </c>
      <c r="AW75" s="33" t="n">
        <f aca="false">(1-'3. Assumptions'!$B$15)*SUMPRODUCT((('2. The tape'!$C$5:$C$13*'2. The tape'!$D$5:$D$13*(1-'2. The tape'!$J$5:$J$13)^($A75/4)*(1+$AV$5)^($A75/4)*((1-'3. Assumptions'!$B$13)/($AV$6)-'2. The tape'!$H$5:$H$13/12-'3. Assumptions'!$B$16)-'2. The tape'!$C$5:$C$13*'2. The tape'!$I$5:$I$13*(1+$AV$5)^($A75/4))&gt;0)*('2. The tape'!$C$5:$C$13*'2. The tape'!$D$5:$D$13*(1-'2. The tape'!$J$5:$J$13)^($A75/4)*(1+$AV$5)^($A75/4)*((1-'3. Assumptions'!$B$13)/($AV$6)-'2. The tape'!$H$5:$H$13/12-'3. Assumptions'!$B$16)-'2. The tape'!$C$5:$C$13*'2. The tape'!$I$5:$I$13*(1+$AV$5)^($A75/4)))</f>
        <v>129267574.569955</v>
      </c>
      <c r="AX75" s="33" t="n">
        <f aca="false">'2. The tape'!$C$17*(1+MIN(MAX($AX$5,'3. Assumptions'!$B$11),'3. Assumptions'!$B$10))^INT(($A75-1)/4)/4*(1-'3. Assumptions'!$B$13)</f>
        <v>4065906.50710579</v>
      </c>
      <c r="AY75" s="33" t="n">
        <f aca="false">(1-'3. Assumptions'!$B$15)*SUMPRODUCT((('2. The tape'!$C$5:$C$13*'2. The tape'!$D$5:$D$13*(1-'2. The tape'!$J$5:$J$13)^($A75/4)*(1+$AX$5)^($A75/4)*((1-'3. Assumptions'!$B$13)/($AX$6)-'2. The tape'!$H$5:$H$13/12-'3. Assumptions'!$B$16)-'2. The tape'!$C$5:$C$13*'2. The tape'!$I$5:$I$13*(1+$AX$5)^($A75/4))&gt;0)*('2. The tape'!$C$5:$C$13*'2. The tape'!$D$5:$D$13*(1-'2. The tape'!$J$5:$J$13)^($A75/4)*(1+$AX$5)^($A75/4)*((1-'3. Assumptions'!$B$13)/($AX$6)-'2. The tape'!$H$5:$H$13/12-'3. Assumptions'!$B$16)-'2. The tape'!$C$5:$C$13*'2. The tape'!$I$5:$I$13*(1+$AX$5)^($A75/4)))</f>
        <v>129267574.569955</v>
      </c>
      <c r="AZ75" s="33" t="n">
        <f aca="false">'2. The tape'!$C$17*(1+MIN(MAX($AZ$5,'3. Assumptions'!$B$11),'3. Assumptions'!$B$10))^INT(($A75-1)/4)/4*(1-'3. Assumptions'!$B$13)</f>
        <v>4065906.50710579</v>
      </c>
      <c r="BA75" s="33" t="n">
        <f aca="false">(1-'3. Assumptions'!$B$15)*SUMPRODUCT((('2. The tape'!$C$5:$C$13*'2. The tape'!$D$5:$D$13*(1-'2. The tape'!$J$5:$J$13)^($A75/4)*(1+$AZ$5)^($A75/4)*((1-'3. Assumptions'!$B$13)/($AZ$6)-'2. The tape'!$H$5:$H$13/12-'3. Assumptions'!$B$16)-'2. The tape'!$C$5:$C$13*'2. The tape'!$I$5:$I$13*(1+$AZ$5)^($A75/4))&gt;0)*('2. The tape'!$C$5:$C$13*'2. The tape'!$D$5:$D$13*(1-'2. The tape'!$J$5:$J$13)^($A75/4)*(1+$AZ$5)^($A75/4)*((1-'3. Assumptions'!$B$13)/($AZ$6)-'2. The tape'!$H$5:$H$13/12-'3. Assumptions'!$B$16)-'2. The tape'!$C$5:$C$13*'2. The tape'!$I$5:$I$13*(1+$AZ$5)^($A75/4)))</f>
        <v>129267574.569955</v>
      </c>
    </row>
    <row r="76" customFormat="false" ht="15" hidden="false" customHeight="false" outlineLevel="0" collapsed="false">
      <c r="A76" s="20" t="n">
        <v>61</v>
      </c>
      <c r="B76" s="33" t="n">
        <f aca="false">'2. The tape'!$C$17*(1+MIN(MAX($B$5,'3. Assumptions'!$B$11),'3. Assumptions'!$B$10))^INT(($A76-1)/4)/4*(1-'3. Assumptions'!$B$13)</f>
        <v>4155356.45026212</v>
      </c>
      <c r="C76" s="33" t="n">
        <f aca="false">(1-'3. Assumptions'!$B$15)*SUMPRODUCT((('2. The tape'!$C$5:$C$13*'2. The tape'!$D$5:$D$13*(1-'2. The tape'!$J$5:$J$13)^($A76/4)*(1+$B$5)^($A76/4)*((1-'3. Assumptions'!$B$13)/($B$6)-'2. The tape'!$H$5:$H$13/12-'3. Assumptions'!$B$16)-'2. The tape'!$C$5:$C$13*'2. The tape'!$I$5:$I$13*(1+$B$5)^($A76/4))&gt;0)*('2. The tape'!$C$5:$C$13*'2. The tape'!$D$5:$D$13*(1-'2. The tape'!$J$5:$J$13)^($A76/4)*(1+$B$5)^($A76/4)*((1-'3. Assumptions'!$B$13)/($B$6)-'2. The tape'!$H$5:$H$13/12-'3. Assumptions'!$B$16)-'2. The tape'!$C$5:$C$13*'2. The tape'!$I$5:$I$13*(1+$B$5)^($A76/4)))</f>
        <v>76030448.2842315</v>
      </c>
      <c r="D76" s="33" t="n">
        <f aca="false">'2. The tape'!$C$17*(1+MIN(MAX($D$5,'3. Assumptions'!$B$11),'3. Assumptions'!$B$10))^INT(($A76-1)/4)/4*(1-'3. Assumptions'!$B$13)</f>
        <v>4670928.47949586</v>
      </c>
      <c r="E76" s="33" t="n">
        <f aca="false">(1-'3. Assumptions'!$B$15)*SUMPRODUCT((('2. The tape'!$C$5:$C$13*'2. The tape'!$D$5:$D$13*(1-'2. The tape'!$J$5:$J$13)^($A76/4)*(1+$D$5)^($A76/4)*((1-'3. Assumptions'!$B$13)/($D$6)-'2. The tape'!$H$5:$H$13/12-'3. Assumptions'!$B$16)-'2. The tape'!$C$5:$C$13*'2. The tape'!$I$5:$I$13*(1+$D$5)^($A76/4))&gt;0)*('2. The tape'!$C$5:$C$13*'2. The tape'!$D$5:$D$13*(1-'2. The tape'!$J$5:$J$13)^($A76/4)*(1+$D$5)^($A76/4)*((1-'3. Assumptions'!$B$13)/($D$6)-'2. The tape'!$H$5:$H$13/12-'3. Assumptions'!$B$16)-'2. The tape'!$C$5:$C$13*'2. The tape'!$I$5:$I$13*(1+$D$5)^($A76/4)))</f>
        <v>92193801.8403106</v>
      </c>
      <c r="F76" s="33" t="n">
        <f aca="false">'2. The tape'!$C$17*(1+MIN(MAX($F$5,'3. Assumptions'!$B$11),'3. Assumptions'!$B$10))^INT(($A76-1)/4)/4*(1-'3. Assumptions'!$B$13)</f>
        <v>3480690.86661643</v>
      </c>
      <c r="G76" s="33" t="n">
        <f aca="false">(1-'3. Assumptions'!$B$15)*SUMPRODUCT((('2. The tape'!$C$5:$C$13*'2. The tape'!$D$5:$D$13*(1-'2. The tape'!$J$5:$J$13)^($A76/4)*(1+$F$5)^($A76/4)*((1-'3. Assumptions'!$B$13)/($F$6)-'2. The tape'!$H$5:$H$13/12-'3. Assumptions'!$B$16)-'2. The tape'!$C$5:$C$13*'2. The tape'!$I$5:$I$13*(1+$F$5)^($A76/4))&gt;0)*('2. The tape'!$C$5:$C$13*'2. The tape'!$D$5:$D$13*(1-'2. The tape'!$J$5:$J$13)^($A76/4)*(1+$F$5)^($A76/4)*((1-'3. Assumptions'!$B$13)/($F$6)-'2. The tape'!$H$5:$H$13/12-'3. Assumptions'!$B$16)-'2. The tape'!$C$5:$C$13*'2. The tape'!$I$5:$I$13*(1+$F$5)^($A76/4)))</f>
        <v>63498335.3894078</v>
      </c>
      <c r="H76" s="33" t="n">
        <f aca="false">'2. The tape'!$C$17*(1+MIN(MAX($H$5,'3. Assumptions'!$B$11),'3. Assumptions'!$B$10))^INT(($A76-1)/4)/4*(1-'3. Assumptions'!$B$13)</f>
        <v>4670928.47949586</v>
      </c>
      <c r="I76" s="33" t="n">
        <f aca="false">(1-'3. Assumptions'!$B$15)*SUMPRODUCT((('2. The tape'!$C$5:$C$13*'2. The tape'!$D$5:$D$13*(1-'2. The tape'!$J$5:$J$13)^($A76/4)*(1+$H$5)^($A76/4)*((1-'3. Assumptions'!$B$13)/($H$6)-'2. The tape'!$H$5:$H$13/12-'3. Assumptions'!$B$16)-'2. The tape'!$C$5:$C$13*'2. The tape'!$I$5:$I$13*(1+$H$5)^($A76/4))&gt;0)*('2. The tape'!$C$5:$C$13*'2. The tape'!$D$5:$D$13*(1-'2. The tape'!$J$5:$J$13)^($A76/4)*(1+$H$5)^($A76/4)*((1-'3. Assumptions'!$B$13)/($H$6)-'2. The tape'!$H$5:$H$13/12-'3. Assumptions'!$B$16)-'2. The tape'!$C$5:$C$13*'2. The tape'!$I$5:$I$13*(1+$H$5)^($A76/4)))</f>
        <v>92193801.8403106</v>
      </c>
      <c r="J76" s="33" t="n">
        <f aca="false">'2. The tape'!$C$17*(1+MIN(MAX($J$5,'3. Assumptions'!$B$11),'3. Assumptions'!$B$10))^INT(($A76-1)/4)/4*(1-'3. Assumptions'!$B$13)</f>
        <v>4155356.45026212</v>
      </c>
      <c r="K76" s="33" t="n">
        <f aca="false">(1-'3. Assumptions'!$B$15)*SUMPRODUCT((('2. The tape'!$C$5:$C$13*'2. The tape'!$D$5:$D$13*(1-'2. The tape'!$J$5:$J$13)^($A76/4)*(1+$J$5)^($A76/4)*((1-'3. Assumptions'!$B$13)/($J$6)-'2. The tape'!$H$5:$H$13/12-'3. Assumptions'!$B$16)-'2. The tape'!$C$5:$C$13*'2. The tape'!$I$5:$I$13*(1+$J$5)^($A76/4))&gt;0)*('2. The tape'!$C$5:$C$13*'2. The tape'!$D$5:$D$13*(1-'2. The tape'!$J$5:$J$13)^($A76/4)*(1+$J$5)^($A76/4)*((1-'3. Assumptions'!$B$13)/($J$6)-'2. The tape'!$H$5:$H$13/12-'3. Assumptions'!$B$16)-'2. The tape'!$C$5:$C$13*'2. The tape'!$I$5:$I$13*(1+$J$5)^($A76/4)))</f>
        <v>61981919.0145433</v>
      </c>
      <c r="L76" s="33" t="n">
        <f aca="false">'2. The tape'!$C$17*(1+MIN(MAX($L$5,'3. Assumptions'!$B$11),'3. Assumptions'!$B$10))^INT(($A76-1)/4)/4*(1-'3. Assumptions'!$B$13)</f>
        <v>4670928.47949586</v>
      </c>
      <c r="M76" s="33" t="n">
        <f aca="false">(1-'3. Assumptions'!$B$15)*SUMPRODUCT((('2. The tape'!$C$5:$C$13*'2. The tape'!$D$5:$D$13*(1-'2. The tape'!$J$5:$J$13)^($A76/4)*(1+$L$5)^($A76/4)*((1-'3. Assumptions'!$B$13)/($L$6)-'2. The tape'!$H$5:$H$13/12-'3. Assumptions'!$B$16)-'2. The tape'!$C$5:$C$13*'2. The tape'!$I$5:$I$13*(1+$L$5)^($A76/4))&gt;0)*('2. The tape'!$C$5:$C$13*'2. The tape'!$D$5:$D$13*(1-'2. The tape'!$J$5:$J$13)^($A76/4)*(1+$L$5)^($A76/4)*((1-'3. Assumptions'!$B$13)/($L$6)-'2. The tape'!$H$5:$H$13/12-'3. Assumptions'!$B$16)-'2. The tape'!$C$5:$C$13*'2. The tape'!$I$5:$I$13*(1+$L$5)^($A76/4)))</f>
        <v>2981930471.03369</v>
      </c>
      <c r="N76" s="33" t="n">
        <f aca="false">'2. The tape'!$C$17*(1+MIN(MAX($N$5,'3. Assumptions'!$B$11),'3. Assumptions'!$B$10))^INT(($A76-1)/4)/4*(1-'3. Assumptions'!$B$13)</f>
        <v>2998091.25</v>
      </c>
      <c r="O76" s="33" t="n">
        <f aca="false">(1-'3. Assumptions'!$B$15)*SUMPRODUCT((('2. The tape'!$C$5:$C$13*'2. The tape'!$D$5:$D$13*(1-'2. The tape'!$J$5:$J$13)^($A76/4)*(1+$N$5)^($A76/4)*((1-'3. Assumptions'!$B$13)/($N$6)-'2. The tape'!$H$5:$H$13/12-'3. Assumptions'!$B$16)-'2. The tape'!$C$5:$C$13*'2. The tape'!$I$5:$I$13*(1+$N$5)^($A76/4))&gt;0)*('2. The tape'!$C$5:$C$13*'2. The tape'!$D$5:$D$13*(1-'2. The tape'!$J$5:$J$13)^($A76/4)*(1+$N$5)^($A76/4)*((1-'3. Assumptions'!$B$13)/($N$6)-'2. The tape'!$H$5:$H$13/12-'3. Assumptions'!$B$16)-'2. The tape'!$C$5:$C$13*'2. The tape'!$I$5:$I$13*(1+$N$5)^($A76/4)))</f>
        <v>34287067.1332855</v>
      </c>
      <c r="P76" s="33" t="n">
        <f aca="false">'2. The tape'!$C$17*(1+MIN(MAX($P$5,'3. Assumptions'!$B$11),'3. Assumptions'!$B$10))^INT(($A76-1)/4)/4*(1-'3. Assumptions'!$B$13)</f>
        <v>2998091.25</v>
      </c>
      <c r="Q76" s="33" t="n">
        <f aca="false">(1-'3. Assumptions'!$B$15)*SUMPRODUCT((('2. The tape'!$C$5:$C$13*'2. The tape'!$D$5:$D$13*(1-'2. The tape'!$J$5:$J$13)^($A76/4)*(1+$P$5)^($A76/4)*((1-'3. Assumptions'!$B$13)/($P$6)-'2. The tape'!$H$5:$H$13/12-'3. Assumptions'!$B$16)-'2. The tape'!$C$5:$C$13*'2. The tape'!$I$5:$I$13*(1+$P$5)^($A76/4))&gt;0)*('2. The tape'!$C$5:$C$13*'2. The tape'!$D$5:$D$13*(1-'2. The tape'!$J$5:$J$13)^($A76/4)*(1+$P$5)^($A76/4)*((1-'3. Assumptions'!$B$13)/($P$6)-'2. The tape'!$H$5:$H$13/12-'3. Assumptions'!$B$16)-'2. The tape'!$C$5:$C$13*'2. The tape'!$I$5:$I$13*(1+$P$5)^($A76/4)))</f>
        <v>40092122.1183895</v>
      </c>
      <c r="R76" s="33" t="n">
        <f aca="false">'2. The tape'!$C$17*(1+MIN(MAX($R$5,'3. Assumptions'!$B$11),'3. Assumptions'!$B$10))^INT(($A76-1)/4)/4*(1-'3. Assumptions'!$B$13)</f>
        <v>2998091.25</v>
      </c>
      <c r="S76" s="33" t="n">
        <f aca="false">(1-'3. Assumptions'!$B$15)*SUMPRODUCT((('2. The tape'!$C$5:$C$13*'2. The tape'!$D$5:$D$13*(1-'2. The tape'!$J$5:$J$13)^($A76/4)*(1+$R$5)^($A76/4)*((1-'3. Assumptions'!$B$13)/($R$6)-'2. The tape'!$H$5:$H$13/12-'3. Assumptions'!$B$16)-'2. The tape'!$C$5:$C$13*'2. The tape'!$I$5:$I$13*(1+$R$5)^($A76/4))&gt;0)*('2. The tape'!$C$5:$C$13*'2. The tape'!$D$5:$D$13*(1-'2. The tape'!$J$5:$J$13)^($A76/4)*(1+$R$5)^($A76/4)*((1-'3. Assumptions'!$B$13)/($R$6)-'2. The tape'!$H$5:$H$13/12-'3. Assumptions'!$B$16)-'2. The tape'!$C$5:$C$13*'2. The tape'!$I$5:$I$13*(1+$R$5)^($A76/4)))</f>
        <v>36477213.1387231</v>
      </c>
      <c r="T76" s="33" t="n">
        <f aca="false">'2. The tape'!$C$17*(1+MIN(MAX($T$5,'3. Assumptions'!$B$11),'3. Assumptions'!$B$10))^INT(($A76-1)/4)/4*(1-'3. Assumptions'!$B$13)</f>
        <v>2998091.25</v>
      </c>
      <c r="U76" s="33" t="n">
        <f aca="false">(1-'3. Assumptions'!$B$15)*SUMPRODUCT((('2. The tape'!$C$5:$C$13*'2. The tape'!$D$5:$D$13*(1-'2. The tape'!$J$5:$J$13)^($A76/4)*(1+$T$5)^($A76/4)*((1-'3. Assumptions'!$B$13)/($T$6)-'2. The tape'!$H$5:$H$13/12-'3. Assumptions'!$B$16)-'2. The tape'!$C$5:$C$13*'2. The tape'!$I$5:$I$13*(1+$T$5)^($A76/4))&gt;0)*('2. The tape'!$C$5:$C$13*'2. The tape'!$D$5:$D$13*(1-'2. The tape'!$J$5:$J$13)^($A76/4)*(1+$T$5)^($A76/4)*((1-'3. Assumptions'!$B$13)/($T$6)-'2. The tape'!$H$5:$H$13/12-'3. Assumptions'!$B$16)-'2. The tape'!$C$5:$C$13*'2. The tape'!$I$5:$I$13*(1+$T$5)^($A76/4)))</f>
        <v>36383544.26091</v>
      </c>
      <c r="V76" s="33" t="n">
        <f aca="false">'2. The tape'!$C$17*(1+MIN(MAX($V$5,'3. Assumptions'!$B$11),'3. Assumptions'!$B$10))^INT(($A76-1)/4)/4*(1-'3. Assumptions'!$B$13)</f>
        <v>2998091.25</v>
      </c>
      <c r="W76" s="33" t="n">
        <f aca="false">(1-'3. Assumptions'!$B$15)*SUMPRODUCT((('2. The tape'!$C$5:$C$13*'2. The tape'!$D$5:$D$13*(1-'2. The tape'!$J$5:$J$13)^($A76/4)*(1+$V$5)^($A76/4)*((1-'3. Assumptions'!$B$13)/($V$6)-'2. The tape'!$H$5:$H$13/12-'3. Assumptions'!$B$16)-'2. The tape'!$C$5:$C$13*'2. The tape'!$I$5:$I$13*(1+$V$5)^($A76/4))&gt;0)*('2. The tape'!$C$5:$C$13*'2. The tape'!$D$5:$D$13*(1-'2. The tape'!$J$5:$J$13)^($A76/4)*(1+$V$5)^($A76/4)*((1-'3. Assumptions'!$B$13)/($V$6)-'2. The tape'!$H$5:$H$13/12-'3. Assumptions'!$B$16)-'2. The tape'!$C$5:$C$13*'2. The tape'!$I$5:$I$13*(1+$V$5)^($A76/4)))</f>
        <v>36387303.448497</v>
      </c>
      <c r="X76" s="33" t="n">
        <f aca="false">'2. The tape'!$C$17*(1+MIN(MAX($X$5,'3. Assumptions'!$B$11),'3. Assumptions'!$B$10))^INT(($A76-1)/4)/4*(1-'3. Assumptions'!$B$13)</f>
        <v>2998091.25</v>
      </c>
      <c r="Y76" s="33" t="n">
        <f aca="false">(1-'3. Assumptions'!$B$15)*SUMPRODUCT((('2. The tape'!$C$5:$C$13*'2. The tape'!$D$5:$D$13*(1-'2. The tape'!$J$5:$J$13)^($A76/4)*(1+$X$5)^($A76/4)*((1-'3. Assumptions'!$B$13)/($X$6)-'2. The tape'!$H$5:$H$13/12-'3. Assumptions'!$B$16)-'2. The tape'!$C$5:$C$13*'2. The tape'!$I$5:$I$13*(1+$X$5)^($A76/4))&gt;0)*('2. The tape'!$C$5:$C$13*'2. The tape'!$D$5:$D$13*(1-'2. The tape'!$J$5:$J$13)^($A76/4)*(1+$X$5)^($A76/4)*((1-'3. Assumptions'!$B$13)/($X$6)-'2. The tape'!$H$5:$H$13/12-'3. Assumptions'!$B$16)-'2. The tape'!$C$5:$C$13*'2. The tape'!$I$5:$I$13*(1+$X$5)^($A76/4)))</f>
        <v>36387299.4952868</v>
      </c>
      <c r="Z76" s="33" t="n">
        <f aca="false">'2. The tape'!$C$17*(1+MIN(MAX($Z$5,'3. Assumptions'!$B$11),'3. Assumptions'!$B$10))^INT(($A76-1)/4)/4*(1-'3. Assumptions'!$B$13)</f>
        <v>2998091.25</v>
      </c>
      <c r="AA76" s="33" t="n">
        <f aca="false">(1-'3. Assumptions'!$B$15)*SUMPRODUCT((('2. The tape'!$C$5:$C$13*'2. The tape'!$D$5:$D$13*(1-'2. The tape'!$J$5:$J$13)^($A76/4)*(1+$Z$5)^($A76/4)*((1-'3. Assumptions'!$B$13)/($Z$6)-'2. The tape'!$H$5:$H$13/12-'3. Assumptions'!$B$16)-'2. The tape'!$C$5:$C$13*'2. The tape'!$I$5:$I$13*(1+$Z$5)^($A76/4))&gt;0)*('2. The tape'!$C$5:$C$13*'2. The tape'!$D$5:$D$13*(1-'2. The tape'!$J$5:$J$13)^($A76/4)*(1+$Z$5)^($A76/4)*((1-'3. Assumptions'!$B$13)/($Z$6)-'2. The tape'!$H$5:$H$13/12-'3. Assumptions'!$B$16)-'2. The tape'!$C$5:$C$13*'2. The tape'!$I$5:$I$13*(1+$Z$5)^($A76/4)))</f>
        <v>36387299.4951129</v>
      </c>
      <c r="AB76" s="33" t="n">
        <f aca="false">'2. The tape'!$C$17*(1+MIN(MAX($AB$5,'3. Assumptions'!$B$11),'3. Assumptions'!$B$10))^INT(($A76-1)/4)/4*(1-'3. Assumptions'!$B$13)</f>
        <v>2998091.25</v>
      </c>
      <c r="AC76" s="33" t="n">
        <f aca="false">(1-'3. Assumptions'!$B$15)*SUMPRODUCT((('2. The tape'!$C$5:$C$13*'2. The tape'!$D$5:$D$13*(1-'2. The tape'!$J$5:$J$13)^($A76/4)*(1+$AB$5)^($A76/4)*((1-'3. Assumptions'!$B$13)/($AB$6)-'2. The tape'!$H$5:$H$13/12-'3. Assumptions'!$B$16)-'2. The tape'!$C$5:$C$13*'2. The tape'!$I$5:$I$13*(1+$AB$5)^($A76/4))&gt;0)*('2. The tape'!$C$5:$C$13*'2. The tape'!$D$5:$D$13*(1-'2. The tape'!$J$5:$J$13)^($A76/4)*(1+$AB$5)^($A76/4)*((1-'3. Assumptions'!$B$13)/($AB$6)-'2. The tape'!$H$5:$H$13/12-'3. Assumptions'!$B$16)-'2. The tape'!$C$5:$C$13*'2. The tape'!$I$5:$I$13*(1+$AB$5)^($A76/4)))</f>
        <v>36387299.4951129</v>
      </c>
      <c r="AD76" s="33" t="n">
        <f aca="false">'2. The tape'!$C$17*(1+MIN(MAX($AD$5,'3. Assumptions'!$B$11),'3. Assumptions'!$B$10))^INT(($A76-1)/4)/4*(1-'3. Assumptions'!$B$13)</f>
        <v>2998091.25</v>
      </c>
      <c r="AE76" s="33" t="n">
        <f aca="false">(1-'3. Assumptions'!$B$15)*SUMPRODUCT((('2. The tape'!$C$5:$C$13*'2. The tape'!$D$5:$D$13*(1-'2. The tape'!$J$5:$J$13)^($A76/4)*(1+$AD$5)^($A76/4)*((1-'3. Assumptions'!$B$13)/($AD$6)-'2. The tape'!$H$5:$H$13/12-'3. Assumptions'!$B$16)-'2. The tape'!$C$5:$C$13*'2. The tape'!$I$5:$I$13*(1+$AD$5)^($A76/4))&gt;0)*('2. The tape'!$C$5:$C$13*'2. The tape'!$D$5:$D$13*(1-'2. The tape'!$J$5:$J$13)^($A76/4)*(1+$AD$5)^($A76/4)*((1-'3. Assumptions'!$B$13)/($AD$6)-'2. The tape'!$H$5:$H$13/12-'3. Assumptions'!$B$16)-'2. The tape'!$C$5:$C$13*'2. The tape'!$I$5:$I$13*(1+$AD$5)^($A76/4)))</f>
        <v>36387299.4951129</v>
      </c>
      <c r="AF76" s="33" t="n">
        <f aca="false">'2. The tape'!$C$17*(1+MIN(MAX($AF$5,'3. Assumptions'!$B$11),'3. Assumptions'!$B$10))^INT(($A76-1)/4)/4*(1-'3. Assumptions'!$B$13)</f>
        <v>2998091.25</v>
      </c>
      <c r="AG76" s="33" t="n">
        <f aca="false">(1-'3. Assumptions'!$B$15)*SUMPRODUCT((('2. The tape'!$C$5:$C$13*'2. The tape'!$D$5:$D$13*(1-'2. The tape'!$J$5:$J$13)^($A76/4)*(1+$AF$5)^($A76/4)*((1-'3. Assumptions'!$B$13)/($AF$6)-'2. The tape'!$H$5:$H$13/12-'3. Assumptions'!$B$16)-'2. The tape'!$C$5:$C$13*'2. The tape'!$I$5:$I$13*(1+$AF$5)^($A76/4))&gt;0)*('2. The tape'!$C$5:$C$13*'2. The tape'!$D$5:$D$13*(1-'2. The tape'!$J$5:$J$13)^($A76/4)*(1+$AF$5)^($A76/4)*((1-'3. Assumptions'!$B$13)/($AF$6)-'2. The tape'!$H$5:$H$13/12-'3. Assumptions'!$B$16)-'2. The tape'!$C$5:$C$13*'2. The tape'!$I$5:$I$13*(1+$AF$5)^($A76/4)))</f>
        <v>36387299.4951129</v>
      </c>
      <c r="AH76" s="33" t="n">
        <f aca="false">'2. The tape'!$C$17*(1+MIN(MAX($AH$5,'3. Assumptions'!$B$11),'3. Assumptions'!$B$10))^INT(($A76-1)/4)/4*(1-'3. Assumptions'!$B$13)</f>
        <v>4155356.45026212</v>
      </c>
      <c r="AI76" s="33" t="n">
        <f aca="false">(1-'3. Assumptions'!$B$15)*SUMPRODUCT((('2. The tape'!$C$5:$C$13*'2. The tape'!$D$5:$D$13*(1-'2. The tape'!$J$5:$J$13)^($A76/4)*(1+$AH$5)^($A76/4)*((1-'3. Assumptions'!$B$13)/($AH$6)-'2. The tape'!$H$5:$H$13/12-'3. Assumptions'!$B$16)-'2. The tape'!$C$5:$C$13*'2. The tape'!$I$5:$I$13*(1+$AH$5)^($A76/4))&gt;0)*('2. The tape'!$C$5:$C$13*'2. The tape'!$D$5:$D$13*(1-'2. The tape'!$J$5:$J$13)^($A76/4)*(1+$AH$5)^($A76/4)*((1-'3. Assumptions'!$B$13)/($AH$6)-'2. The tape'!$H$5:$H$13/12-'3. Assumptions'!$B$16)-'2. The tape'!$C$5:$C$13*'2. The tape'!$I$5:$I$13*(1+$AH$5)^($A76/4)))</f>
        <v>152735418.096729</v>
      </c>
      <c r="AJ76" s="33" t="n">
        <f aca="false">'2. The tape'!$C$17*(1+MIN(MAX($AJ$5,'3. Assumptions'!$B$11),'3. Assumptions'!$B$10))^INT(($A76-1)/4)/4*(1-'3. Assumptions'!$B$13)</f>
        <v>4155356.45026212</v>
      </c>
      <c r="AK76" s="33" t="n">
        <f aca="false">(1-'3. Assumptions'!$B$15)*SUMPRODUCT((('2. The tape'!$C$5:$C$13*'2. The tape'!$D$5:$D$13*(1-'2. The tape'!$J$5:$J$13)^($A76/4)*(1+$AJ$5)^($A76/4)*((1-'3. Assumptions'!$B$13)/($AJ$6)-'2. The tape'!$H$5:$H$13/12-'3. Assumptions'!$B$16)-'2. The tape'!$C$5:$C$13*'2. The tape'!$I$5:$I$13*(1+$AJ$5)^($A76/4))&gt;0)*('2. The tape'!$C$5:$C$13*'2. The tape'!$D$5:$D$13*(1-'2. The tape'!$J$5:$J$13)^($A76/4)*(1+$AJ$5)^($A76/4)*((1-'3. Assumptions'!$B$13)/($AJ$6)-'2. The tape'!$H$5:$H$13/12-'3. Assumptions'!$B$16)-'2. The tape'!$C$5:$C$13*'2. The tape'!$I$5:$I$13*(1+$AJ$5)^($A76/4)))</f>
        <v>109746918.531483</v>
      </c>
      <c r="AL76" s="33" t="n">
        <f aca="false">'2. The tape'!$C$17*(1+MIN(MAX($AL$5,'3. Assumptions'!$B$11),'3. Assumptions'!$B$10))^INT(($A76-1)/4)/4*(1-'3. Assumptions'!$B$13)</f>
        <v>4155356.45026212</v>
      </c>
      <c r="AM76" s="33" t="n">
        <f aca="false">(1-'3. Assumptions'!$B$15)*SUMPRODUCT((('2. The tape'!$C$5:$C$13*'2. The tape'!$D$5:$D$13*(1-'2. The tape'!$J$5:$J$13)^($A76/4)*(1+$AL$5)^($A76/4)*((1-'3. Assumptions'!$B$13)/($AL$6)-'2. The tape'!$H$5:$H$13/12-'3. Assumptions'!$B$16)-'2. The tape'!$C$5:$C$13*'2. The tape'!$I$5:$I$13*(1+$AL$5)^($A76/4))&gt;0)*('2. The tape'!$C$5:$C$13*'2. The tape'!$D$5:$D$13*(1-'2. The tape'!$J$5:$J$13)^($A76/4)*(1+$AL$5)^($A76/4)*((1-'3. Assumptions'!$B$13)/($AL$6)-'2. The tape'!$H$5:$H$13/12-'3. Assumptions'!$B$16)-'2. The tape'!$C$5:$C$13*'2. The tape'!$I$5:$I$13*(1+$AL$5)^($A76/4)))</f>
        <v>126419726.511075</v>
      </c>
      <c r="AN76" s="33" t="n">
        <f aca="false">'2. The tape'!$C$17*(1+MIN(MAX($AN$5,'3. Assumptions'!$B$11),'3. Assumptions'!$B$10))^INT(($A76-1)/4)/4*(1-'3. Assumptions'!$B$13)</f>
        <v>4155356.45026212</v>
      </c>
      <c r="AO76" s="33" t="n">
        <f aca="false">(1-'3. Assumptions'!$B$15)*SUMPRODUCT((('2. The tape'!$C$5:$C$13*'2. The tape'!$D$5:$D$13*(1-'2. The tape'!$J$5:$J$13)^($A76/4)*(1+$AN$5)^($A76/4)*((1-'3. Assumptions'!$B$13)/($AN$6)-'2. The tape'!$H$5:$H$13/12-'3. Assumptions'!$B$16)-'2. The tape'!$C$5:$C$13*'2. The tape'!$I$5:$I$13*(1+$AN$5)^($A76/4))&gt;0)*('2. The tape'!$C$5:$C$13*'2. The tape'!$D$5:$D$13*(1-'2. The tape'!$J$5:$J$13)^($A76/4)*(1+$AN$5)^($A76/4)*((1-'3. Assumptions'!$B$13)/($AN$6)-'2. The tape'!$H$5:$H$13/12-'3. Assumptions'!$B$16)-'2. The tape'!$C$5:$C$13*'2. The tape'!$I$5:$I$13*(1+$AN$5)^($A76/4)))</f>
        <v>129541388.172771</v>
      </c>
      <c r="AP76" s="33" t="n">
        <f aca="false">'2. The tape'!$C$17*(1+MIN(MAX($AP$5,'3. Assumptions'!$B$11),'3. Assumptions'!$B$10))^INT(($A76-1)/4)/4*(1-'3. Assumptions'!$B$13)</f>
        <v>4155356.45026212</v>
      </c>
      <c r="AQ76" s="33" t="n">
        <f aca="false">(1-'3. Assumptions'!$B$15)*SUMPRODUCT((('2. The tape'!$C$5:$C$13*'2. The tape'!$D$5:$D$13*(1-'2. The tape'!$J$5:$J$13)^($A76/4)*(1+$AP$5)^($A76/4)*((1-'3. Assumptions'!$B$13)/($AP$6)-'2. The tape'!$H$5:$H$13/12-'3. Assumptions'!$B$16)-'2. The tape'!$C$5:$C$13*'2. The tape'!$I$5:$I$13*(1+$AP$5)^($A76/4))&gt;0)*('2. The tape'!$C$5:$C$13*'2. The tape'!$D$5:$D$13*(1-'2. The tape'!$J$5:$J$13)^($A76/4)*(1+$AP$5)^($A76/4)*((1-'3. Assumptions'!$B$13)/($AP$6)-'2. The tape'!$H$5:$H$13/12-'3. Assumptions'!$B$16)-'2. The tape'!$C$5:$C$13*'2. The tape'!$I$5:$I$13*(1+$AP$5)^($A76/4)))</f>
        <v>129156025.446402</v>
      </c>
      <c r="AR76" s="33" t="n">
        <f aca="false">'2. The tape'!$C$17*(1+MIN(MAX($AR$5,'3. Assumptions'!$B$11),'3. Assumptions'!$B$10))^INT(($A76-1)/4)/4*(1-'3. Assumptions'!$B$13)</f>
        <v>4155356.45026212</v>
      </c>
      <c r="AS76" s="33" t="n">
        <f aca="false">(1-'3. Assumptions'!$B$15)*SUMPRODUCT((('2. The tape'!$C$5:$C$13*'2. The tape'!$D$5:$D$13*(1-'2. The tape'!$J$5:$J$13)^($A76/4)*(1+$AR$5)^($A76/4)*((1-'3. Assumptions'!$B$13)/($AR$6)-'2. The tape'!$H$5:$H$13/12-'3. Assumptions'!$B$16)-'2. The tape'!$C$5:$C$13*'2. The tape'!$I$5:$I$13*(1+$AR$5)^($A76/4))&gt;0)*('2. The tape'!$C$5:$C$13*'2. The tape'!$D$5:$D$13*(1-'2. The tape'!$J$5:$J$13)^($A76/4)*(1+$AR$5)^($A76/4)*((1-'3. Assumptions'!$B$13)/($AR$6)-'2. The tape'!$H$5:$H$13/12-'3. Assumptions'!$B$16)-'2. The tape'!$C$5:$C$13*'2. The tape'!$I$5:$I$13*(1+$AR$5)^($A76/4)))</f>
        <v>129162491.280977</v>
      </c>
      <c r="AT76" s="33" t="n">
        <f aca="false">'2. The tape'!$C$17*(1+MIN(MAX($AT$5,'3. Assumptions'!$B$11),'3. Assumptions'!$B$10))^INT(($A76-1)/4)/4*(1-'3. Assumptions'!$B$13)</f>
        <v>4155356.45026212</v>
      </c>
      <c r="AU76" s="33" t="n">
        <f aca="false">(1-'3. Assumptions'!$B$15)*SUMPRODUCT((('2. The tape'!$C$5:$C$13*'2. The tape'!$D$5:$D$13*(1-'2. The tape'!$J$5:$J$13)^($A76/4)*(1+$AT$5)^($A76/4)*((1-'3. Assumptions'!$B$13)/($AT$6)-'2. The tape'!$H$5:$H$13/12-'3. Assumptions'!$B$16)-'2. The tape'!$C$5:$C$13*'2. The tape'!$I$5:$I$13*(1+$AT$5)^($A76/4))&gt;0)*('2. The tape'!$C$5:$C$13*'2. The tape'!$D$5:$D$13*(1-'2. The tape'!$J$5:$J$13)^($A76/4)*(1+$AT$5)^($A76/4)*((1-'3. Assumptions'!$B$13)/($AT$6)-'2. The tape'!$H$5:$H$13/12-'3. Assumptions'!$B$16)-'2. The tape'!$C$5:$C$13*'2. The tape'!$I$5:$I$13*(1+$AT$5)^($A76/4)))</f>
        <v>129162506.338279</v>
      </c>
      <c r="AV76" s="33" t="n">
        <f aca="false">'2. The tape'!$C$17*(1+MIN(MAX($AV$5,'3. Assumptions'!$B$11),'3. Assumptions'!$B$10))^INT(($A76-1)/4)/4*(1-'3. Assumptions'!$B$13)</f>
        <v>4155356.45026212</v>
      </c>
      <c r="AW76" s="33" t="n">
        <f aca="false">(1-'3. Assumptions'!$B$15)*SUMPRODUCT((('2. The tape'!$C$5:$C$13*'2. The tape'!$D$5:$D$13*(1-'2. The tape'!$J$5:$J$13)^($A76/4)*(1+$AV$5)^($A76/4)*((1-'3. Assumptions'!$B$13)/($AV$6)-'2. The tape'!$H$5:$H$13/12-'3. Assumptions'!$B$16)-'2. The tape'!$C$5:$C$13*'2. The tape'!$I$5:$I$13*(1+$AV$5)^($A76/4))&gt;0)*('2. The tape'!$C$5:$C$13*'2. The tape'!$D$5:$D$13*(1-'2. The tape'!$J$5:$J$13)^($A76/4)*(1+$AV$5)^($A76/4)*((1-'3. Assumptions'!$B$13)/($AV$6)-'2. The tape'!$H$5:$H$13/12-'3. Assumptions'!$B$16)-'2. The tape'!$C$5:$C$13*'2. The tape'!$I$5:$I$13*(1+$AV$5)^($A76/4)))</f>
        <v>129162506.337679</v>
      </c>
      <c r="AX76" s="33" t="n">
        <f aca="false">'2. The tape'!$C$17*(1+MIN(MAX($AX$5,'3. Assumptions'!$B$11),'3. Assumptions'!$B$10))^INT(($A76-1)/4)/4*(1-'3. Assumptions'!$B$13)</f>
        <v>4155356.45026212</v>
      </c>
      <c r="AY76" s="33" t="n">
        <f aca="false">(1-'3. Assumptions'!$B$15)*SUMPRODUCT((('2. The tape'!$C$5:$C$13*'2. The tape'!$D$5:$D$13*(1-'2. The tape'!$J$5:$J$13)^($A76/4)*(1+$AX$5)^($A76/4)*((1-'3. Assumptions'!$B$13)/($AX$6)-'2. The tape'!$H$5:$H$13/12-'3. Assumptions'!$B$16)-'2. The tape'!$C$5:$C$13*'2. The tape'!$I$5:$I$13*(1+$AX$5)^($A76/4))&gt;0)*('2. The tape'!$C$5:$C$13*'2. The tape'!$D$5:$D$13*(1-'2. The tape'!$J$5:$J$13)^($A76/4)*(1+$AX$5)^($A76/4)*((1-'3. Assumptions'!$B$13)/($AX$6)-'2. The tape'!$H$5:$H$13/12-'3. Assumptions'!$B$16)-'2. The tape'!$C$5:$C$13*'2. The tape'!$I$5:$I$13*(1+$AX$5)^($A76/4)))</f>
        <v>129162506.337679</v>
      </c>
      <c r="AZ76" s="33" t="n">
        <f aca="false">'2. The tape'!$C$17*(1+MIN(MAX($AZ$5,'3. Assumptions'!$B$11),'3. Assumptions'!$B$10))^INT(($A76-1)/4)/4*(1-'3. Assumptions'!$B$13)</f>
        <v>4155356.45026212</v>
      </c>
      <c r="BA76" s="33" t="n">
        <f aca="false">(1-'3. Assumptions'!$B$15)*SUMPRODUCT((('2. The tape'!$C$5:$C$13*'2. The tape'!$D$5:$D$13*(1-'2. The tape'!$J$5:$J$13)^($A76/4)*(1+$AZ$5)^($A76/4)*((1-'3. Assumptions'!$B$13)/($AZ$6)-'2. The tape'!$H$5:$H$13/12-'3. Assumptions'!$B$16)-'2. The tape'!$C$5:$C$13*'2. The tape'!$I$5:$I$13*(1+$AZ$5)^($A76/4))&gt;0)*('2. The tape'!$C$5:$C$13*'2. The tape'!$D$5:$D$13*(1-'2. The tape'!$J$5:$J$13)^($A76/4)*(1+$AZ$5)^($A76/4)*((1-'3. Assumptions'!$B$13)/($AZ$6)-'2. The tape'!$H$5:$H$13/12-'3. Assumptions'!$B$16)-'2. The tape'!$C$5:$C$13*'2. The tape'!$I$5:$I$13*(1+$AZ$5)^($A76/4)))</f>
        <v>129162506.337679</v>
      </c>
    </row>
    <row r="77" customFormat="false" ht="15" hidden="false" customHeight="false" outlineLevel="0" collapsed="false">
      <c r="A77" s="20" t="n">
        <v>62</v>
      </c>
      <c r="B77" s="33" t="n">
        <f aca="false">'2. The tape'!$C$17*(1+MIN(MAX($B$5,'3. Assumptions'!$B$11),'3. Assumptions'!$B$10))^INT(($A77-1)/4)/4*(1-'3. Assumptions'!$B$13)</f>
        <v>4155356.45026212</v>
      </c>
      <c r="C77" s="33" t="n">
        <f aca="false">(1-'3. Assumptions'!$B$15)*SUMPRODUCT((('2. The tape'!$C$5:$C$13*'2. The tape'!$D$5:$D$13*(1-'2. The tape'!$J$5:$J$13)^($A77/4)*(1+$B$5)^($A77/4)*((1-'3. Assumptions'!$B$13)/($B$6)-'2. The tape'!$H$5:$H$13/12-'3. Assumptions'!$B$16)-'2. The tape'!$C$5:$C$13*'2. The tape'!$I$5:$I$13*(1+$B$5)^($A77/4))&gt;0)*('2. The tape'!$C$5:$C$13*'2. The tape'!$D$5:$D$13*(1-'2. The tape'!$J$5:$J$13)^($A77/4)*(1+$B$5)^($A77/4)*((1-'3. Assumptions'!$B$13)/($B$6)-'2. The tape'!$H$5:$H$13/12-'3. Assumptions'!$B$16)-'2. The tape'!$C$5:$C$13*'2. The tape'!$I$5:$I$13*(1+$B$5)^($A77/4)))</f>
        <v>75925453.5060168</v>
      </c>
      <c r="D77" s="33" t="n">
        <f aca="false">'2. The tape'!$C$17*(1+MIN(MAX($D$5,'3. Assumptions'!$B$11),'3. Assumptions'!$B$10))^INT(($A77-1)/4)/4*(1-'3. Assumptions'!$B$13)</f>
        <v>4670928.47949586</v>
      </c>
      <c r="E77" s="33" t="n">
        <f aca="false">(1-'3. Assumptions'!$B$15)*SUMPRODUCT((('2. The tape'!$C$5:$C$13*'2. The tape'!$D$5:$D$13*(1-'2. The tape'!$J$5:$J$13)^($A77/4)*(1+$D$5)^($A77/4)*((1-'3. Assumptions'!$B$13)/($D$6)-'2. The tape'!$H$5:$H$13/12-'3. Assumptions'!$B$16)-'2. The tape'!$C$5:$C$13*'2. The tape'!$I$5:$I$13*(1+$D$5)^($A77/4))&gt;0)*('2. The tape'!$C$5:$C$13*'2. The tape'!$D$5:$D$13*(1-'2. The tape'!$J$5:$J$13)^($A77/4)*(1+$D$5)^($A77/4)*((1-'3. Assumptions'!$B$13)/($D$6)-'2. The tape'!$H$5:$H$13/12-'3. Assumptions'!$B$16)-'2. The tape'!$C$5:$C$13*'2. The tape'!$I$5:$I$13*(1+$D$5)^($A77/4)))</f>
        <v>92357874.914298</v>
      </c>
      <c r="F77" s="33" t="n">
        <f aca="false">'2. The tape'!$C$17*(1+MIN(MAX($F$5,'3. Assumptions'!$B$11),'3. Assumptions'!$B$10))^INT(($A77-1)/4)/4*(1-'3. Assumptions'!$B$13)</f>
        <v>3480690.86661643</v>
      </c>
      <c r="G77" s="33" t="n">
        <f aca="false">(1-'3. Assumptions'!$B$15)*SUMPRODUCT((('2. The tape'!$C$5:$C$13*'2. The tape'!$D$5:$D$13*(1-'2. The tape'!$J$5:$J$13)^($A77/4)*(1+$F$5)^($A77/4)*((1-'3. Assumptions'!$B$13)/($F$6)-'2. The tape'!$H$5:$H$13/12-'3. Assumptions'!$B$16)-'2. The tape'!$C$5:$C$13*'2. The tape'!$I$5:$I$13*(1+$F$5)^($A77/4))&gt;0)*('2. The tape'!$C$5:$C$13*'2. The tape'!$D$5:$D$13*(1-'2. The tape'!$J$5:$J$13)^($A77/4)*(1+$F$5)^($A77/4)*((1-'3. Assumptions'!$B$13)/($F$6)-'2. The tape'!$H$5:$H$13/12-'3. Assumptions'!$B$16)-'2. The tape'!$C$5:$C$13*'2. The tape'!$I$5:$I$13*(1+$F$5)^($A77/4)))</f>
        <v>63223684.7470101</v>
      </c>
      <c r="H77" s="33" t="n">
        <f aca="false">'2. The tape'!$C$17*(1+MIN(MAX($H$5,'3. Assumptions'!$B$11),'3. Assumptions'!$B$10))^INT(($A77-1)/4)/4*(1-'3. Assumptions'!$B$13)</f>
        <v>4670928.47949586</v>
      </c>
      <c r="I77" s="33" t="n">
        <f aca="false">(1-'3. Assumptions'!$B$15)*SUMPRODUCT((('2. The tape'!$C$5:$C$13*'2. The tape'!$D$5:$D$13*(1-'2. The tape'!$J$5:$J$13)^($A77/4)*(1+$H$5)^($A77/4)*((1-'3. Assumptions'!$B$13)/($H$6)-'2. The tape'!$H$5:$H$13/12-'3. Assumptions'!$B$16)-'2. The tape'!$C$5:$C$13*'2. The tape'!$I$5:$I$13*(1+$H$5)^($A77/4))&gt;0)*('2. The tape'!$C$5:$C$13*'2. The tape'!$D$5:$D$13*(1-'2. The tape'!$J$5:$J$13)^($A77/4)*(1+$H$5)^($A77/4)*((1-'3. Assumptions'!$B$13)/($H$6)-'2. The tape'!$H$5:$H$13/12-'3. Assumptions'!$B$16)-'2. The tape'!$C$5:$C$13*'2. The tape'!$I$5:$I$13*(1+$H$5)^($A77/4)))</f>
        <v>92357874.914298</v>
      </c>
      <c r="J77" s="33" t="n">
        <f aca="false">'2. The tape'!$C$17*(1+MIN(MAX($J$5,'3. Assumptions'!$B$11),'3. Assumptions'!$B$10))^INT(($A77-1)/4)/4*(1-'3. Assumptions'!$B$13)</f>
        <v>4155356.45026212</v>
      </c>
      <c r="K77" s="33" t="n">
        <f aca="false">(1-'3. Assumptions'!$B$15)*SUMPRODUCT((('2. The tape'!$C$5:$C$13*'2. The tape'!$D$5:$D$13*(1-'2. The tape'!$J$5:$J$13)^($A77/4)*(1+$J$5)^($A77/4)*((1-'3. Assumptions'!$B$13)/($J$6)-'2. The tape'!$H$5:$H$13/12-'3. Assumptions'!$B$16)-'2. The tape'!$C$5:$C$13*'2. The tape'!$I$5:$I$13*(1+$J$5)^($A77/4))&gt;0)*('2. The tape'!$C$5:$C$13*'2. The tape'!$D$5:$D$13*(1-'2. The tape'!$J$5:$J$13)^($A77/4)*(1+$J$5)^($A77/4)*((1-'3. Assumptions'!$B$13)/($J$6)-'2. The tape'!$H$5:$H$13/12-'3. Assumptions'!$B$16)-'2. The tape'!$C$5:$C$13*'2. The tape'!$I$5:$I$13*(1+$J$5)^($A77/4)))</f>
        <v>61876994.9312777</v>
      </c>
      <c r="L77" s="33" t="n">
        <f aca="false">'2. The tape'!$C$17*(1+MIN(MAX($L$5,'3. Assumptions'!$B$11),'3. Assumptions'!$B$10))^INT(($A77-1)/4)/4*(1-'3. Assumptions'!$B$13)</f>
        <v>4670928.47949586</v>
      </c>
      <c r="M77" s="33" t="n">
        <f aca="false">(1-'3. Assumptions'!$B$15)*SUMPRODUCT((('2. The tape'!$C$5:$C$13*'2. The tape'!$D$5:$D$13*(1-'2. The tape'!$J$5:$J$13)^($A77/4)*(1+$L$5)^($A77/4)*((1-'3. Assumptions'!$B$13)/($L$6)-'2. The tape'!$H$5:$H$13/12-'3. Assumptions'!$B$16)-'2. The tape'!$C$5:$C$13*'2. The tape'!$I$5:$I$13*(1+$L$5)^($A77/4))&gt;0)*('2. The tape'!$C$5:$C$13*'2. The tape'!$D$5:$D$13*(1-'2. The tape'!$J$5:$J$13)^($A77/4)*(1+$L$5)^($A77/4)*((1-'3. Assumptions'!$B$13)/($L$6)-'2. The tape'!$H$5:$H$13/12-'3. Assumptions'!$B$16)-'2. The tape'!$C$5:$C$13*'2. The tape'!$I$5:$I$13*(1+$L$5)^($A77/4)))</f>
        <v>3162426718.10174</v>
      </c>
      <c r="N77" s="33" t="n">
        <f aca="false">'2. The tape'!$C$17*(1+MIN(MAX($N$5,'3. Assumptions'!$B$11),'3. Assumptions'!$B$10))^INT(($A77-1)/4)/4*(1-'3. Assumptions'!$B$13)</f>
        <v>2998091.25</v>
      </c>
      <c r="O77" s="33" t="n">
        <f aca="false">(1-'3. Assumptions'!$B$15)*SUMPRODUCT((('2. The tape'!$C$5:$C$13*'2. The tape'!$D$5:$D$13*(1-'2. The tape'!$J$5:$J$13)^($A77/4)*(1+$N$5)^($A77/4)*((1-'3. Assumptions'!$B$13)/($N$6)-'2. The tape'!$H$5:$H$13/12-'3. Assumptions'!$B$16)-'2. The tape'!$C$5:$C$13*'2. The tape'!$I$5:$I$13*(1+$N$5)^($A77/4))&gt;0)*('2. The tape'!$C$5:$C$13*'2. The tape'!$D$5:$D$13*(1-'2. The tape'!$J$5:$J$13)^($A77/4)*(1+$N$5)^($A77/4)*((1-'3. Assumptions'!$B$13)/($N$6)-'2. The tape'!$H$5:$H$13/12-'3. Assumptions'!$B$16)-'2. The tape'!$C$5:$C$13*'2. The tape'!$I$5:$I$13*(1+$N$5)^($A77/4)))</f>
        <v>33795617.8733522</v>
      </c>
      <c r="P77" s="33" t="n">
        <f aca="false">'2. The tape'!$C$17*(1+MIN(MAX($P$5,'3. Assumptions'!$B$11),'3. Assumptions'!$B$10))^INT(($A77-1)/4)/4*(1-'3. Assumptions'!$B$13)</f>
        <v>2998091.25</v>
      </c>
      <c r="Q77" s="33" t="n">
        <f aca="false">(1-'3. Assumptions'!$B$15)*SUMPRODUCT((('2. The tape'!$C$5:$C$13*'2. The tape'!$D$5:$D$13*(1-'2. The tape'!$J$5:$J$13)^($A77/4)*(1+$P$5)^($A77/4)*((1-'3. Assumptions'!$B$13)/($P$6)-'2. The tape'!$H$5:$H$13/12-'3. Assumptions'!$B$16)-'2. The tape'!$C$5:$C$13*'2. The tape'!$I$5:$I$13*(1+$P$5)^($A77/4))&gt;0)*('2. The tape'!$C$5:$C$13*'2. The tape'!$D$5:$D$13*(1-'2. The tape'!$J$5:$J$13)^($A77/4)*(1+$P$5)^($A77/4)*((1-'3. Assumptions'!$B$13)/($P$6)-'2. The tape'!$H$5:$H$13/12-'3. Assumptions'!$B$16)-'2. The tape'!$C$5:$C$13*'2. The tape'!$I$5:$I$13*(1+$P$5)^($A77/4)))</f>
        <v>39618924.5965533</v>
      </c>
      <c r="R77" s="33" t="n">
        <f aca="false">'2. The tape'!$C$17*(1+MIN(MAX($R$5,'3. Assumptions'!$B$11),'3. Assumptions'!$B$10))^INT(($A77-1)/4)/4*(1-'3. Assumptions'!$B$13)</f>
        <v>2998091.25</v>
      </c>
      <c r="S77" s="33" t="n">
        <f aca="false">(1-'3. Assumptions'!$B$15)*SUMPRODUCT((('2. The tape'!$C$5:$C$13*'2. The tape'!$D$5:$D$13*(1-'2. The tape'!$J$5:$J$13)^($A77/4)*(1+$R$5)^($A77/4)*((1-'3. Assumptions'!$B$13)/($R$6)-'2. The tape'!$H$5:$H$13/12-'3. Assumptions'!$B$16)-'2. The tape'!$C$5:$C$13*'2. The tape'!$I$5:$I$13*(1+$R$5)^($A77/4))&gt;0)*('2. The tape'!$C$5:$C$13*'2. The tape'!$D$5:$D$13*(1-'2. The tape'!$J$5:$J$13)^($A77/4)*(1+$R$5)^($A77/4)*((1-'3. Assumptions'!$B$13)/($R$6)-'2. The tape'!$H$5:$H$13/12-'3. Assumptions'!$B$16)-'2. The tape'!$C$5:$C$13*'2. The tape'!$I$5:$I$13*(1+$R$5)^($A77/4)))</f>
        <v>35990886.5938477</v>
      </c>
      <c r="T77" s="33" t="n">
        <f aca="false">'2. The tape'!$C$17*(1+MIN(MAX($T$5,'3. Assumptions'!$B$11),'3. Assumptions'!$B$10))^INT(($A77-1)/4)/4*(1-'3. Assumptions'!$B$13)</f>
        <v>2998091.25</v>
      </c>
      <c r="U77" s="33" t="n">
        <f aca="false">(1-'3. Assumptions'!$B$15)*SUMPRODUCT((('2. The tape'!$C$5:$C$13*'2. The tape'!$D$5:$D$13*(1-'2. The tape'!$J$5:$J$13)^($A77/4)*(1+$T$5)^($A77/4)*((1-'3. Assumptions'!$B$13)/($T$6)-'2. The tape'!$H$5:$H$13/12-'3. Assumptions'!$B$16)-'2. The tape'!$C$5:$C$13*'2. The tape'!$I$5:$I$13*(1+$T$5)^($A77/4))&gt;0)*('2. The tape'!$C$5:$C$13*'2. The tape'!$D$5:$D$13*(1-'2. The tape'!$J$5:$J$13)^($A77/4)*(1+$T$5)^($A77/4)*((1-'3. Assumptions'!$B$13)/($T$6)-'2. The tape'!$H$5:$H$13/12-'3. Assumptions'!$B$16)-'2. The tape'!$C$5:$C$13*'2. The tape'!$I$5:$I$13*(1+$T$5)^($A77/4)))</f>
        <v>35896953.4371962</v>
      </c>
      <c r="V77" s="33" t="n">
        <f aca="false">'2. The tape'!$C$17*(1+MIN(MAX($V$5,'3. Assumptions'!$B$11),'3. Assumptions'!$B$10))^INT(($A77-1)/4)/4*(1-'3. Assumptions'!$B$13)</f>
        <v>2998091.25</v>
      </c>
      <c r="W77" s="33" t="n">
        <f aca="false">(1-'3. Assumptions'!$B$15)*SUMPRODUCT((('2. The tape'!$C$5:$C$13*'2. The tape'!$D$5:$D$13*(1-'2. The tape'!$J$5:$J$13)^($A77/4)*(1+$V$5)^($A77/4)*((1-'3. Assumptions'!$B$13)/($V$6)-'2. The tape'!$H$5:$H$13/12-'3. Assumptions'!$B$16)-'2. The tape'!$C$5:$C$13*'2. The tape'!$I$5:$I$13*(1+$V$5)^($A77/4))&gt;0)*('2. The tape'!$C$5:$C$13*'2. The tape'!$D$5:$D$13*(1-'2. The tape'!$J$5:$J$13)^($A77/4)*(1+$V$5)^($A77/4)*((1-'3. Assumptions'!$B$13)/($V$6)-'2. The tape'!$H$5:$H$13/12-'3. Assumptions'!$B$16)-'2. The tape'!$C$5:$C$13*'2. The tape'!$I$5:$I$13*(1+$V$5)^($A77/4)))</f>
        <v>35900723.1547237</v>
      </c>
      <c r="X77" s="33" t="n">
        <f aca="false">'2. The tape'!$C$17*(1+MIN(MAX($X$5,'3. Assumptions'!$B$11),'3. Assumptions'!$B$10))^INT(($A77-1)/4)/4*(1-'3. Assumptions'!$B$13)</f>
        <v>2998091.25</v>
      </c>
      <c r="Y77" s="33" t="n">
        <f aca="false">(1-'3. Assumptions'!$B$15)*SUMPRODUCT((('2. The tape'!$C$5:$C$13*'2. The tape'!$D$5:$D$13*(1-'2. The tape'!$J$5:$J$13)^($A77/4)*(1+$X$5)^($A77/4)*((1-'3. Assumptions'!$B$13)/($X$6)-'2. The tape'!$H$5:$H$13/12-'3. Assumptions'!$B$16)-'2. The tape'!$C$5:$C$13*'2. The tape'!$I$5:$I$13*(1+$X$5)^($A77/4))&gt;0)*('2. The tape'!$C$5:$C$13*'2. The tape'!$D$5:$D$13*(1-'2. The tape'!$J$5:$J$13)^($A77/4)*(1+$X$5)^($A77/4)*((1-'3. Assumptions'!$B$13)/($X$6)-'2. The tape'!$H$5:$H$13/12-'3. Assumptions'!$B$16)-'2. The tape'!$C$5:$C$13*'2. The tape'!$I$5:$I$13*(1+$X$5)^($A77/4)))</f>
        <v>35900719.1904367</v>
      </c>
      <c r="Z77" s="33" t="n">
        <f aca="false">'2. The tape'!$C$17*(1+MIN(MAX($Z$5,'3. Assumptions'!$B$11),'3. Assumptions'!$B$10))^INT(($A77-1)/4)/4*(1-'3. Assumptions'!$B$13)</f>
        <v>2998091.25</v>
      </c>
      <c r="AA77" s="33" t="n">
        <f aca="false">(1-'3. Assumptions'!$B$15)*SUMPRODUCT((('2. The tape'!$C$5:$C$13*'2. The tape'!$D$5:$D$13*(1-'2. The tape'!$J$5:$J$13)^($A77/4)*(1+$Z$5)^($A77/4)*((1-'3. Assumptions'!$B$13)/($Z$6)-'2. The tape'!$H$5:$H$13/12-'3. Assumptions'!$B$16)-'2. The tape'!$C$5:$C$13*'2. The tape'!$I$5:$I$13*(1+$Z$5)^($A77/4))&gt;0)*('2. The tape'!$C$5:$C$13*'2. The tape'!$D$5:$D$13*(1-'2. The tape'!$J$5:$J$13)^($A77/4)*(1+$Z$5)^($A77/4)*((1-'3. Assumptions'!$B$13)/($Z$6)-'2. The tape'!$H$5:$H$13/12-'3. Assumptions'!$B$16)-'2. The tape'!$C$5:$C$13*'2. The tape'!$I$5:$I$13*(1+$Z$5)^($A77/4)))</f>
        <v>35900719.1902622</v>
      </c>
      <c r="AB77" s="33" t="n">
        <f aca="false">'2. The tape'!$C$17*(1+MIN(MAX($AB$5,'3. Assumptions'!$B$11),'3. Assumptions'!$B$10))^INT(($A77-1)/4)/4*(1-'3. Assumptions'!$B$13)</f>
        <v>2998091.25</v>
      </c>
      <c r="AC77" s="33" t="n">
        <f aca="false">(1-'3. Assumptions'!$B$15)*SUMPRODUCT((('2. The tape'!$C$5:$C$13*'2. The tape'!$D$5:$D$13*(1-'2. The tape'!$J$5:$J$13)^($A77/4)*(1+$AB$5)^($A77/4)*((1-'3. Assumptions'!$B$13)/($AB$6)-'2. The tape'!$H$5:$H$13/12-'3. Assumptions'!$B$16)-'2. The tape'!$C$5:$C$13*'2. The tape'!$I$5:$I$13*(1+$AB$5)^($A77/4))&gt;0)*('2. The tape'!$C$5:$C$13*'2. The tape'!$D$5:$D$13*(1-'2. The tape'!$J$5:$J$13)^($A77/4)*(1+$AB$5)^($A77/4)*((1-'3. Assumptions'!$B$13)/($AB$6)-'2. The tape'!$H$5:$H$13/12-'3. Assumptions'!$B$16)-'2. The tape'!$C$5:$C$13*'2. The tape'!$I$5:$I$13*(1+$AB$5)^($A77/4)))</f>
        <v>35900719.1902622</v>
      </c>
      <c r="AD77" s="33" t="n">
        <f aca="false">'2. The tape'!$C$17*(1+MIN(MAX($AD$5,'3. Assumptions'!$B$11),'3. Assumptions'!$B$10))^INT(($A77-1)/4)/4*(1-'3. Assumptions'!$B$13)</f>
        <v>2998091.25</v>
      </c>
      <c r="AE77" s="33" t="n">
        <f aca="false">(1-'3. Assumptions'!$B$15)*SUMPRODUCT((('2. The tape'!$C$5:$C$13*'2. The tape'!$D$5:$D$13*(1-'2. The tape'!$J$5:$J$13)^($A77/4)*(1+$AD$5)^($A77/4)*((1-'3. Assumptions'!$B$13)/($AD$6)-'2. The tape'!$H$5:$H$13/12-'3. Assumptions'!$B$16)-'2. The tape'!$C$5:$C$13*'2. The tape'!$I$5:$I$13*(1+$AD$5)^($A77/4))&gt;0)*('2. The tape'!$C$5:$C$13*'2. The tape'!$D$5:$D$13*(1-'2. The tape'!$J$5:$J$13)^($A77/4)*(1+$AD$5)^($A77/4)*((1-'3. Assumptions'!$B$13)/($AD$6)-'2. The tape'!$H$5:$H$13/12-'3. Assumptions'!$B$16)-'2. The tape'!$C$5:$C$13*'2. The tape'!$I$5:$I$13*(1+$AD$5)^($A77/4)))</f>
        <v>35900719.1902622</v>
      </c>
      <c r="AF77" s="33" t="n">
        <f aca="false">'2. The tape'!$C$17*(1+MIN(MAX($AF$5,'3. Assumptions'!$B$11),'3. Assumptions'!$B$10))^INT(($A77-1)/4)/4*(1-'3. Assumptions'!$B$13)</f>
        <v>2998091.25</v>
      </c>
      <c r="AG77" s="33" t="n">
        <f aca="false">(1-'3. Assumptions'!$B$15)*SUMPRODUCT((('2. The tape'!$C$5:$C$13*'2. The tape'!$D$5:$D$13*(1-'2. The tape'!$J$5:$J$13)^($A77/4)*(1+$AF$5)^($A77/4)*((1-'3. Assumptions'!$B$13)/($AF$6)-'2. The tape'!$H$5:$H$13/12-'3. Assumptions'!$B$16)-'2. The tape'!$C$5:$C$13*'2. The tape'!$I$5:$I$13*(1+$AF$5)^($A77/4))&gt;0)*('2. The tape'!$C$5:$C$13*'2. The tape'!$D$5:$D$13*(1-'2. The tape'!$J$5:$J$13)^($A77/4)*(1+$AF$5)^($A77/4)*((1-'3. Assumptions'!$B$13)/($AF$6)-'2. The tape'!$H$5:$H$13/12-'3. Assumptions'!$B$16)-'2. The tape'!$C$5:$C$13*'2. The tape'!$I$5:$I$13*(1+$AF$5)^($A77/4)))</f>
        <v>35900719.1902622</v>
      </c>
      <c r="AH77" s="33" t="n">
        <f aca="false">'2. The tape'!$C$17*(1+MIN(MAX($AH$5,'3. Assumptions'!$B$11),'3. Assumptions'!$B$10))^INT(($A77-1)/4)/4*(1-'3. Assumptions'!$B$13)</f>
        <v>4155356.45026212</v>
      </c>
      <c r="AI77" s="33" t="n">
        <f aca="false">(1-'3. Assumptions'!$B$15)*SUMPRODUCT((('2. The tape'!$C$5:$C$13*'2. The tape'!$D$5:$D$13*(1-'2. The tape'!$J$5:$J$13)^($A77/4)*(1+$AH$5)^($A77/4)*((1-'3. Assumptions'!$B$13)/($AH$6)-'2. The tape'!$H$5:$H$13/12-'3. Assumptions'!$B$16)-'2. The tape'!$C$5:$C$13*'2. The tape'!$I$5:$I$13*(1+$AH$5)^($A77/4))&gt;0)*('2. The tape'!$C$5:$C$13*'2. The tape'!$D$5:$D$13*(1-'2. The tape'!$J$5:$J$13)^($A77/4)*(1+$AH$5)^($A77/4)*((1-'3. Assumptions'!$B$13)/($AH$6)-'2. The tape'!$H$5:$H$13/12-'3. Assumptions'!$B$16)-'2. The tape'!$C$5:$C$13*'2. The tape'!$I$5:$I$13*(1+$AH$5)^($A77/4)))</f>
        <v>152630037.324092</v>
      </c>
      <c r="AJ77" s="33" t="n">
        <f aca="false">'2. The tape'!$C$17*(1+MIN(MAX($AJ$5,'3. Assumptions'!$B$11),'3. Assumptions'!$B$10))^INT(($A77-1)/4)/4*(1-'3. Assumptions'!$B$13)</f>
        <v>4155356.45026212</v>
      </c>
      <c r="AK77" s="33" t="n">
        <f aca="false">(1-'3. Assumptions'!$B$15)*SUMPRODUCT((('2. The tape'!$C$5:$C$13*'2. The tape'!$D$5:$D$13*(1-'2. The tape'!$J$5:$J$13)^($A77/4)*(1+$AJ$5)^($A77/4)*((1-'3. Assumptions'!$B$13)/($AJ$6)-'2. The tape'!$H$5:$H$13/12-'3. Assumptions'!$B$16)-'2. The tape'!$C$5:$C$13*'2. The tape'!$I$5:$I$13*(1+$AJ$5)^($A77/4))&gt;0)*('2. The tape'!$C$5:$C$13*'2. The tape'!$D$5:$D$13*(1-'2. The tape'!$J$5:$J$13)^($A77/4)*(1+$AJ$5)^($A77/4)*((1-'3. Assumptions'!$B$13)/($AJ$6)-'2. The tape'!$H$5:$H$13/12-'3. Assumptions'!$B$16)-'2. The tape'!$C$5:$C$13*'2. The tape'!$I$5:$I$13*(1+$AJ$5)^($A77/4)))</f>
        <v>109641754.085391</v>
      </c>
      <c r="AL77" s="33" t="n">
        <f aca="false">'2. The tape'!$C$17*(1+MIN(MAX($AL$5,'3. Assumptions'!$B$11),'3. Assumptions'!$B$10))^INT(($A77-1)/4)/4*(1-'3. Assumptions'!$B$13)</f>
        <v>4155356.45026212</v>
      </c>
      <c r="AM77" s="33" t="n">
        <f aca="false">(1-'3. Assumptions'!$B$15)*SUMPRODUCT((('2. The tape'!$C$5:$C$13*'2. The tape'!$D$5:$D$13*(1-'2. The tape'!$J$5:$J$13)^($A77/4)*(1+$AL$5)^($A77/4)*((1-'3. Assumptions'!$B$13)/($AL$6)-'2. The tape'!$H$5:$H$13/12-'3. Assumptions'!$B$16)-'2. The tape'!$C$5:$C$13*'2. The tape'!$I$5:$I$13*(1+$AL$5)^($A77/4))&gt;0)*('2. The tape'!$C$5:$C$13*'2. The tape'!$D$5:$D$13*(1-'2. The tape'!$J$5:$J$13)^($A77/4)*(1+$AL$5)^($A77/4)*((1-'3. Assumptions'!$B$13)/($AL$6)-'2. The tape'!$H$5:$H$13/12-'3. Assumptions'!$B$16)-'2. The tape'!$C$5:$C$13*'2. The tape'!$I$5:$I$13*(1+$AL$5)^($A77/4)))</f>
        <v>126314478.164149</v>
      </c>
      <c r="AN77" s="33" t="n">
        <f aca="false">'2. The tape'!$C$17*(1+MIN(MAX($AN$5,'3. Assumptions'!$B$11),'3. Assumptions'!$B$10))^INT(($A77-1)/4)/4*(1-'3. Assumptions'!$B$13)</f>
        <v>4155356.45026212</v>
      </c>
      <c r="AO77" s="33" t="n">
        <f aca="false">(1-'3. Assumptions'!$B$15)*SUMPRODUCT((('2. The tape'!$C$5:$C$13*'2. The tape'!$D$5:$D$13*(1-'2. The tape'!$J$5:$J$13)^($A77/4)*(1+$AN$5)^($A77/4)*((1-'3. Assumptions'!$B$13)/($AN$6)-'2. The tape'!$H$5:$H$13/12-'3. Assumptions'!$B$16)-'2. The tape'!$C$5:$C$13*'2. The tape'!$I$5:$I$13*(1+$AN$5)^($A77/4))&gt;0)*('2. The tape'!$C$5:$C$13*'2. The tape'!$D$5:$D$13*(1-'2. The tape'!$J$5:$J$13)^($A77/4)*(1+$AN$5)^($A77/4)*((1-'3. Assumptions'!$B$13)/($AN$6)-'2. The tape'!$H$5:$H$13/12-'3. Assumptions'!$B$16)-'2. The tape'!$C$5:$C$13*'2. The tape'!$I$5:$I$13*(1+$AN$5)^($A77/4)))</f>
        <v>129436124.117033</v>
      </c>
      <c r="AP77" s="33" t="n">
        <f aca="false">'2. The tape'!$C$17*(1+MIN(MAX($AP$5,'3. Assumptions'!$B$11),'3. Assumptions'!$B$10))^INT(($A77-1)/4)/4*(1-'3. Assumptions'!$B$13)</f>
        <v>4155356.45026212</v>
      </c>
      <c r="AQ77" s="33" t="n">
        <f aca="false">(1-'3. Assumptions'!$B$15)*SUMPRODUCT((('2. The tape'!$C$5:$C$13*'2. The tape'!$D$5:$D$13*(1-'2. The tape'!$J$5:$J$13)^($A77/4)*(1+$AP$5)^($A77/4)*((1-'3. Assumptions'!$B$13)/($AP$6)-'2. The tape'!$H$5:$H$13/12-'3. Assumptions'!$B$16)-'2. The tape'!$C$5:$C$13*'2. The tape'!$I$5:$I$13*(1+$AP$5)^($A77/4))&gt;0)*('2. The tape'!$C$5:$C$13*'2. The tape'!$D$5:$D$13*(1-'2. The tape'!$J$5:$J$13)^($A77/4)*(1+$AP$5)^($A77/4)*((1-'3. Assumptions'!$B$13)/($AP$6)-'2. The tape'!$H$5:$H$13/12-'3. Assumptions'!$B$16)-'2. The tape'!$C$5:$C$13*'2. The tape'!$I$5:$I$13*(1+$AP$5)^($A77/4)))</f>
        <v>129050763.329884</v>
      </c>
      <c r="AR77" s="33" t="n">
        <f aca="false">'2. The tape'!$C$17*(1+MIN(MAX($AR$5,'3. Assumptions'!$B$11),'3. Assumptions'!$B$10))^INT(($A77-1)/4)/4*(1-'3. Assumptions'!$B$13)</f>
        <v>4155356.45026212</v>
      </c>
      <c r="AS77" s="33" t="n">
        <f aca="false">(1-'3. Assumptions'!$B$15)*SUMPRODUCT((('2. The tape'!$C$5:$C$13*'2. The tape'!$D$5:$D$13*(1-'2. The tape'!$J$5:$J$13)^($A77/4)*(1+$AR$5)^($A77/4)*((1-'3. Assumptions'!$B$13)/($AR$6)-'2. The tape'!$H$5:$H$13/12-'3. Assumptions'!$B$16)-'2. The tape'!$C$5:$C$13*'2. The tape'!$I$5:$I$13*(1+$AR$5)^($A77/4))&gt;0)*('2. The tape'!$C$5:$C$13*'2. The tape'!$D$5:$D$13*(1-'2. The tape'!$J$5:$J$13)^($A77/4)*(1+$AR$5)^($A77/4)*((1-'3. Assumptions'!$B$13)/($AR$6)-'2. The tape'!$H$5:$H$13/12-'3. Assumptions'!$B$16)-'2. The tape'!$C$5:$C$13*'2. The tape'!$I$5:$I$13*(1+$AR$5)^($A77/4)))</f>
        <v>129057229.131922</v>
      </c>
      <c r="AT77" s="33" t="n">
        <f aca="false">'2. The tape'!$C$17*(1+MIN(MAX($AT$5,'3. Assumptions'!$B$11),'3. Assumptions'!$B$10))^INT(($A77-1)/4)/4*(1-'3. Assumptions'!$B$13)</f>
        <v>4155356.45026212</v>
      </c>
      <c r="AU77" s="33" t="n">
        <f aca="false">(1-'3. Assumptions'!$B$15)*SUMPRODUCT((('2. The tape'!$C$5:$C$13*'2. The tape'!$D$5:$D$13*(1-'2. The tape'!$J$5:$J$13)^($A77/4)*(1+$AT$5)^($A77/4)*((1-'3. Assumptions'!$B$13)/($AT$6)-'2. The tape'!$H$5:$H$13/12-'3. Assumptions'!$B$16)-'2. The tape'!$C$5:$C$13*'2. The tape'!$I$5:$I$13*(1+$AT$5)^($A77/4))&gt;0)*('2. The tape'!$C$5:$C$13*'2. The tape'!$D$5:$D$13*(1-'2. The tape'!$J$5:$J$13)^($A77/4)*(1+$AT$5)^($A77/4)*((1-'3. Assumptions'!$B$13)/($AT$6)-'2. The tape'!$H$5:$H$13/12-'3. Assumptions'!$B$16)-'2. The tape'!$C$5:$C$13*'2. The tape'!$I$5:$I$13*(1+$AT$5)^($A77/4)))</f>
        <v>129057244.189148</v>
      </c>
      <c r="AV77" s="33" t="n">
        <f aca="false">'2. The tape'!$C$17*(1+MIN(MAX($AV$5,'3. Assumptions'!$B$11),'3. Assumptions'!$B$10))^INT(($A77-1)/4)/4*(1-'3. Assumptions'!$B$13)</f>
        <v>4155356.45026212</v>
      </c>
      <c r="AW77" s="33" t="n">
        <f aca="false">(1-'3. Assumptions'!$B$15)*SUMPRODUCT((('2. The tape'!$C$5:$C$13*'2. The tape'!$D$5:$D$13*(1-'2. The tape'!$J$5:$J$13)^($A77/4)*(1+$AV$5)^($A77/4)*((1-'3. Assumptions'!$B$13)/($AV$6)-'2. The tape'!$H$5:$H$13/12-'3. Assumptions'!$B$16)-'2. The tape'!$C$5:$C$13*'2. The tape'!$I$5:$I$13*(1+$AV$5)^($A77/4))&gt;0)*('2. The tape'!$C$5:$C$13*'2. The tape'!$D$5:$D$13*(1-'2. The tape'!$J$5:$J$13)^($A77/4)*(1+$AV$5)^($A77/4)*((1-'3. Assumptions'!$B$13)/($AV$6)-'2. The tape'!$H$5:$H$13/12-'3. Assumptions'!$B$16)-'2. The tape'!$C$5:$C$13*'2. The tape'!$I$5:$I$13*(1+$AV$5)^($A77/4)))</f>
        <v>129057244.188548</v>
      </c>
      <c r="AX77" s="33" t="n">
        <f aca="false">'2. The tape'!$C$17*(1+MIN(MAX($AX$5,'3. Assumptions'!$B$11),'3. Assumptions'!$B$10))^INT(($A77-1)/4)/4*(1-'3. Assumptions'!$B$13)</f>
        <v>4155356.45026212</v>
      </c>
      <c r="AY77" s="33" t="n">
        <f aca="false">(1-'3. Assumptions'!$B$15)*SUMPRODUCT((('2. The tape'!$C$5:$C$13*'2. The tape'!$D$5:$D$13*(1-'2. The tape'!$J$5:$J$13)^($A77/4)*(1+$AX$5)^($A77/4)*((1-'3. Assumptions'!$B$13)/($AX$6)-'2. The tape'!$H$5:$H$13/12-'3. Assumptions'!$B$16)-'2. The tape'!$C$5:$C$13*'2. The tape'!$I$5:$I$13*(1+$AX$5)^($A77/4))&gt;0)*('2. The tape'!$C$5:$C$13*'2. The tape'!$D$5:$D$13*(1-'2. The tape'!$J$5:$J$13)^($A77/4)*(1+$AX$5)^($A77/4)*((1-'3. Assumptions'!$B$13)/($AX$6)-'2. The tape'!$H$5:$H$13/12-'3. Assumptions'!$B$16)-'2. The tape'!$C$5:$C$13*'2. The tape'!$I$5:$I$13*(1+$AX$5)^($A77/4)))</f>
        <v>129057244.188548</v>
      </c>
      <c r="AZ77" s="33" t="n">
        <f aca="false">'2. The tape'!$C$17*(1+MIN(MAX($AZ$5,'3. Assumptions'!$B$11),'3. Assumptions'!$B$10))^INT(($A77-1)/4)/4*(1-'3. Assumptions'!$B$13)</f>
        <v>4155356.45026212</v>
      </c>
      <c r="BA77" s="33" t="n">
        <f aca="false">(1-'3. Assumptions'!$B$15)*SUMPRODUCT((('2. The tape'!$C$5:$C$13*'2. The tape'!$D$5:$D$13*(1-'2. The tape'!$J$5:$J$13)^($A77/4)*(1+$AZ$5)^($A77/4)*((1-'3. Assumptions'!$B$13)/($AZ$6)-'2. The tape'!$H$5:$H$13/12-'3. Assumptions'!$B$16)-'2. The tape'!$C$5:$C$13*'2. The tape'!$I$5:$I$13*(1+$AZ$5)^($A77/4))&gt;0)*('2. The tape'!$C$5:$C$13*'2. The tape'!$D$5:$D$13*(1-'2. The tape'!$J$5:$J$13)^($A77/4)*(1+$AZ$5)^($A77/4)*((1-'3. Assumptions'!$B$13)/($AZ$6)-'2. The tape'!$H$5:$H$13/12-'3. Assumptions'!$B$16)-'2. The tape'!$C$5:$C$13*'2. The tape'!$I$5:$I$13*(1+$AZ$5)^($A77/4)))</f>
        <v>129057244.188548</v>
      </c>
    </row>
    <row r="78" customFormat="false" ht="15" hidden="false" customHeight="false" outlineLevel="0" collapsed="false">
      <c r="A78" s="20" t="n">
        <v>63</v>
      </c>
      <c r="B78" s="33" t="n">
        <f aca="false">'2. The tape'!$C$17*(1+MIN(MAX($B$5,'3. Assumptions'!$B$11),'3. Assumptions'!$B$10))^INT(($A78-1)/4)/4*(1-'3. Assumptions'!$B$13)</f>
        <v>4155356.45026212</v>
      </c>
      <c r="C78" s="33" t="n">
        <f aca="false">(1-'3. Assumptions'!$B$15)*SUMPRODUCT((('2. The tape'!$C$5:$C$13*'2. The tape'!$D$5:$D$13*(1-'2. The tape'!$J$5:$J$13)^($A78/4)*(1+$B$5)^($A78/4)*((1-'3. Assumptions'!$B$13)/($B$6)-'2. The tape'!$H$5:$H$13/12-'3. Assumptions'!$B$16)-'2. The tape'!$C$5:$C$13*'2. The tape'!$I$5:$I$13*(1+$B$5)^($A78/4))&gt;0)*('2. The tape'!$C$5:$C$13*'2. The tape'!$D$5:$D$13*(1-'2. The tape'!$J$5:$J$13)^($A78/4)*(1+$B$5)^($A78/4)*((1-'3. Assumptions'!$B$13)/($B$6)-'2. The tape'!$H$5:$H$13/12-'3. Assumptions'!$B$16)-'2. The tape'!$C$5:$C$13*'2. The tape'!$I$5:$I$13*(1+$B$5)^($A78/4)))</f>
        <v>75820111.2057621</v>
      </c>
      <c r="D78" s="33" t="n">
        <f aca="false">'2. The tape'!$C$17*(1+MIN(MAX($D$5,'3. Assumptions'!$B$11),'3. Assumptions'!$B$10))^INT(($A78-1)/4)/4*(1-'3. Assumptions'!$B$13)</f>
        <v>4670928.47949586</v>
      </c>
      <c r="E78" s="33" t="n">
        <f aca="false">(1-'3. Assumptions'!$B$15)*SUMPRODUCT((('2. The tape'!$C$5:$C$13*'2. The tape'!$D$5:$D$13*(1-'2. The tape'!$J$5:$J$13)^($A78/4)*(1+$D$5)^($A78/4)*((1-'3. Assumptions'!$B$13)/($D$6)-'2. The tape'!$H$5:$H$13/12-'3. Assumptions'!$B$16)-'2. The tape'!$C$5:$C$13*'2. The tape'!$I$5:$I$13*(1+$D$5)^($A78/4))&gt;0)*('2. The tape'!$C$5:$C$13*'2. The tape'!$D$5:$D$13*(1-'2. The tape'!$J$5:$J$13)^($A78/4)*(1+$D$5)^($A78/4)*((1-'3. Assumptions'!$B$13)/($D$6)-'2. The tape'!$H$5:$H$13/12-'3. Assumptions'!$B$16)-'2. The tape'!$C$5:$C$13*'2. The tape'!$I$5:$I$13*(1+$D$5)^($A78/4)))</f>
        <v>92521638.975834</v>
      </c>
      <c r="F78" s="33" t="n">
        <f aca="false">'2. The tape'!$C$17*(1+MIN(MAX($F$5,'3. Assumptions'!$B$11),'3. Assumptions'!$B$10))^INT(($A78-1)/4)/4*(1-'3. Assumptions'!$B$13)</f>
        <v>3480690.86661643</v>
      </c>
      <c r="G78" s="33" t="n">
        <f aca="false">(1-'3. Assumptions'!$B$15)*SUMPRODUCT((('2. The tape'!$C$5:$C$13*'2. The tape'!$D$5:$D$13*(1-'2. The tape'!$J$5:$J$13)^($A78/4)*(1+$F$5)^($A78/4)*((1-'3. Assumptions'!$B$13)/($F$6)-'2. The tape'!$H$5:$H$13/12-'3. Assumptions'!$B$16)-'2. The tape'!$C$5:$C$13*'2. The tape'!$I$5:$I$13*(1+$F$5)^($A78/4))&gt;0)*('2. The tape'!$C$5:$C$13*'2. The tape'!$D$5:$D$13*(1-'2. The tape'!$J$5:$J$13)^($A78/4)*(1+$F$5)^($A78/4)*((1-'3. Assumptions'!$B$13)/($F$6)-'2. The tape'!$H$5:$H$13/12-'3. Assumptions'!$B$16)-'2. The tape'!$C$5:$C$13*'2. The tape'!$I$5:$I$13*(1+$F$5)^($A78/4)))</f>
        <v>62949813.144711</v>
      </c>
      <c r="H78" s="33" t="n">
        <f aca="false">'2. The tape'!$C$17*(1+MIN(MAX($H$5,'3. Assumptions'!$B$11),'3. Assumptions'!$B$10))^INT(($A78-1)/4)/4*(1-'3. Assumptions'!$B$13)</f>
        <v>4670928.47949586</v>
      </c>
      <c r="I78" s="33" t="n">
        <f aca="false">(1-'3. Assumptions'!$B$15)*SUMPRODUCT((('2. The tape'!$C$5:$C$13*'2. The tape'!$D$5:$D$13*(1-'2. The tape'!$J$5:$J$13)^($A78/4)*(1+$H$5)^($A78/4)*((1-'3. Assumptions'!$B$13)/($H$6)-'2. The tape'!$H$5:$H$13/12-'3. Assumptions'!$B$16)-'2. The tape'!$C$5:$C$13*'2. The tape'!$I$5:$I$13*(1+$H$5)^($A78/4))&gt;0)*('2. The tape'!$C$5:$C$13*'2. The tape'!$D$5:$D$13*(1-'2. The tape'!$J$5:$J$13)^($A78/4)*(1+$H$5)^($A78/4)*((1-'3. Assumptions'!$B$13)/($H$6)-'2. The tape'!$H$5:$H$13/12-'3. Assumptions'!$B$16)-'2. The tape'!$C$5:$C$13*'2. The tape'!$I$5:$I$13*(1+$H$5)^($A78/4)))</f>
        <v>92521638.975834</v>
      </c>
      <c r="J78" s="33" t="n">
        <f aca="false">'2. The tape'!$C$17*(1+MIN(MAX($J$5,'3. Assumptions'!$B$11),'3. Assumptions'!$B$10))^INT(($A78-1)/4)/4*(1-'3. Assumptions'!$B$13)</f>
        <v>4155356.45026212</v>
      </c>
      <c r="K78" s="33" t="n">
        <f aca="false">(1-'3. Assumptions'!$B$15)*SUMPRODUCT((('2. The tape'!$C$5:$C$13*'2. The tape'!$D$5:$D$13*(1-'2. The tape'!$J$5:$J$13)^($A78/4)*(1+$J$5)^($A78/4)*((1-'3. Assumptions'!$B$13)/($J$6)-'2. The tape'!$H$5:$H$13/12-'3. Assumptions'!$B$16)-'2. The tape'!$C$5:$C$13*'2. The tape'!$I$5:$I$13*(1+$J$5)^($A78/4))&gt;0)*('2. The tape'!$C$5:$C$13*'2. The tape'!$D$5:$D$13*(1-'2. The tape'!$J$5:$J$13)^($A78/4)*(1+$J$5)^($A78/4)*((1-'3. Assumptions'!$B$13)/($J$6)-'2. The tape'!$H$5:$H$13/12-'3. Assumptions'!$B$16)-'2. The tape'!$C$5:$C$13*'2. The tape'!$I$5:$I$13*(1+$J$5)^($A78/4)))</f>
        <v>61771683.6347942</v>
      </c>
      <c r="L78" s="33" t="n">
        <f aca="false">'2. The tape'!$C$17*(1+MIN(MAX($L$5,'3. Assumptions'!$B$11),'3. Assumptions'!$B$10))^INT(($A78-1)/4)/4*(1-'3. Assumptions'!$B$13)</f>
        <v>4670928.47949586</v>
      </c>
      <c r="M78" s="33" t="n">
        <f aca="false">(1-'3. Assumptions'!$B$15)*SUMPRODUCT((('2. The tape'!$C$5:$C$13*'2. The tape'!$D$5:$D$13*(1-'2. The tape'!$J$5:$J$13)^($A78/4)*(1+$L$5)^($A78/4)*((1-'3. Assumptions'!$B$13)/($L$6)-'2. The tape'!$H$5:$H$13/12-'3. Assumptions'!$B$16)-'2. The tape'!$C$5:$C$13*'2. The tape'!$I$5:$I$13*(1+$L$5)^($A78/4))&gt;0)*('2. The tape'!$C$5:$C$13*'2. The tape'!$D$5:$D$13*(1-'2. The tape'!$J$5:$J$13)^($A78/4)*(1+$L$5)^($A78/4)*((1-'3. Assumptions'!$B$13)/($L$6)-'2. The tape'!$H$5:$H$13/12-'3. Assumptions'!$B$16)-'2. The tape'!$C$5:$C$13*'2. The tape'!$I$5:$I$13*(1+$L$5)^($A78/4)))</f>
        <v>3353826616.82079</v>
      </c>
      <c r="N78" s="33" t="n">
        <f aca="false">'2. The tape'!$C$17*(1+MIN(MAX($N$5,'3. Assumptions'!$B$11),'3. Assumptions'!$B$10))^INT(($A78-1)/4)/4*(1-'3. Assumptions'!$B$13)</f>
        <v>2998091.25</v>
      </c>
      <c r="O78" s="33" t="n">
        <f aca="false">(1-'3. Assumptions'!$B$15)*SUMPRODUCT((('2. The tape'!$C$5:$C$13*'2. The tape'!$D$5:$D$13*(1-'2. The tape'!$J$5:$J$13)^($A78/4)*(1+$N$5)^($A78/4)*((1-'3. Assumptions'!$B$13)/($N$6)-'2. The tape'!$H$5:$H$13/12-'3. Assumptions'!$B$16)-'2. The tape'!$C$5:$C$13*'2. The tape'!$I$5:$I$13*(1+$N$5)^($A78/4))&gt;0)*('2. The tape'!$C$5:$C$13*'2. The tape'!$D$5:$D$13*(1-'2. The tape'!$J$5:$J$13)^($A78/4)*(1+$N$5)^($A78/4)*((1-'3. Assumptions'!$B$13)/($N$6)-'2. The tape'!$H$5:$H$13/12-'3. Assumptions'!$B$16)-'2. The tape'!$C$5:$C$13*'2. The tape'!$I$5:$I$13*(1+$N$5)^($A78/4)))</f>
        <v>33310996.3551753</v>
      </c>
      <c r="P78" s="33" t="n">
        <f aca="false">'2. The tape'!$C$17*(1+MIN(MAX($P$5,'3. Assumptions'!$B$11),'3. Assumptions'!$B$10))^INT(($A78-1)/4)/4*(1-'3. Assumptions'!$B$13)</f>
        <v>2998091.25</v>
      </c>
      <c r="Q78" s="33" t="n">
        <f aca="false">(1-'3. Assumptions'!$B$15)*SUMPRODUCT((('2. The tape'!$C$5:$C$13*'2. The tape'!$D$5:$D$13*(1-'2. The tape'!$J$5:$J$13)^($A78/4)*(1+$P$5)^($A78/4)*((1-'3. Assumptions'!$B$13)/($P$6)-'2. The tape'!$H$5:$H$13/12-'3. Assumptions'!$B$16)-'2. The tape'!$C$5:$C$13*'2. The tape'!$I$5:$I$13*(1+$P$5)^($A78/4))&gt;0)*('2. The tape'!$C$5:$C$13*'2. The tape'!$D$5:$D$13*(1-'2. The tape'!$J$5:$J$13)^($A78/4)*(1+$P$5)^($A78/4)*((1-'3. Assumptions'!$B$13)/($P$6)-'2. The tape'!$H$5:$H$13/12-'3. Assumptions'!$B$16)-'2. The tape'!$C$5:$C$13*'2. The tape'!$I$5:$I$13*(1+$P$5)^($A78/4)))</f>
        <v>39151057.7904456</v>
      </c>
      <c r="R78" s="33" t="n">
        <f aca="false">'2. The tape'!$C$17*(1+MIN(MAX($R$5,'3. Assumptions'!$B$11),'3. Assumptions'!$B$10))^INT(($A78-1)/4)/4*(1-'3. Assumptions'!$B$13)</f>
        <v>2998091.25</v>
      </c>
      <c r="S78" s="33" t="n">
        <f aca="false">(1-'3. Assumptions'!$B$15)*SUMPRODUCT((('2. The tape'!$C$5:$C$13*'2. The tape'!$D$5:$D$13*(1-'2. The tape'!$J$5:$J$13)^($A78/4)*(1+$R$5)^($A78/4)*((1-'3. Assumptions'!$B$13)/($R$6)-'2. The tape'!$H$5:$H$13/12-'3. Assumptions'!$B$16)-'2. The tape'!$C$5:$C$13*'2. The tape'!$I$5:$I$13*(1+$R$5)^($A78/4))&gt;0)*('2. The tape'!$C$5:$C$13*'2. The tape'!$D$5:$D$13*(1-'2. The tape'!$J$5:$J$13)^($A78/4)*(1+$R$5)^($A78/4)*((1-'3. Assumptions'!$B$13)/($R$6)-'2. The tape'!$H$5:$H$13/12-'3. Assumptions'!$B$16)-'2. The tape'!$C$5:$C$13*'2. The tape'!$I$5:$I$13*(1+$R$5)^($A78/4)))</f>
        <v>35510813.2464189</v>
      </c>
      <c r="T78" s="33" t="n">
        <f aca="false">'2. The tape'!$C$17*(1+MIN(MAX($T$5,'3. Assumptions'!$B$11),'3. Assumptions'!$B$10))^INT(($A78-1)/4)/4*(1-'3. Assumptions'!$B$13)</f>
        <v>2998091.25</v>
      </c>
      <c r="U78" s="33" t="n">
        <f aca="false">(1-'3. Assumptions'!$B$15)*SUMPRODUCT((('2. The tape'!$C$5:$C$13*'2. The tape'!$D$5:$D$13*(1-'2. The tape'!$J$5:$J$13)^($A78/4)*(1+$T$5)^($A78/4)*((1-'3. Assumptions'!$B$13)/($T$6)-'2. The tape'!$H$5:$H$13/12-'3. Assumptions'!$B$16)-'2. The tape'!$C$5:$C$13*'2. The tape'!$I$5:$I$13*(1+$T$5)^($A78/4))&gt;0)*('2. The tape'!$C$5:$C$13*'2. The tape'!$D$5:$D$13*(1-'2. The tape'!$J$5:$J$13)^($A78/4)*(1+$T$5)^($A78/4)*((1-'3. Assumptions'!$B$13)/($T$6)-'2. The tape'!$H$5:$H$13/12-'3. Assumptions'!$B$16)-'2. The tape'!$C$5:$C$13*'2. The tape'!$I$5:$I$13*(1+$T$5)^($A78/4)))</f>
        <v>35416640.1822579</v>
      </c>
      <c r="V78" s="33" t="n">
        <f aca="false">'2. The tape'!$C$17*(1+MIN(MAX($V$5,'3. Assumptions'!$B$11),'3. Assumptions'!$B$10))^INT(($A78-1)/4)/4*(1-'3. Assumptions'!$B$13)</f>
        <v>2998091.25</v>
      </c>
      <c r="W78" s="33" t="n">
        <f aca="false">(1-'3. Assumptions'!$B$15)*SUMPRODUCT((('2. The tape'!$C$5:$C$13*'2. The tape'!$D$5:$D$13*(1-'2. The tape'!$J$5:$J$13)^($A78/4)*(1+$V$5)^($A78/4)*((1-'3. Assumptions'!$B$13)/($V$6)-'2. The tape'!$H$5:$H$13/12-'3. Assumptions'!$B$16)-'2. The tape'!$C$5:$C$13*'2. The tape'!$I$5:$I$13*(1+$V$5)^($A78/4))&gt;0)*('2. The tape'!$C$5:$C$13*'2. The tape'!$D$5:$D$13*(1-'2. The tape'!$J$5:$J$13)^($A78/4)*(1+$V$5)^($A78/4)*((1-'3. Assumptions'!$B$13)/($V$6)-'2. The tape'!$H$5:$H$13/12-'3. Assumptions'!$B$16)-'2. The tape'!$C$5:$C$13*'2. The tape'!$I$5:$I$13*(1+$V$5)^($A78/4)))</f>
        <v>35420419.4512492</v>
      </c>
      <c r="X78" s="33" t="n">
        <f aca="false">'2. The tape'!$C$17*(1+MIN(MAX($X$5,'3. Assumptions'!$B$11),'3. Assumptions'!$B$10))^INT(($A78-1)/4)/4*(1-'3. Assumptions'!$B$13)</f>
        <v>2998091.25</v>
      </c>
      <c r="Y78" s="33" t="n">
        <f aca="false">(1-'3. Assumptions'!$B$15)*SUMPRODUCT((('2. The tape'!$C$5:$C$13*'2. The tape'!$D$5:$D$13*(1-'2. The tape'!$J$5:$J$13)^($A78/4)*(1+$X$5)^($A78/4)*((1-'3. Assumptions'!$B$13)/($X$6)-'2. The tape'!$H$5:$H$13/12-'3. Assumptions'!$B$16)-'2. The tape'!$C$5:$C$13*'2. The tape'!$I$5:$I$13*(1+$X$5)^($A78/4))&gt;0)*('2. The tape'!$C$5:$C$13*'2. The tape'!$D$5:$D$13*(1-'2. The tape'!$J$5:$J$13)^($A78/4)*(1+$X$5)^($A78/4)*((1-'3. Assumptions'!$B$13)/($X$6)-'2. The tape'!$H$5:$H$13/12-'3. Assumptions'!$B$16)-'2. The tape'!$C$5:$C$13*'2. The tape'!$I$5:$I$13*(1+$X$5)^($A78/4)))</f>
        <v>35420415.4769144</v>
      </c>
      <c r="Z78" s="33" t="n">
        <f aca="false">'2. The tape'!$C$17*(1+MIN(MAX($Z$5,'3. Assumptions'!$B$11),'3. Assumptions'!$B$10))^INT(($A78-1)/4)/4*(1-'3. Assumptions'!$B$13)</f>
        <v>2998091.25</v>
      </c>
      <c r="AA78" s="33" t="n">
        <f aca="false">(1-'3. Assumptions'!$B$15)*SUMPRODUCT((('2. The tape'!$C$5:$C$13*'2. The tape'!$D$5:$D$13*(1-'2. The tape'!$J$5:$J$13)^($A78/4)*(1+$Z$5)^($A78/4)*((1-'3. Assumptions'!$B$13)/($Z$6)-'2. The tape'!$H$5:$H$13/12-'3. Assumptions'!$B$16)-'2. The tape'!$C$5:$C$13*'2. The tape'!$I$5:$I$13*(1+$Z$5)^($A78/4))&gt;0)*('2. The tape'!$C$5:$C$13*'2. The tape'!$D$5:$D$13*(1-'2. The tape'!$J$5:$J$13)^($A78/4)*(1+$Z$5)^($A78/4)*((1-'3. Assumptions'!$B$13)/($Z$6)-'2. The tape'!$H$5:$H$13/12-'3. Assumptions'!$B$16)-'2. The tape'!$C$5:$C$13*'2. The tape'!$I$5:$I$13*(1+$Z$5)^($A78/4)))</f>
        <v>35420415.4767395</v>
      </c>
      <c r="AB78" s="33" t="n">
        <f aca="false">'2. The tape'!$C$17*(1+MIN(MAX($AB$5,'3. Assumptions'!$B$11),'3. Assumptions'!$B$10))^INT(($A78-1)/4)/4*(1-'3. Assumptions'!$B$13)</f>
        <v>2998091.25</v>
      </c>
      <c r="AC78" s="33" t="n">
        <f aca="false">(1-'3. Assumptions'!$B$15)*SUMPRODUCT((('2. The tape'!$C$5:$C$13*'2. The tape'!$D$5:$D$13*(1-'2. The tape'!$J$5:$J$13)^($A78/4)*(1+$AB$5)^($A78/4)*((1-'3. Assumptions'!$B$13)/($AB$6)-'2. The tape'!$H$5:$H$13/12-'3. Assumptions'!$B$16)-'2. The tape'!$C$5:$C$13*'2. The tape'!$I$5:$I$13*(1+$AB$5)^($A78/4))&gt;0)*('2. The tape'!$C$5:$C$13*'2. The tape'!$D$5:$D$13*(1-'2. The tape'!$J$5:$J$13)^($A78/4)*(1+$AB$5)^($A78/4)*((1-'3. Assumptions'!$B$13)/($AB$6)-'2. The tape'!$H$5:$H$13/12-'3. Assumptions'!$B$16)-'2. The tape'!$C$5:$C$13*'2. The tape'!$I$5:$I$13*(1+$AB$5)^($A78/4)))</f>
        <v>35420415.4767395</v>
      </c>
      <c r="AD78" s="33" t="n">
        <f aca="false">'2. The tape'!$C$17*(1+MIN(MAX($AD$5,'3. Assumptions'!$B$11),'3. Assumptions'!$B$10))^INT(($A78-1)/4)/4*(1-'3. Assumptions'!$B$13)</f>
        <v>2998091.25</v>
      </c>
      <c r="AE78" s="33" t="n">
        <f aca="false">(1-'3. Assumptions'!$B$15)*SUMPRODUCT((('2. The tape'!$C$5:$C$13*'2. The tape'!$D$5:$D$13*(1-'2. The tape'!$J$5:$J$13)^($A78/4)*(1+$AD$5)^($A78/4)*((1-'3. Assumptions'!$B$13)/($AD$6)-'2. The tape'!$H$5:$H$13/12-'3. Assumptions'!$B$16)-'2. The tape'!$C$5:$C$13*'2. The tape'!$I$5:$I$13*(1+$AD$5)^($A78/4))&gt;0)*('2. The tape'!$C$5:$C$13*'2. The tape'!$D$5:$D$13*(1-'2. The tape'!$J$5:$J$13)^($A78/4)*(1+$AD$5)^($A78/4)*((1-'3. Assumptions'!$B$13)/($AD$6)-'2. The tape'!$H$5:$H$13/12-'3. Assumptions'!$B$16)-'2. The tape'!$C$5:$C$13*'2. The tape'!$I$5:$I$13*(1+$AD$5)^($A78/4)))</f>
        <v>35420415.4767395</v>
      </c>
      <c r="AF78" s="33" t="n">
        <f aca="false">'2. The tape'!$C$17*(1+MIN(MAX($AF$5,'3. Assumptions'!$B$11),'3. Assumptions'!$B$10))^INT(($A78-1)/4)/4*(1-'3. Assumptions'!$B$13)</f>
        <v>2998091.25</v>
      </c>
      <c r="AG78" s="33" t="n">
        <f aca="false">(1-'3. Assumptions'!$B$15)*SUMPRODUCT((('2. The tape'!$C$5:$C$13*'2. The tape'!$D$5:$D$13*(1-'2. The tape'!$J$5:$J$13)^($A78/4)*(1+$AF$5)^($A78/4)*((1-'3. Assumptions'!$B$13)/($AF$6)-'2. The tape'!$H$5:$H$13/12-'3. Assumptions'!$B$16)-'2. The tape'!$C$5:$C$13*'2. The tape'!$I$5:$I$13*(1+$AF$5)^($A78/4))&gt;0)*('2. The tape'!$C$5:$C$13*'2. The tape'!$D$5:$D$13*(1-'2. The tape'!$J$5:$J$13)^($A78/4)*(1+$AF$5)^($A78/4)*((1-'3. Assumptions'!$B$13)/($AF$6)-'2. The tape'!$H$5:$H$13/12-'3. Assumptions'!$B$16)-'2. The tape'!$C$5:$C$13*'2. The tape'!$I$5:$I$13*(1+$AF$5)^($A78/4)))</f>
        <v>35420415.4767395</v>
      </c>
      <c r="AH78" s="33" t="n">
        <f aca="false">'2. The tape'!$C$17*(1+MIN(MAX($AH$5,'3. Assumptions'!$B$11),'3. Assumptions'!$B$10))^INT(($A78-1)/4)/4*(1-'3. Assumptions'!$B$13)</f>
        <v>4155356.45026212</v>
      </c>
      <c r="AI78" s="33" t="n">
        <f aca="false">(1-'3. Assumptions'!$B$15)*SUMPRODUCT((('2. The tape'!$C$5:$C$13*'2. The tape'!$D$5:$D$13*(1-'2. The tape'!$J$5:$J$13)^($A78/4)*(1+$AH$5)^($A78/4)*((1-'3. Assumptions'!$B$13)/($AH$6)-'2. The tape'!$H$5:$H$13/12-'3. Assumptions'!$B$16)-'2. The tape'!$C$5:$C$13*'2. The tape'!$I$5:$I$13*(1+$AH$5)^($A78/4))&gt;0)*('2. The tape'!$C$5:$C$13*'2. The tape'!$D$5:$D$13*(1-'2. The tape'!$J$5:$J$13)^($A78/4)*(1+$AH$5)^($A78/4)*((1-'3. Assumptions'!$B$13)/($AH$6)-'2. The tape'!$H$5:$H$13/12-'3. Assumptions'!$B$16)-'2. The tape'!$C$5:$C$13*'2. The tape'!$I$5:$I$13*(1+$AH$5)^($A78/4)))</f>
        <v>152524525.743247</v>
      </c>
      <c r="AJ78" s="33" t="n">
        <f aca="false">'2. The tape'!$C$17*(1+MIN(MAX($AJ$5,'3. Assumptions'!$B$11),'3. Assumptions'!$B$10))^INT(($A78-1)/4)/4*(1-'3. Assumptions'!$B$13)</f>
        <v>4155356.45026212</v>
      </c>
      <c r="AK78" s="33" t="n">
        <f aca="false">(1-'3. Assumptions'!$B$15)*SUMPRODUCT((('2. The tape'!$C$5:$C$13*'2. The tape'!$D$5:$D$13*(1-'2. The tape'!$J$5:$J$13)^($A78/4)*(1+$AJ$5)^($A78/4)*((1-'3. Assumptions'!$B$13)/($AJ$6)-'2. The tape'!$H$5:$H$13/12-'3. Assumptions'!$B$16)-'2. The tape'!$C$5:$C$13*'2. The tape'!$I$5:$I$13*(1+$AJ$5)^($A78/4))&gt;0)*('2. The tape'!$C$5:$C$13*'2. The tape'!$D$5:$D$13*(1-'2. The tape'!$J$5:$J$13)^($A78/4)*(1+$AJ$5)^($A78/4)*((1-'3. Assumptions'!$B$13)/($AJ$6)-'2. The tape'!$H$5:$H$13/12-'3. Assumptions'!$B$16)-'2. The tape'!$C$5:$C$13*'2. The tape'!$I$5:$I$13*(1+$AJ$5)^($A78/4)))</f>
        <v>109536337.376085</v>
      </c>
      <c r="AL78" s="33" t="n">
        <f aca="false">'2. The tape'!$C$17*(1+MIN(MAX($AL$5,'3. Assumptions'!$B$11),'3. Assumptions'!$B$10))^INT(($A78-1)/4)/4*(1-'3. Assumptions'!$B$13)</f>
        <v>4155356.45026212</v>
      </c>
      <c r="AM78" s="33" t="n">
        <f aca="false">(1-'3. Assumptions'!$B$15)*SUMPRODUCT((('2. The tape'!$C$5:$C$13*'2. The tape'!$D$5:$D$13*(1-'2. The tape'!$J$5:$J$13)^($A78/4)*(1+$AL$5)^($A78/4)*((1-'3. Assumptions'!$B$13)/($AL$6)-'2. The tape'!$H$5:$H$13/12-'3. Assumptions'!$B$16)-'2. The tape'!$C$5:$C$13*'2. The tape'!$I$5:$I$13*(1+$AL$5)^($A78/4))&gt;0)*('2. The tape'!$C$5:$C$13*'2. The tape'!$D$5:$D$13*(1-'2. The tape'!$J$5:$J$13)^($A78/4)*(1+$AL$5)^($A78/4)*((1-'3. Assumptions'!$B$13)/($AL$6)-'2. The tape'!$H$5:$H$13/12-'3. Assumptions'!$B$16)-'2. The tape'!$C$5:$C$13*'2. The tape'!$I$5:$I$13*(1+$AL$5)^($A78/4)))</f>
        <v>126209024.659538</v>
      </c>
      <c r="AN78" s="33" t="n">
        <f aca="false">'2. The tape'!$C$17*(1+MIN(MAX($AN$5,'3. Assumptions'!$B$11),'3. Assumptions'!$B$10))^INT(($A78-1)/4)/4*(1-'3. Assumptions'!$B$13)</f>
        <v>4155356.45026212</v>
      </c>
      <c r="AO78" s="33" t="n">
        <f aca="false">(1-'3. Assumptions'!$B$15)*SUMPRODUCT((('2. The tape'!$C$5:$C$13*'2. The tape'!$D$5:$D$13*(1-'2. The tape'!$J$5:$J$13)^($A78/4)*(1+$AN$5)^($A78/4)*((1-'3. Assumptions'!$B$13)/($AN$6)-'2. The tape'!$H$5:$H$13/12-'3. Assumptions'!$B$16)-'2. The tape'!$C$5:$C$13*'2. The tape'!$I$5:$I$13*(1+$AN$5)^($A78/4))&gt;0)*('2. The tape'!$C$5:$C$13*'2. The tape'!$D$5:$D$13*(1-'2. The tape'!$J$5:$J$13)^($A78/4)*(1+$AN$5)^($A78/4)*((1-'3. Assumptions'!$B$13)/($AN$6)-'2. The tape'!$H$5:$H$13/12-'3. Assumptions'!$B$16)-'2. The tape'!$C$5:$C$13*'2. The tape'!$I$5:$I$13*(1+$AN$5)^($A78/4)))</f>
        <v>129330663.723211</v>
      </c>
      <c r="AP78" s="33" t="n">
        <f aca="false">'2. The tape'!$C$17*(1+MIN(MAX($AP$5,'3. Assumptions'!$B$11),'3. Assumptions'!$B$10))^INT(($A78-1)/4)/4*(1-'3. Assumptions'!$B$13)</f>
        <v>4155356.45026212</v>
      </c>
      <c r="AQ78" s="33" t="n">
        <f aca="false">(1-'3. Assumptions'!$B$15)*SUMPRODUCT((('2. The tape'!$C$5:$C$13*'2. The tape'!$D$5:$D$13*(1-'2. The tape'!$J$5:$J$13)^($A78/4)*(1+$AP$5)^($A78/4)*((1-'3. Assumptions'!$B$13)/($AP$6)-'2. The tape'!$H$5:$H$13/12-'3. Assumptions'!$B$16)-'2. The tape'!$C$5:$C$13*'2. The tape'!$I$5:$I$13*(1+$AP$5)^($A78/4))&gt;0)*('2. The tape'!$C$5:$C$13*'2. The tape'!$D$5:$D$13*(1-'2. The tape'!$J$5:$J$13)^($A78/4)*(1+$AP$5)^($A78/4)*((1-'3. Assumptions'!$B$13)/($AP$6)-'2. The tape'!$H$5:$H$13/12-'3. Assumptions'!$B$16)-'2. The tape'!$C$5:$C$13*'2. The tape'!$I$5:$I$13*(1+$AP$5)^($A78/4)))</f>
        <v>128945303.786521</v>
      </c>
      <c r="AR78" s="33" t="n">
        <f aca="false">'2. The tape'!$C$17*(1+MIN(MAX($AR$5,'3. Assumptions'!$B$11),'3. Assumptions'!$B$10))^INT(($A78-1)/4)/4*(1-'3. Assumptions'!$B$13)</f>
        <v>4155356.45026212</v>
      </c>
      <c r="AS78" s="33" t="n">
        <f aca="false">(1-'3. Assumptions'!$B$15)*SUMPRODUCT((('2. The tape'!$C$5:$C$13*'2. The tape'!$D$5:$D$13*(1-'2. The tape'!$J$5:$J$13)^($A78/4)*(1+$AR$5)^($A78/4)*((1-'3. Assumptions'!$B$13)/($AR$6)-'2. The tape'!$H$5:$H$13/12-'3. Assumptions'!$B$16)-'2. The tape'!$C$5:$C$13*'2. The tape'!$I$5:$I$13*(1+$AR$5)^($A78/4))&gt;0)*('2. The tape'!$C$5:$C$13*'2. The tape'!$D$5:$D$13*(1-'2. The tape'!$J$5:$J$13)^($A78/4)*(1+$AR$5)^($A78/4)*((1-'3. Assumptions'!$B$13)/($AR$6)-'2. The tape'!$H$5:$H$13/12-'3. Assumptions'!$B$16)-'2. The tape'!$C$5:$C$13*'2. The tape'!$I$5:$I$13*(1+$AR$5)^($A78/4)))</f>
        <v>128951769.574289</v>
      </c>
      <c r="AT78" s="33" t="n">
        <f aca="false">'2. The tape'!$C$17*(1+MIN(MAX($AT$5,'3. Assumptions'!$B$11),'3. Assumptions'!$B$10))^INT(($A78-1)/4)/4*(1-'3. Assumptions'!$B$13)</f>
        <v>4155356.45026212</v>
      </c>
      <c r="AU78" s="33" t="n">
        <f aca="false">(1-'3. Assumptions'!$B$15)*SUMPRODUCT((('2. The tape'!$C$5:$C$13*'2. The tape'!$D$5:$D$13*(1-'2. The tape'!$J$5:$J$13)^($A78/4)*(1+$AT$5)^($A78/4)*((1-'3. Assumptions'!$B$13)/($AT$6)-'2. The tape'!$H$5:$H$13/12-'3. Assumptions'!$B$16)-'2. The tape'!$C$5:$C$13*'2. The tape'!$I$5:$I$13*(1+$AT$5)^($A78/4))&gt;0)*('2. The tape'!$C$5:$C$13*'2. The tape'!$D$5:$D$13*(1-'2. The tape'!$J$5:$J$13)^($A78/4)*(1+$AT$5)^($A78/4)*((1-'3. Assumptions'!$B$13)/($AT$6)-'2. The tape'!$H$5:$H$13/12-'3. Assumptions'!$B$16)-'2. The tape'!$C$5:$C$13*'2. The tape'!$I$5:$I$13*(1+$AT$5)^($A78/4)))</f>
        <v>128951784.631482</v>
      </c>
      <c r="AV78" s="33" t="n">
        <f aca="false">'2. The tape'!$C$17*(1+MIN(MAX($AV$5,'3. Assumptions'!$B$11),'3. Assumptions'!$B$10))^INT(($A78-1)/4)/4*(1-'3. Assumptions'!$B$13)</f>
        <v>4155356.45026212</v>
      </c>
      <c r="AW78" s="33" t="n">
        <f aca="false">(1-'3. Assumptions'!$B$15)*SUMPRODUCT((('2. The tape'!$C$5:$C$13*'2. The tape'!$D$5:$D$13*(1-'2. The tape'!$J$5:$J$13)^($A78/4)*(1+$AV$5)^($A78/4)*((1-'3. Assumptions'!$B$13)/($AV$6)-'2. The tape'!$H$5:$H$13/12-'3. Assumptions'!$B$16)-'2. The tape'!$C$5:$C$13*'2. The tape'!$I$5:$I$13*(1+$AV$5)^($A78/4))&gt;0)*('2. The tape'!$C$5:$C$13*'2. The tape'!$D$5:$D$13*(1-'2. The tape'!$J$5:$J$13)^($A78/4)*(1+$AV$5)^($A78/4)*((1-'3. Assumptions'!$B$13)/($AV$6)-'2. The tape'!$H$5:$H$13/12-'3. Assumptions'!$B$16)-'2. The tape'!$C$5:$C$13*'2. The tape'!$I$5:$I$13*(1+$AV$5)^($A78/4)))</f>
        <v>128951784.630883</v>
      </c>
      <c r="AX78" s="33" t="n">
        <f aca="false">'2. The tape'!$C$17*(1+MIN(MAX($AX$5,'3. Assumptions'!$B$11),'3. Assumptions'!$B$10))^INT(($A78-1)/4)/4*(1-'3. Assumptions'!$B$13)</f>
        <v>4155356.45026212</v>
      </c>
      <c r="AY78" s="33" t="n">
        <f aca="false">(1-'3. Assumptions'!$B$15)*SUMPRODUCT((('2. The tape'!$C$5:$C$13*'2. The tape'!$D$5:$D$13*(1-'2. The tape'!$J$5:$J$13)^($A78/4)*(1+$AX$5)^($A78/4)*((1-'3. Assumptions'!$B$13)/($AX$6)-'2. The tape'!$H$5:$H$13/12-'3. Assumptions'!$B$16)-'2. The tape'!$C$5:$C$13*'2. The tape'!$I$5:$I$13*(1+$AX$5)^($A78/4))&gt;0)*('2. The tape'!$C$5:$C$13*'2. The tape'!$D$5:$D$13*(1-'2. The tape'!$J$5:$J$13)^($A78/4)*(1+$AX$5)^($A78/4)*((1-'3. Assumptions'!$B$13)/($AX$6)-'2. The tape'!$H$5:$H$13/12-'3. Assumptions'!$B$16)-'2. The tape'!$C$5:$C$13*'2. The tape'!$I$5:$I$13*(1+$AX$5)^($A78/4)))</f>
        <v>128951784.630883</v>
      </c>
      <c r="AZ78" s="33" t="n">
        <f aca="false">'2. The tape'!$C$17*(1+MIN(MAX($AZ$5,'3. Assumptions'!$B$11),'3. Assumptions'!$B$10))^INT(($A78-1)/4)/4*(1-'3. Assumptions'!$B$13)</f>
        <v>4155356.45026212</v>
      </c>
      <c r="BA78" s="33" t="n">
        <f aca="false">(1-'3. Assumptions'!$B$15)*SUMPRODUCT((('2. The tape'!$C$5:$C$13*'2. The tape'!$D$5:$D$13*(1-'2. The tape'!$J$5:$J$13)^($A78/4)*(1+$AZ$5)^($A78/4)*((1-'3. Assumptions'!$B$13)/($AZ$6)-'2. The tape'!$H$5:$H$13/12-'3. Assumptions'!$B$16)-'2. The tape'!$C$5:$C$13*'2. The tape'!$I$5:$I$13*(1+$AZ$5)^($A78/4))&gt;0)*('2. The tape'!$C$5:$C$13*'2. The tape'!$D$5:$D$13*(1-'2. The tape'!$J$5:$J$13)^($A78/4)*(1+$AZ$5)^($A78/4)*((1-'3. Assumptions'!$B$13)/($AZ$6)-'2. The tape'!$H$5:$H$13/12-'3. Assumptions'!$B$16)-'2. The tape'!$C$5:$C$13*'2. The tape'!$I$5:$I$13*(1+$AZ$5)^($A78/4)))</f>
        <v>128951784.630883</v>
      </c>
    </row>
    <row r="79" customFormat="false" ht="15" hidden="false" customHeight="false" outlineLevel="0" collapsed="false">
      <c r="A79" s="20" t="n">
        <v>64</v>
      </c>
      <c r="B79" s="33" t="n">
        <f aca="false">'2. The tape'!$C$17*(1+MIN(MAX($B$5,'3. Assumptions'!$B$11),'3. Assumptions'!$B$10))^INT(($A79-1)/4)/4*(1-'3. Assumptions'!$B$13)</f>
        <v>4155356.45026212</v>
      </c>
      <c r="C79" s="33" t="n">
        <f aca="false">(1-'3. Assumptions'!$B$15)*SUMPRODUCT((('2. The tape'!$C$5:$C$13*'2. The tape'!$D$5:$D$13*(1-'2. The tape'!$J$5:$J$13)^($A79/4)*(1+$B$5)^($A79/4)*((1-'3. Assumptions'!$B$13)/($B$6)-'2. The tape'!$H$5:$H$13/12-'3. Assumptions'!$B$16)-'2. The tape'!$C$5:$C$13*'2. The tape'!$I$5:$I$13*(1+$B$5)^($A79/4))&gt;0)*('2. The tape'!$C$5:$C$13*'2. The tape'!$D$5:$D$13*(1-'2. The tape'!$J$5:$J$13)^($A79/4)*(1+$B$5)^($A79/4)*((1-'3. Assumptions'!$B$13)/($B$6)-'2. The tape'!$H$5:$H$13/12-'3. Assumptions'!$B$16)-'2. The tape'!$C$5:$C$13*'2. The tape'!$I$5:$I$13*(1+$B$5)^($A79/4)))</f>
        <v>75714417.9372775</v>
      </c>
      <c r="D79" s="33" t="n">
        <f aca="false">'2. The tape'!$C$17*(1+MIN(MAX($D$5,'3. Assumptions'!$B$11),'3. Assumptions'!$B$10))^INT(($A79-1)/4)/4*(1-'3. Assumptions'!$B$13)</f>
        <v>4670928.47949586</v>
      </c>
      <c r="E79" s="33" t="n">
        <f aca="false">(1-'3. Assumptions'!$B$15)*SUMPRODUCT((('2. The tape'!$C$5:$C$13*'2. The tape'!$D$5:$D$13*(1-'2. The tape'!$J$5:$J$13)^($A79/4)*(1+$D$5)^($A79/4)*((1-'3. Assumptions'!$B$13)/($D$6)-'2. The tape'!$H$5:$H$13/12-'3. Assumptions'!$B$16)-'2. The tape'!$C$5:$C$13*'2. The tape'!$I$5:$I$13*(1+$D$5)^($A79/4))&gt;0)*('2. The tape'!$C$5:$C$13*'2. The tape'!$D$5:$D$13*(1-'2. The tape'!$J$5:$J$13)^($A79/4)*(1+$D$5)^($A79/4)*((1-'3. Assumptions'!$B$13)/($D$6)-'2. The tape'!$H$5:$H$13/12-'3. Assumptions'!$B$16)-'2. The tape'!$C$5:$C$13*'2. The tape'!$I$5:$I$13*(1+$D$5)^($A79/4)))</f>
        <v>92685084.8645373</v>
      </c>
      <c r="F79" s="33" t="n">
        <f aca="false">'2. The tape'!$C$17*(1+MIN(MAX($F$5,'3. Assumptions'!$B$11),'3. Assumptions'!$B$10))^INT(($A79-1)/4)/4*(1-'3. Assumptions'!$B$13)</f>
        <v>3480690.86661643</v>
      </c>
      <c r="G79" s="33" t="n">
        <f aca="false">(1-'3. Assumptions'!$B$15)*SUMPRODUCT((('2. The tape'!$C$5:$C$13*'2. The tape'!$D$5:$D$13*(1-'2. The tape'!$J$5:$J$13)^($A79/4)*(1+$F$5)^($A79/4)*((1-'3. Assumptions'!$B$13)/($F$6)-'2. The tape'!$H$5:$H$13/12-'3. Assumptions'!$B$16)-'2. The tape'!$C$5:$C$13*'2. The tape'!$I$5:$I$13*(1+$F$5)^($A79/4))&gt;0)*('2. The tape'!$C$5:$C$13*'2. The tape'!$D$5:$D$13*(1-'2. The tape'!$J$5:$J$13)^($A79/4)*(1+$F$5)^($A79/4)*((1-'3. Assumptions'!$B$13)/($F$6)-'2. The tape'!$H$5:$H$13/12-'3. Assumptions'!$B$16)-'2. The tape'!$C$5:$C$13*'2. The tape'!$I$5:$I$13*(1+$F$5)^($A79/4)))</f>
        <v>62676716.3741682</v>
      </c>
      <c r="H79" s="33" t="n">
        <f aca="false">'2. The tape'!$C$17*(1+MIN(MAX($H$5,'3. Assumptions'!$B$11),'3. Assumptions'!$B$10))^INT(($A79-1)/4)/4*(1-'3. Assumptions'!$B$13)</f>
        <v>4670928.47949586</v>
      </c>
      <c r="I79" s="33" t="n">
        <f aca="false">(1-'3. Assumptions'!$B$15)*SUMPRODUCT((('2. The tape'!$C$5:$C$13*'2. The tape'!$D$5:$D$13*(1-'2. The tape'!$J$5:$J$13)^($A79/4)*(1+$H$5)^($A79/4)*((1-'3. Assumptions'!$B$13)/($H$6)-'2. The tape'!$H$5:$H$13/12-'3. Assumptions'!$B$16)-'2. The tape'!$C$5:$C$13*'2. The tape'!$I$5:$I$13*(1+$H$5)^($A79/4))&gt;0)*('2. The tape'!$C$5:$C$13*'2. The tape'!$D$5:$D$13*(1-'2. The tape'!$J$5:$J$13)^($A79/4)*(1+$H$5)^($A79/4)*((1-'3. Assumptions'!$B$13)/($H$6)-'2. The tape'!$H$5:$H$13/12-'3. Assumptions'!$B$16)-'2. The tape'!$C$5:$C$13*'2. The tape'!$I$5:$I$13*(1+$H$5)^($A79/4)))</f>
        <v>92685084.8645373</v>
      </c>
      <c r="J79" s="33" t="n">
        <f aca="false">'2. The tape'!$C$17*(1+MIN(MAX($J$5,'3. Assumptions'!$B$11),'3. Assumptions'!$B$10))^INT(($A79-1)/4)/4*(1-'3. Assumptions'!$B$13)</f>
        <v>4155356.45026212</v>
      </c>
      <c r="K79" s="33" t="n">
        <f aca="false">(1-'3. Assumptions'!$B$15)*SUMPRODUCT((('2. The tape'!$C$5:$C$13*'2. The tape'!$D$5:$D$13*(1-'2. The tape'!$J$5:$J$13)^($A79/4)*(1+$J$5)^($A79/4)*((1-'3. Assumptions'!$B$13)/($J$6)-'2. The tape'!$H$5:$H$13/12-'3. Assumptions'!$B$16)-'2. The tape'!$C$5:$C$13*'2. The tape'!$I$5:$I$13*(1+$J$5)^($A79/4))&gt;0)*('2. The tape'!$C$5:$C$13*'2. The tape'!$D$5:$D$13*(1-'2. The tape'!$J$5:$J$13)^($A79/4)*(1+$J$5)^($A79/4)*((1-'3. Assumptions'!$B$13)/($J$6)-'2. The tape'!$H$5:$H$13/12-'3. Assumptions'!$B$16)-'2. The tape'!$C$5:$C$13*'2. The tape'!$I$5:$I$13*(1+$J$5)^($A79/4)))</f>
        <v>61665981.6953585</v>
      </c>
      <c r="L79" s="33" t="n">
        <f aca="false">'2. The tape'!$C$17*(1+MIN(MAX($L$5,'3. Assumptions'!$B$11),'3. Assumptions'!$B$10))^INT(($A79-1)/4)/4*(1-'3. Assumptions'!$B$13)</f>
        <v>4670928.47949586</v>
      </c>
      <c r="M79" s="33" t="n">
        <f aca="false">(1-'3. Assumptions'!$B$15)*SUMPRODUCT((('2. The tape'!$C$5:$C$13*'2. The tape'!$D$5:$D$13*(1-'2. The tape'!$J$5:$J$13)^($A79/4)*(1+$L$5)^($A79/4)*((1-'3. Assumptions'!$B$13)/($L$6)-'2. The tape'!$H$5:$H$13/12-'3. Assumptions'!$B$16)-'2. The tape'!$C$5:$C$13*'2. The tape'!$I$5:$I$13*(1+$L$5)^($A79/4))&gt;0)*('2. The tape'!$C$5:$C$13*'2. The tape'!$D$5:$D$13*(1-'2. The tape'!$J$5:$J$13)^($A79/4)*(1+$L$5)^($A79/4)*((1-'3. Assumptions'!$B$13)/($L$6)-'2. The tape'!$H$5:$H$13/12-'3. Assumptions'!$B$16)-'2. The tape'!$C$5:$C$13*'2. The tape'!$I$5:$I$13*(1+$L$5)^($A79/4)))</f>
        <v>3556787279.47061</v>
      </c>
      <c r="N79" s="33" t="n">
        <f aca="false">'2. The tape'!$C$17*(1+MIN(MAX($N$5,'3. Assumptions'!$B$11),'3. Assumptions'!$B$10))^INT(($A79-1)/4)/4*(1-'3. Assumptions'!$B$13)</f>
        <v>2998091.25</v>
      </c>
      <c r="O79" s="33" t="n">
        <f aca="false">(1-'3. Assumptions'!$B$15)*SUMPRODUCT((('2. The tape'!$C$5:$C$13*'2. The tape'!$D$5:$D$13*(1-'2. The tape'!$J$5:$J$13)^($A79/4)*(1+$N$5)^($A79/4)*((1-'3. Assumptions'!$B$13)/($N$6)-'2. The tape'!$H$5:$H$13/12-'3. Assumptions'!$B$16)-'2. The tape'!$C$5:$C$13*'2. The tape'!$I$5:$I$13*(1+$N$5)^($A79/4))&gt;0)*('2. The tape'!$C$5:$C$13*'2. The tape'!$D$5:$D$13*(1-'2. The tape'!$J$5:$J$13)^($A79/4)*(1+$N$5)^($A79/4)*((1-'3. Assumptions'!$B$13)/($N$6)-'2. The tape'!$H$5:$H$13/12-'3. Assumptions'!$B$16)-'2. The tape'!$C$5:$C$13*'2. The tape'!$I$5:$I$13*(1+$N$5)^($A79/4)))</f>
        <v>32833108.6247802</v>
      </c>
      <c r="P79" s="33" t="n">
        <f aca="false">'2. The tape'!$C$17*(1+MIN(MAX($P$5,'3. Assumptions'!$B$11),'3. Assumptions'!$B$10))^INT(($A79-1)/4)/4*(1-'3. Assumptions'!$B$13)</f>
        <v>2998091.25</v>
      </c>
      <c r="Q79" s="33" t="n">
        <f aca="false">(1-'3. Assumptions'!$B$15)*SUMPRODUCT((('2. The tape'!$C$5:$C$13*'2. The tape'!$D$5:$D$13*(1-'2. The tape'!$J$5:$J$13)^($A79/4)*(1+$P$5)^($A79/4)*((1-'3. Assumptions'!$B$13)/($P$6)-'2. The tape'!$H$5:$H$13/12-'3. Assumptions'!$B$16)-'2. The tape'!$C$5:$C$13*'2. The tape'!$I$5:$I$13*(1+$P$5)^($A79/4))&gt;0)*('2. The tape'!$C$5:$C$13*'2. The tape'!$D$5:$D$13*(1-'2. The tape'!$J$5:$J$13)^($A79/4)*(1+$P$5)^($A79/4)*((1-'3. Assumptions'!$B$13)/($P$6)-'2. The tape'!$H$5:$H$13/12-'3. Assumptions'!$B$16)-'2. The tape'!$C$5:$C$13*'2. The tape'!$I$5:$I$13*(1+$P$5)^($A79/4)))</f>
        <v>38688462.0850291</v>
      </c>
      <c r="R79" s="33" t="n">
        <f aca="false">'2. The tape'!$C$17*(1+MIN(MAX($R$5,'3. Assumptions'!$B$11),'3. Assumptions'!$B$10))^INT(($A79-1)/4)/4*(1-'3. Assumptions'!$B$13)</f>
        <v>2998091.25</v>
      </c>
      <c r="S79" s="33" t="n">
        <f aca="false">(1-'3. Assumptions'!$B$15)*SUMPRODUCT((('2. The tape'!$C$5:$C$13*'2. The tape'!$D$5:$D$13*(1-'2. The tape'!$J$5:$J$13)^($A79/4)*(1+$R$5)^($A79/4)*((1-'3. Assumptions'!$B$13)/($R$6)-'2. The tape'!$H$5:$H$13/12-'3. Assumptions'!$B$16)-'2. The tape'!$C$5:$C$13*'2. The tape'!$I$5:$I$13*(1+$R$5)^($A79/4))&gt;0)*('2. The tape'!$C$5:$C$13*'2. The tape'!$D$5:$D$13*(1-'2. The tape'!$J$5:$J$13)^($A79/4)*(1+$R$5)^($A79/4)*((1-'3. Assumptions'!$B$13)/($R$6)-'2. The tape'!$H$5:$H$13/12-'3. Assumptions'!$B$16)-'2. The tape'!$C$5:$C$13*'2. The tape'!$I$5:$I$13*(1+$R$5)^($A79/4)))</f>
        <v>35036913.4312219</v>
      </c>
      <c r="T79" s="33" t="n">
        <f aca="false">'2. The tape'!$C$17*(1+MIN(MAX($T$5,'3. Assumptions'!$B$11),'3. Assumptions'!$B$10))^INT(($A79-1)/4)/4*(1-'3. Assumptions'!$B$13)</f>
        <v>2998091.25</v>
      </c>
      <c r="U79" s="33" t="n">
        <f aca="false">(1-'3. Assumptions'!$B$15)*SUMPRODUCT((('2. The tape'!$C$5:$C$13*'2. The tape'!$D$5:$D$13*(1-'2. The tape'!$J$5:$J$13)^($A79/4)*(1+$T$5)^($A79/4)*((1-'3. Assumptions'!$B$13)/($T$6)-'2. The tape'!$H$5:$H$13/12-'3. Assumptions'!$B$16)-'2. The tape'!$C$5:$C$13*'2. The tape'!$I$5:$I$13*(1+$T$5)^($A79/4))&gt;0)*('2. The tape'!$C$5:$C$13*'2. The tape'!$D$5:$D$13*(1-'2. The tape'!$J$5:$J$13)^($A79/4)*(1+$T$5)^($A79/4)*((1-'3. Assumptions'!$B$13)/($T$6)-'2. The tape'!$H$5:$H$13/12-'3. Assumptions'!$B$16)-'2. The tape'!$C$5:$C$13*'2. The tape'!$I$5:$I$13*(1+$T$5)^($A79/4)))</f>
        <v>34942524.2542983</v>
      </c>
      <c r="V79" s="33" t="n">
        <f aca="false">'2. The tape'!$C$17*(1+MIN(MAX($V$5,'3. Assumptions'!$B$11),'3. Assumptions'!$B$10))^INT(($A79-1)/4)/4*(1-'3. Assumptions'!$B$13)</f>
        <v>2998091.25</v>
      </c>
      <c r="W79" s="33" t="n">
        <f aca="false">(1-'3. Assumptions'!$B$15)*SUMPRODUCT((('2. The tape'!$C$5:$C$13*'2. The tape'!$D$5:$D$13*(1-'2. The tape'!$J$5:$J$13)^($A79/4)*(1+$V$5)^($A79/4)*((1-'3. Assumptions'!$B$13)/($V$6)-'2. The tape'!$H$5:$H$13/12-'3. Assumptions'!$B$16)-'2. The tape'!$C$5:$C$13*'2. The tape'!$I$5:$I$13*(1+$V$5)^($A79/4))&gt;0)*('2. The tape'!$C$5:$C$13*'2. The tape'!$D$5:$D$13*(1-'2. The tape'!$J$5:$J$13)^($A79/4)*(1+$V$5)^($A79/4)*((1-'3. Assumptions'!$B$13)/($V$6)-'2. The tape'!$H$5:$H$13/12-'3. Assumptions'!$B$16)-'2. The tape'!$C$5:$C$13*'2. The tape'!$I$5:$I$13*(1+$V$5)^($A79/4)))</f>
        <v>34946312.1194746</v>
      </c>
      <c r="X79" s="33" t="n">
        <f aca="false">'2. The tape'!$C$17*(1+MIN(MAX($X$5,'3. Assumptions'!$B$11),'3. Assumptions'!$B$10))^INT(($A79-1)/4)/4*(1-'3. Assumptions'!$B$13)</f>
        <v>2998091.25</v>
      </c>
      <c r="Y79" s="33" t="n">
        <f aca="false">(1-'3. Assumptions'!$B$15)*SUMPRODUCT((('2. The tape'!$C$5:$C$13*'2. The tape'!$D$5:$D$13*(1-'2. The tape'!$J$5:$J$13)^($A79/4)*(1+$X$5)^($A79/4)*((1-'3. Assumptions'!$B$13)/($X$6)-'2. The tape'!$H$5:$H$13/12-'3. Assumptions'!$B$16)-'2. The tape'!$C$5:$C$13*'2. The tape'!$I$5:$I$13*(1+$X$5)^($A79/4))&gt;0)*('2. The tape'!$C$5:$C$13*'2. The tape'!$D$5:$D$13*(1-'2. The tape'!$J$5:$J$13)^($A79/4)*(1+$X$5)^($A79/4)*((1-'3. Assumptions'!$B$13)/($X$6)-'2. The tape'!$H$5:$H$13/12-'3. Assumptions'!$B$16)-'2. The tape'!$C$5:$C$13*'2. The tape'!$I$5:$I$13*(1+$X$5)^($A79/4)))</f>
        <v>34946308.1360966</v>
      </c>
      <c r="Z79" s="33" t="n">
        <f aca="false">'2. The tape'!$C$17*(1+MIN(MAX($Z$5,'3. Assumptions'!$B$11),'3. Assumptions'!$B$10))^INT(($A79-1)/4)/4*(1-'3. Assumptions'!$B$13)</f>
        <v>2998091.25</v>
      </c>
      <c r="AA79" s="33" t="n">
        <f aca="false">(1-'3. Assumptions'!$B$15)*SUMPRODUCT((('2. The tape'!$C$5:$C$13*'2. The tape'!$D$5:$D$13*(1-'2. The tape'!$J$5:$J$13)^($A79/4)*(1+$Z$5)^($A79/4)*((1-'3. Assumptions'!$B$13)/($Z$6)-'2. The tape'!$H$5:$H$13/12-'3. Assumptions'!$B$16)-'2. The tape'!$C$5:$C$13*'2. The tape'!$I$5:$I$13*(1+$Z$5)^($A79/4))&gt;0)*('2. The tape'!$C$5:$C$13*'2. The tape'!$D$5:$D$13*(1-'2. The tape'!$J$5:$J$13)^($A79/4)*(1+$Z$5)^($A79/4)*((1-'3. Assumptions'!$B$13)/($Z$6)-'2. The tape'!$H$5:$H$13/12-'3. Assumptions'!$B$16)-'2. The tape'!$C$5:$C$13*'2. The tape'!$I$5:$I$13*(1+$Z$5)^($A79/4)))</f>
        <v>34946308.1359213</v>
      </c>
      <c r="AB79" s="33" t="n">
        <f aca="false">'2. The tape'!$C$17*(1+MIN(MAX($AB$5,'3. Assumptions'!$B$11),'3. Assumptions'!$B$10))^INT(($A79-1)/4)/4*(1-'3. Assumptions'!$B$13)</f>
        <v>2998091.25</v>
      </c>
      <c r="AC79" s="33" t="n">
        <f aca="false">(1-'3. Assumptions'!$B$15)*SUMPRODUCT((('2. The tape'!$C$5:$C$13*'2. The tape'!$D$5:$D$13*(1-'2. The tape'!$J$5:$J$13)^($A79/4)*(1+$AB$5)^($A79/4)*((1-'3. Assumptions'!$B$13)/($AB$6)-'2. The tape'!$H$5:$H$13/12-'3. Assumptions'!$B$16)-'2. The tape'!$C$5:$C$13*'2. The tape'!$I$5:$I$13*(1+$AB$5)^($A79/4))&gt;0)*('2. The tape'!$C$5:$C$13*'2. The tape'!$D$5:$D$13*(1-'2. The tape'!$J$5:$J$13)^($A79/4)*(1+$AB$5)^($A79/4)*((1-'3. Assumptions'!$B$13)/($AB$6)-'2. The tape'!$H$5:$H$13/12-'3. Assumptions'!$B$16)-'2. The tape'!$C$5:$C$13*'2. The tape'!$I$5:$I$13*(1+$AB$5)^($A79/4)))</f>
        <v>34946308.1359213</v>
      </c>
      <c r="AD79" s="33" t="n">
        <f aca="false">'2. The tape'!$C$17*(1+MIN(MAX($AD$5,'3. Assumptions'!$B$11),'3. Assumptions'!$B$10))^INT(($A79-1)/4)/4*(1-'3. Assumptions'!$B$13)</f>
        <v>2998091.25</v>
      </c>
      <c r="AE79" s="33" t="n">
        <f aca="false">(1-'3. Assumptions'!$B$15)*SUMPRODUCT((('2. The tape'!$C$5:$C$13*'2. The tape'!$D$5:$D$13*(1-'2. The tape'!$J$5:$J$13)^($A79/4)*(1+$AD$5)^($A79/4)*((1-'3. Assumptions'!$B$13)/($AD$6)-'2. The tape'!$H$5:$H$13/12-'3. Assumptions'!$B$16)-'2. The tape'!$C$5:$C$13*'2. The tape'!$I$5:$I$13*(1+$AD$5)^($A79/4))&gt;0)*('2. The tape'!$C$5:$C$13*'2. The tape'!$D$5:$D$13*(1-'2. The tape'!$J$5:$J$13)^($A79/4)*(1+$AD$5)^($A79/4)*((1-'3. Assumptions'!$B$13)/($AD$6)-'2. The tape'!$H$5:$H$13/12-'3. Assumptions'!$B$16)-'2. The tape'!$C$5:$C$13*'2. The tape'!$I$5:$I$13*(1+$AD$5)^($A79/4)))</f>
        <v>34946308.1359213</v>
      </c>
      <c r="AF79" s="33" t="n">
        <f aca="false">'2. The tape'!$C$17*(1+MIN(MAX($AF$5,'3. Assumptions'!$B$11),'3. Assumptions'!$B$10))^INT(($A79-1)/4)/4*(1-'3. Assumptions'!$B$13)</f>
        <v>2998091.25</v>
      </c>
      <c r="AG79" s="33" t="n">
        <f aca="false">(1-'3. Assumptions'!$B$15)*SUMPRODUCT((('2. The tape'!$C$5:$C$13*'2. The tape'!$D$5:$D$13*(1-'2. The tape'!$J$5:$J$13)^($A79/4)*(1+$AF$5)^($A79/4)*((1-'3. Assumptions'!$B$13)/($AF$6)-'2. The tape'!$H$5:$H$13/12-'3. Assumptions'!$B$16)-'2. The tape'!$C$5:$C$13*'2. The tape'!$I$5:$I$13*(1+$AF$5)^($A79/4))&gt;0)*('2. The tape'!$C$5:$C$13*'2. The tape'!$D$5:$D$13*(1-'2. The tape'!$J$5:$J$13)^($A79/4)*(1+$AF$5)^($A79/4)*((1-'3. Assumptions'!$B$13)/($AF$6)-'2. The tape'!$H$5:$H$13/12-'3. Assumptions'!$B$16)-'2. The tape'!$C$5:$C$13*'2. The tape'!$I$5:$I$13*(1+$AF$5)^($A79/4)))</f>
        <v>34946308.1359213</v>
      </c>
      <c r="AH79" s="33" t="n">
        <f aca="false">'2. The tape'!$C$17*(1+MIN(MAX($AH$5,'3. Assumptions'!$B$11),'3. Assumptions'!$B$10))^INT(($A79-1)/4)/4*(1-'3. Assumptions'!$B$13)</f>
        <v>4155356.45026212</v>
      </c>
      <c r="AI79" s="33" t="n">
        <f aca="false">(1-'3. Assumptions'!$B$15)*SUMPRODUCT((('2. The tape'!$C$5:$C$13*'2. The tape'!$D$5:$D$13*(1-'2. The tape'!$J$5:$J$13)^($A79/4)*(1+$AH$5)^($A79/4)*((1-'3. Assumptions'!$B$13)/($AH$6)-'2. The tape'!$H$5:$H$13/12-'3. Assumptions'!$B$16)-'2. The tape'!$C$5:$C$13*'2. The tape'!$I$5:$I$13*(1+$AH$5)^($A79/4))&gt;0)*('2. The tape'!$C$5:$C$13*'2. The tape'!$D$5:$D$13*(1-'2. The tape'!$J$5:$J$13)^($A79/4)*(1+$AH$5)^($A79/4)*((1-'3. Assumptions'!$B$13)/($AH$6)-'2. The tape'!$H$5:$H$13/12-'3. Assumptions'!$B$16)-'2. The tape'!$C$5:$C$13*'2. The tape'!$I$5:$I$13*(1+$AH$5)^($A79/4)))</f>
        <v>152418879.818155</v>
      </c>
      <c r="AJ79" s="33" t="n">
        <f aca="false">'2. The tape'!$C$17*(1+MIN(MAX($AJ$5,'3. Assumptions'!$B$11),'3. Assumptions'!$B$10))^INT(($A79-1)/4)/4*(1-'3. Assumptions'!$B$13)</f>
        <v>4155356.45026212</v>
      </c>
      <c r="AK79" s="33" t="n">
        <f aca="false">(1-'3. Assumptions'!$B$15)*SUMPRODUCT((('2. The tape'!$C$5:$C$13*'2. The tape'!$D$5:$D$13*(1-'2. The tape'!$J$5:$J$13)^($A79/4)*(1+$AJ$5)^($A79/4)*((1-'3. Assumptions'!$B$13)/($AJ$6)-'2. The tape'!$H$5:$H$13/12-'3. Assumptions'!$B$16)-'2. The tape'!$C$5:$C$13*'2. The tape'!$I$5:$I$13*(1+$AJ$5)^($A79/4))&gt;0)*('2. The tape'!$C$5:$C$13*'2. The tape'!$D$5:$D$13*(1-'2. The tape'!$J$5:$J$13)^($A79/4)*(1+$AJ$5)^($A79/4)*((1-'3. Assumptions'!$B$13)/($AJ$6)-'2. The tape'!$H$5:$H$13/12-'3. Assumptions'!$B$16)-'2. The tape'!$C$5:$C$13*'2. The tape'!$I$5:$I$13*(1+$AJ$5)^($A79/4)))</f>
        <v>109430664.917883</v>
      </c>
      <c r="AL79" s="33" t="n">
        <f aca="false">'2. The tape'!$C$17*(1+MIN(MAX($AL$5,'3. Assumptions'!$B$11),'3. Assumptions'!$B$10))^INT(($A79-1)/4)/4*(1-'3. Assumptions'!$B$13)</f>
        <v>4155356.45026212</v>
      </c>
      <c r="AM79" s="33" t="n">
        <f aca="false">(1-'3. Assumptions'!$B$15)*SUMPRODUCT((('2. The tape'!$C$5:$C$13*'2. The tape'!$D$5:$D$13*(1-'2. The tape'!$J$5:$J$13)^($A79/4)*(1+$AL$5)^($A79/4)*((1-'3. Assumptions'!$B$13)/($AL$6)-'2. The tape'!$H$5:$H$13/12-'3. Assumptions'!$B$16)-'2. The tape'!$C$5:$C$13*'2. The tape'!$I$5:$I$13*(1+$AL$5)^($A79/4))&gt;0)*('2. The tape'!$C$5:$C$13*'2. The tape'!$D$5:$D$13*(1-'2. The tape'!$J$5:$J$13)^($A79/4)*(1+$AL$5)^($A79/4)*((1-'3. Assumptions'!$B$13)/($AL$6)-'2. The tape'!$H$5:$H$13/12-'3. Assumptions'!$B$16)-'2. The tape'!$C$5:$C$13*'2. The tape'!$I$5:$I$13*(1+$AL$5)^($A79/4)))</f>
        <v>126103362.492029</v>
      </c>
      <c r="AN79" s="33" t="n">
        <f aca="false">'2. The tape'!$C$17*(1+MIN(MAX($AN$5,'3. Assumptions'!$B$11),'3. Assumptions'!$B$10))^INT(($A79-1)/4)/4*(1-'3. Assumptions'!$B$13)</f>
        <v>4155356.45026212</v>
      </c>
      <c r="AO79" s="33" t="n">
        <f aca="false">(1-'3. Assumptions'!$B$15)*SUMPRODUCT((('2. The tape'!$C$5:$C$13*'2. The tape'!$D$5:$D$13*(1-'2. The tape'!$J$5:$J$13)^($A79/4)*(1+$AN$5)^($A79/4)*((1-'3. Assumptions'!$B$13)/($AN$6)-'2. The tape'!$H$5:$H$13/12-'3. Assumptions'!$B$16)-'2. The tape'!$C$5:$C$13*'2. The tape'!$I$5:$I$13*(1+$AN$5)^($A79/4))&gt;0)*('2. The tape'!$C$5:$C$13*'2. The tape'!$D$5:$D$13*(1-'2. The tape'!$J$5:$J$13)^($A79/4)*(1+$AN$5)^($A79/4)*((1-'3. Assumptions'!$B$13)/($AN$6)-'2. The tape'!$H$5:$H$13/12-'3. Assumptions'!$B$16)-'2. The tape'!$C$5:$C$13*'2. The tape'!$I$5:$I$13*(1+$AN$5)^($A79/4)))</f>
        <v>129225003.482436</v>
      </c>
      <c r="AP79" s="33" t="n">
        <f aca="false">'2. The tape'!$C$17*(1+MIN(MAX($AP$5,'3. Assumptions'!$B$11),'3. Assumptions'!$B$10))^INT(($A79-1)/4)/4*(1-'3. Assumptions'!$B$13)</f>
        <v>4155356.45026212</v>
      </c>
      <c r="AQ79" s="33" t="n">
        <f aca="false">(1-'3. Assumptions'!$B$15)*SUMPRODUCT((('2. The tape'!$C$5:$C$13*'2. The tape'!$D$5:$D$13*(1-'2. The tape'!$J$5:$J$13)^($A79/4)*(1+$AP$5)^($A79/4)*((1-'3. Assumptions'!$B$13)/($AP$6)-'2. The tape'!$H$5:$H$13/12-'3. Assumptions'!$B$16)-'2. The tape'!$C$5:$C$13*'2. The tape'!$I$5:$I$13*(1+$AP$5)^($A79/4))&gt;0)*('2. The tape'!$C$5:$C$13*'2. The tape'!$D$5:$D$13*(1-'2. The tape'!$J$5:$J$13)^($A79/4)*(1+$AP$5)^($A79/4)*((1-'3. Assumptions'!$B$13)/($AP$6)-'2. The tape'!$H$5:$H$13/12-'3. Assumptions'!$B$16)-'2. The tape'!$C$5:$C$13*'2. The tape'!$I$5:$I$13*(1+$AP$5)^($A79/4)))</f>
        <v>128839643.307895</v>
      </c>
      <c r="AR79" s="33" t="n">
        <f aca="false">'2. The tape'!$C$17*(1+MIN(MAX($AR$5,'3. Assumptions'!$B$11),'3. Assumptions'!$B$10))^INT(($A79-1)/4)/4*(1-'3. Assumptions'!$B$13)</f>
        <v>4155356.45026212</v>
      </c>
      <c r="AS79" s="33" t="n">
        <f aca="false">(1-'3. Assumptions'!$B$15)*SUMPRODUCT((('2. The tape'!$C$5:$C$13*'2. The tape'!$D$5:$D$13*(1-'2. The tape'!$J$5:$J$13)^($A79/4)*(1+$AR$5)^($A79/4)*((1-'3. Assumptions'!$B$13)/($AR$6)-'2. The tape'!$H$5:$H$13/12-'3. Assumptions'!$B$16)-'2. The tape'!$C$5:$C$13*'2. The tape'!$I$5:$I$13*(1+$AR$5)^($A79/4))&gt;0)*('2. The tape'!$C$5:$C$13*'2. The tape'!$D$5:$D$13*(1-'2. The tape'!$J$5:$J$13)^($A79/4)*(1+$AR$5)^($A79/4)*((1-'3. Assumptions'!$B$13)/($AR$6)-'2. The tape'!$H$5:$H$13/12-'3. Assumptions'!$B$16)-'2. The tape'!$C$5:$C$13*'2. The tape'!$I$5:$I$13*(1+$AR$5)^($A79/4)))</f>
        <v>128846109.099654</v>
      </c>
      <c r="AT79" s="33" t="n">
        <f aca="false">'2. The tape'!$C$17*(1+MIN(MAX($AT$5,'3. Assumptions'!$B$11),'3. Assumptions'!$B$10))^INT(($A79-1)/4)/4*(1-'3. Assumptions'!$B$13)</f>
        <v>4155356.45026212</v>
      </c>
      <c r="AU79" s="33" t="n">
        <f aca="false">(1-'3. Assumptions'!$B$15)*SUMPRODUCT((('2. The tape'!$C$5:$C$13*'2. The tape'!$D$5:$D$13*(1-'2. The tape'!$J$5:$J$13)^($A79/4)*(1+$AT$5)^($A79/4)*((1-'3. Assumptions'!$B$13)/($AT$6)-'2. The tape'!$H$5:$H$13/12-'3. Assumptions'!$B$16)-'2. The tape'!$C$5:$C$13*'2. The tape'!$I$5:$I$13*(1+$AT$5)^($A79/4))&gt;0)*('2. The tape'!$C$5:$C$13*'2. The tape'!$D$5:$D$13*(1-'2. The tape'!$J$5:$J$13)^($A79/4)*(1+$AT$5)^($A79/4)*((1-'3. Assumptions'!$B$13)/($AT$6)-'2. The tape'!$H$5:$H$13/12-'3. Assumptions'!$B$16)-'2. The tape'!$C$5:$C$13*'2. The tape'!$I$5:$I$13*(1+$AT$5)^($A79/4)))</f>
        <v>128846124.156856</v>
      </c>
      <c r="AV79" s="33" t="n">
        <f aca="false">'2. The tape'!$C$17*(1+MIN(MAX($AV$5,'3. Assumptions'!$B$11),'3. Assumptions'!$B$10))^INT(($A79-1)/4)/4*(1-'3. Assumptions'!$B$13)</f>
        <v>4155356.45026212</v>
      </c>
      <c r="AW79" s="33" t="n">
        <f aca="false">(1-'3. Assumptions'!$B$15)*SUMPRODUCT((('2. The tape'!$C$5:$C$13*'2. The tape'!$D$5:$D$13*(1-'2. The tape'!$J$5:$J$13)^($A79/4)*(1+$AV$5)^($A79/4)*((1-'3. Assumptions'!$B$13)/($AV$6)-'2. The tape'!$H$5:$H$13/12-'3. Assumptions'!$B$16)-'2. The tape'!$C$5:$C$13*'2. The tape'!$I$5:$I$13*(1+$AV$5)^($A79/4))&gt;0)*('2. The tape'!$C$5:$C$13*'2. The tape'!$D$5:$D$13*(1-'2. The tape'!$J$5:$J$13)^($A79/4)*(1+$AV$5)^($A79/4)*((1-'3. Assumptions'!$B$13)/($AV$6)-'2. The tape'!$H$5:$H$13/12-'3. Assumptions'!$B$16)-'2. The tape'!$C$5:$C$13*'2. The tape'!$I$5:$I$13*(1+$AV$5)^($A79/4)))</f>
        <v>128846124.156256</v>
      </c>
      <c r="AX79" s="33" t="n">
        <f aca="false">'2. The tape'!$C$17*(1+MIN(MAX($AX$5,'3. Assumptions'!$B$11),'3. Assumptions'!$B$10))^INT(($A79-1)/4)/4*(1-'3. Assumptions'!$B$13)</f>
        <v>4155356.45026212</v>
      </c>
      <c r="AY79" s="33" t="n">
        <f aca="false">(1-'3. Assumptions'!$B$15)*SUMPRODUCT((('2. The tape'!$C$5:$C$13*'2. The tape'!$D$5:$D$13*(1-'2. The tape'!$J$5:$J$13)^($A79/4)*(1+$AX$5)^($A79/4)*((1-'3. Assumptions'!$B$13)/($AX$6)-'2. The tape'!$H$5:$H$13/12-'3. Assumptions'!$B$16)-'2. The tape'!$C$5:$C$13*'2. The tape'!$I$5:$I$13*(1+$AX$5)^($A79/4))&gt;0)*('2. The tape'!$C$5:$C$13*'2. The tape'!$D$5:$D$13*(1-'2. The tape'!$J$5:$J$13)^($A79/4)*(1+$AX$5)^($A79/4)*((1-'3. Assumptions'!$B$13)/($AX$6)-'2. The tape'!$H$5:$H$13/12-'3. Assumptions'!$B$16)-'2. The tape'!$C$5:$C$13*'2. The tape'!$I$5:$I$13*(1+$AX$5)^($A79/4)))</f>
        <v>128846124.156256</v>
      </c>
      <c r="AZ79" s="33" t="n">
        <f aca="false">'2. The tape'!$C$17*(1+MIN(MAX($AZ$5,'3. Assumptions'!$B$11),'3. Assumptions'!$B$10))^INT(($A79-1)/4)/4*(1-'3. Assumptions'!$B$13)</f>
        <v>4155356.45026212</v>
      </c>
      <c r="BA79" s="33" t="n">
        <f aca="false">(1-'3. Assumptions'!$B$15)*SUMPRODUCT((('2. The tape'!$C$5:$C$13*'2. The tape'!$D$5:$D$13*(1-'2. The tape'!$J$5:$J$13)^($A79/4)*(1+$AZ$5)^($A79/4)*((1-'3. Assumptions'!$B$13)/($AZ$6)-'2. The tape'!$H$5:$H$13/12-'3. Assumptions'!$B$16)-'2. The tape'!$C$5:$C$13*'2. The tape'!$I$5:$I$13*(1+$AZ$5)^($A79/4))&gt;0)*('2. The tape'!$C$5:$C$13*'2. The tape'!$D$5:$D$13*(1-'2. The tape'!$J$5:$J$13)^($A79/4)*(1+$AZ$5)^($A79/4)*((1-'3. Assumptions'!$B$13)/($AZ$6)-'2. The tape'!$H$5:$H$13/12-'3. Assumptions'!$B$16)-'2. The tape'!$C$5:$C$13*'2. The tape'!$I$5:$I$13*(1+$AZ$5)^($A79/4)))</f>
        <v>128846124.156256</v>
      </c>
    </row>
    <row r="80" customFormat="false" ht="15" hidden="false" customHeight="false" outlineLevel="0" collapsed="false">
      <c r="A80" s="20" t="n">
        <v>65</v>
      </c>
      <c r="B80" s="33" t="n">
        <f aca="false">'2. The tape'!$C$17*(1+MIN(MAX($B$5,'3. Assumptions'!$B$11),'3. Assumptions'!$B$10))^INT(($A80-1)/4)/4*(1-'3. Assumptions'!$B$13)</f>
        <v>4246774.29216789</v>
      </c>
      <c r="C80" s="33" t="n">
        <f aca="false">(1-'3. Assumptions'!$B$15)*SUMPRODUCT((('2. The tape'!$C$5:$C$13*'2. The tape'!$D$5:$D$13*(1-'2. The tape'!$J$5:$J$13)^($A80/4)*(1+$B$5)^($A80/4)*((1-'3. Assumptions'!$B$13)/($B$6)-'2. The tape'!$H$5:$H$13/12-'3. Assumptions'!$B$16)-'2. The tape'!$C$5:$C$13*'2. The tape'!$I$5:$I$13*(1+$B$5)^($A80/4))&gt;0)*('2. The tape'!$C$5:$C$13*'2. The tape'!$D$5:$D$13*(1-'2. The tape'!$J$5:$J$13)^($A80/4)*(1+$B$5)^($A80/4)*((1-'3. Assumptions'!$B$13)/($B$6)-'2. The tape'!$H$5:$H$13/12-'3. Assumptions'!$B$16)-'2. The tape'!$C$5:$C$13*'2. The tape'!$I$5:$I$13*(1+$B$5)^($A80/4)))</f>
        <v>75608370.2369812</v>
      </c>
      <c r="D80" s="33" t="n">
        <f aca="false">'2. The tape'!$C$17*(1+MIN(MAX($D$5,'3. Assumptions'!$B$11),'3. Assumptions'!$B$10))^INT(($A80-1)/4)/4*(1-'3. Assumptions'!$B$13)</f>
        <v>4811056.33388074</v>
      </c>
      <c r="E80" s="33" t="n">
        <f aca="false">(1-'3. Assumptions'!$B$15)*SUMPRODUCT((('2. The tape'!$C$5:$C$13*'2. The tape'!$D$5:$D$13*(1-'2. The tape'!$J$5:$J$13)^($A80/4)*(1+$D$5)^($A80/4)*((1-'3. Assumptions'!$B$13)/($D$6)-'2. The tape'!$H$5:$H$13/12-'3. Assumptions'!$B$16)-'2. The tape'!$C$5:$C$13*'2. The tape'!$I$5:$I$13*(1+$D$5)^($A80/4))&gt;0)*('2. The tape'!$C$5:$C$13*'2. The tape'!$D$5:$D$13*(1-'2. The tape'!$J$5:$J$13)^($A80/4)*(1+$D$5)^($A80/4)*((1-'3. Assumptions'!$B$13)/($D$6)-'2. The tape'!$H$5:$H$13/12-'3. Assumptions'!$B$16)-'2. The tape'!$C$5:$C$13*'2. The tape'!$I$5:$I$13*(1+$D$5)^($A80/4)))</f>
        <v>92848203.3128278</v>
      </c>
      <c r="F80" s="33" t="n">
        <f aca="false">'2. The tape'!$C$17*(1+MIN(MAX($F$5,'3. Assumptions'!$B$11),'3. Assumptions'!$B$10))^INT(($A80-1)/4)/4*(1-'3. Assumptions'!$B$13)</f>
        <v>3515497.7752826</v>
      </c>
      <c r="G80" s="33" t="n">
        <f aca="false">(1-'3. Assumptions'!$B$15)*SUMPRODUCT((('2. The tape'!$C$5:$C$13*'2. The tape'!$D$5:$D$13*(1-'2. The tape'!$J$5:$J$13)^($A80/4)*(1+$F$5)^($A80/4)*((1-'3. Assumptions'!$B$13)/($F$6)-'2. The tape'!$H$5:$H$13/12-'3. Assumptions'!$B$16)-'2. The tape'!$C$5:$C$13*'2. The tape'!$I$5:$I$13*(1+$F$5)^($A80/4))&gt;0)*('2. The tape'!$C$5:$C$13*'2. The tape'!$D$5:$D$13*(1-'2. The tape'!$J$5:$J$13)^($A80/4)*(1+$F$5)^($A80/4)*((1-'3. Assumptions'!$B$13)/($F$6)-'2. The tape'!$H$5:$H$13/12-'3. Assumptions'!$B$16)-'2. The tape'!$C$5:$C$13*'2. The tape'!$I$5:$I$13*(1+$F$5)^($A80/4)))</f>
        <v>62404390.2450429</v>
      </c>
      <c r="H80" s="33" t="n">
        <f aca="false">'2. The tape'!$C$17*(1+MIN(MAX($H$5,'3. Assumptions'!$B$11),'3. Assumptions'!$B$10))^INT(($A80-1)/4)/4*(1-'3. Assumptions'!$B$13)</f>
        <v>4811056.33388074</v>
      </c>
      <c r="I80" s="33" t="n">
        <f aca="false">(1-'3. Assumptions'!$B$15)*SUMPRODUCT((('2. The tape'!$C$5:$C$13*'2. The tape'!$D$5:$D$13*(1-'2. The tape'!$J$5:$J$13)^($A80/4)*(1+$H$5)^($A80/4)*((1-'3. Assumptions'!$B$13)/($H$6)-'2. The tape'!$H$5:$H$13/12-'3. Assumptions'!$B$16)-'2. The tape'!$C$5:$C$13*'2. The tape'!$I$5:$I$13*(1+$H$5)^($A80/4))&gt;0)*('2. The tape'!$C$5:$C$13*'2. The tape'!$D$5:$D$13*(1-'2. The tape'!$J$5:$J$13)^($A80/4)*(1+$H$5)^($A80/4)*((1-'3. Assumptions'!$B$13)/($H$6)-'2. The tape'!$H$5:$H$13/12-'3. Assumptions'!$B$16)-'2. The tape'!$C$5:$C$13*'2. The tape'!$I$5:$I$13*(1+$H$5)^($A80/4)))</f>
        <v>92848203.3128278</v>
      </c>
      <c r="J80" s="33" t="n">
        <f aca="false">'2. The tape'!$C$17*(1+MIN(MAX($J$5,'3. Assumptions'!$B$11),'3. Assumptions'!$B$10))^INT(($A80-1)/4)/4*(1-'3. Assumptions'!$B$13)</f>
        <v>4246774.29216789</v>
      </c>
      <c r="K80" s="33" t="n">
        <f aca="false">(1-'3. Assumptions'!$B$15)*SUMPRODUCT((('2. The tape'!$C$5:$C$13*'2. The tape'!$D$5:$D$13*(1-'2. The tape'!$J$5:$J$13)^($A80/4)*(1+$J$5)^($A80/4)*((1-'3. Assumptions'!$B$13)/($J$6)-'2. The tape'!$H$5:$H$13/12-'3. Assumptions'!$B$16)-'2. The tape'!$C$5:$C$13*'2. The tape'!$I$5:$I$13*(1+$J$5)^($A80/4))&gt;0)*('2. The tape'!$C$5:$C$13*'2. The tape'!$D$5:$D$13*(1-'2. The tape'!$J$5:$J$13)^($A80/4)*(1+$J$5)^($A80/4)*((1-'3. Assumptions'!$B$13)/($J$6)-'2. The tape'!$H$5:$H$13/12-'3. Assumptions'!$B$16)-'2. The tape'!$C$5:$C$13*'2. The tape'!$I$5:$I$13*(1+$J$5)^($A80/4)))</f>
        <v>61559885.6657002</v>
      </c>
      <c r="L80" s="33" t="n">
        <f aca="false">'2. The tape'!$C$17*(1+MIN(MAX($L$5,'3. Assumptions'!$B$11),'3. Assumptions'!$B$10))^INT(($A80-1)/4)/4*(1-'3. Assumptions'!$B$13)</f>
        <v>4811056.33388074</v>
      </c>
      <c r="M80" s="33" t="n">
        <f aca="false">(1-'3. Assumptions'!$B$15)*SUMPRODUCT((('2. The tape'!$C$5:$C$13*'2. The tape'!$D$5:$D$13*(1-'2. The tape'!$J$5:$J$13)^($A80/4)*(1+$L$5)^($A80/4)*((1-'3. Assumptions'!$B$13)/($L$6)-'2. The tape'!$H$5:$H$13/12-'3. Assumptions'!$B$16)-'2. The tape'!$C$5:$C$13*'2. The tape'!$I$5:$I$13*(1+$L$5)^($A80/4))&gt;0)*('2. The tape'!$C$5:$C$13*'2. The tape'!$D$5:$D$13*(1-'2. The tape'!$J$5:$J$13)^($A80/4)*(1+$L$5)^($A80/4)*((1-'3. Assumptions'!$B$13)/($L$6)-'2. The tape'!$H$5:$H$13/12-'3. Assumptions'!$B$16)-'2. The tape'!$C$5:$C$13*'2. The tape'!$I$5:$I$13*(1+$L$5)^($A80/4)))</f>
        <v>3772005306.72097</v>
      </c>
      <c r="N80" s="33" t="n">
        <f aca="false">'2. The tape'!$C$17*(1+MIN(MAX($N$5,'3. Assumptions'!$B$11),'3. Assumptions'!$B$10))^INT(($A80-1)/4)/4*(1-'3. Assumptions'!$B$13)</f>
        <v>2998091.25</v>
      </c>
      <c r="O80" s="33" t="n">
        <f aca="false">(1-'3. Assumptions'!$B$15)*SUMPRODUCT((('2. The tape'!$C$5:$C$13*'2. The tape'!$D$5:$D$13*(1-'2. The tape'!$J$5:$J$13)^($A80/4)*(1+$N$5)^($A80/4)*((1-'3. Assumptions'!$B$13)/($N$6)-'2. The tape'!$H$5:$H$13/12-'3. Assumptions'!$B$16)-'2. The tape'!$C$5:$C$13*'2. The tape'!$I$5:$I$13*(1+$N$5)^($A80/4))&gt;0)*('2. The tape'!$C$5:$C$13*'2. The tape'!$D$5:$D$13*(1-'2. The tape'!$J$5:$J$13)^($A80/4)*(1+$N$5)^($A80/4)*((1-'3. Assumptions'!$B$13)/($N$6)-'2. The tape'!$H$5:$H$13/12-'3. Assumptions'!$B$16)-'2. The tape'!$C$5:$C$13*'2. The tape'!$I$5:$I$13*(1+$N$5)^($A80/4)))</f>
        <v>32361862.0224295</v>
      </c>
      <c r="P80" s="33" t="n">
        <f aca="false">'2. The tape'!$C$17*(1+MIN(MAX($P$5,'3. Assumptions'!$B$11),'3. Assumptions'!$B$10))^INT(($A80-1)/4)/4*(1-'3. Assumptions'!$B$13)</f>
        <v>2998091.25</v>
      </c>
      <c r="Q80" s="33" t="n">
        <f aca="false">(1-'3. Assumptions'!$B$15)*SUMPRODUCT((('2. The tape'!$C$5:$C$13*'2. The tape'!$D$5:$D$13*(1-'2. The tape'!$J$5:$J$13)^($A80/4)*(1+$P$5)^($A80/4)*((1-'3. Assumptions'!$B$13)/($P$6)-'2. The tape'!$H$5:$H$13/12-'3. Assumptions'!$B$16)-'2. The tape'!$C$5:$C$13*'2. The tape'!$I$5:$I$13*(1+$P$5)^($A80/4))&gt;0)*('2. The tape'!$C$5:$C$13*'2. The tape'!$D$5:$D$13*(1-'2. The tape'!$J$5:$J$13)^($A80/4)*(1+$P$5)^($A80/4)*((1-'3. Assumptions'!$B$13)/($P$6)-'2. The tape'!$H$5:$H$13/12-'3. Assumptions'!$B$16)-'2. The tape'!$C$5:$C$13*'2. The tape'!$I$5:$I$13*(1+$P$5)^($A80/4)))</f>
        <v>38231078.5374008</v>
      </c>
      <c r="R80" s="33" t="n">
        <f aca="false">'2. The tape'!$C$17*(1+MIN(MAX($R$5,'3. Assumptions'!$B$11),'3. Assumptions'!$B$10))^INT(($A80-1)/4)/4*(1-'3. Assumptions'!$B$13)</f>
        <v>2998091.25</v>
      </c>
      <c r="S80" s="33" t="n">
        <f aca="false">(1-'3. Assumptions'!$B$15)*SUMPRODUCT((('2. The tape'!$C$5:$C$13*'2. The tape'!$D$5:$D$13*(1-'2. The tape'!$J$5:$J$13)^($A80/4)*(1+$R$5)^($A80/4)*((1-'3. Assumptions'!$B$13)/($R$6)-'2. The tape'!$H$5:$H$13/12-'3. Assumptions'!$B$16)-'2. The tape'!$C$5:$C$13*'2. The tape'!$I$5:$I$13*(1+$R$5)^($A80/4))&gt;0)*('2. The tape'!$C$5:$C$13*'2. The tape'!$D$5:$D$13*(1-'2. The tape'!$J$5:$J$13)^($A80/4)*(1+$R$5)^($A80/4)*((1-'3. Assumptions'!$B$13)/($R$6)-'2. The tape'!$H$5:$H$13/12-'3. Assumptions'!$B$16)-'2. The tape'!$C$5:$C$13*'2. The tape'!$I$5:$I$13*(1+$R$5)^($A80/4)))</f>
        <v>34569108.5011494</v>
      </c>
      <c r="T80" s="33" t="n">
        <f aca="false">'2. The tape'!$C$17*(1+MIN(MAX($T$5,'3. Assumptions'!$B$11),'3. Assumptions'!$B$10))^INT(($A80-1)/4)/4*(1-'3. Assumptions'!$B$13)</f>
        <v>2998091.25</v>
      </c>
      <c r="U80" s="33" t="n">
        <f aca="false">(1-'3. Assumptions'!$B$15)*SUMPRODUCT((('2. The tape'!$C$5:$C$13*'2. The tape'!$D$5:$D$13*(1-'2. The tape'!$J$5:$J$13)^($A80/4)*(1+$T$5)^($A80/4)*((1-'3. Assumptions'!$B$13)/($T$6)-'2. The tape'!$H$5:$H$13/12-'3. Assumptions'!$B$16)-'2. The tape'!$C$5:$C$13*'2. The tape'!$I$5:$I$13*(1+$T$5)^($A80/4))&gt;0)*('2. The tape'!$C$5:$C$13*'2. The tape'!$D$5:$D$13*(1-'2. The tape'!$J$5:$J$13)^($A80/4)*(1+$T$5)^($A80/4)*((1-'3. Assumptions'!$B$13)/($T$6)-'2. The tape'!$H$5:$H$13/12-'3. Assumptions'!$B$16)-'2. The tape'!$C$5:$C$13*'2. The tape'!$I$5:$I$13*(1+$T$5)^($A80/4)))</f>
        <v>34474526.4403046</v>
      </c>
      <c r="V80" s="33" t="n">
        <f aca="false">'2. The tape'!$C$17*(1+MIN(MAX($V$5,'3. Assumptions'!$B$11),'3. Assumptions'!$B$10))^INT(($A80-1)/4)/4*(1-'3. Assumptions'!$B$13)</f>
        <v>2998091.25</v>
      </c>
      <c r="W80" s="33" t="n">
        <f aca="false">(1-'3. Assumptions'!$B$15)*SUMPRODUCT((('2. The tape'!$C$5:$C$13*'2. The tape'!$D$5:$D$13*(1-'2. The tape'!$J$5:$J$13)^($A80/4)*(1+$V$5)^($A80/4)*((1-'3. Assumptions'!$B$13)/($V$6)-'2. The tape'!$H$5:$H$13/12-'3. Assumptions'!$B$16)-'2. The tape'!$C$5:$C$13*'2. The tape'!$I$5:$I$13*(1+$V$5)^($A80/4))&gt;0)*('2. The tape'!$C$5:$C$13*'2. The tape'!$D$5:$D$13*(1-'2. The tape'!$J$5:$J$13)^($A80/4)*(1+$V$5)^($A80/4)*((1-'3. Assumptions'!$B$13)/($V$6)-'2. The tape'!$H$5:$H$13/12-'3. Assumptions'!$B$16)-'2. The tape'!$C$5:$C$13*'2. The tape'!$I$5:$I$13*(1+$V$5)^($A80/4)))</f>
        <v>34478321.9691546</v>
      </c>
      <c r="X80" s="33" t="n">
        <f aca="false">'2. The tape'!$C$17*(1+MIN(MAX($X$5,'3. Assumptions'!$B$11),'3. Assumptions'!$B$10))^INT(($A80-1)/4)/4*(1-'3. Assumptions'!$B$13)</f>
        <v>2998091.25</v>
      </c>
      <c r="Y80" s="33" t="n">
        <f aca="false">(1-'3. Assumptions'!$B$15)*SUMPRODUCT((('2. The tape'!$C$5:$C$13*'2. The tape'!$D$5:$D$13*(1-'2. The tape'!$J$5:$J$13)^($A80/4)*(1+$X$5)^($A80/4)*((1-'3. Assumptions'!$B$13)/($X$6)-'2. The tape'!$H$5:$H$13/12-'3. Assumptions'!$B$16)-'2. The tape'!$C$5:$C$13*'2. The tape'!$I$5:$I$13*(1+$X$5)^($A80/4))&gt;0)*('2. The tape'!$C$5:$C$13*'2. The tape'!$D$5:$D$13*(1-'2. The tape'!$J$5:$J$13)^($A80/4)*(1+$X$5)^($A80/4)*((1-'3. Assumptions'!$B$13)/($X$6)-'2. The tape'!$H$5:$H$13/12-'3. Assumptions'!$B$16)-'2. The tape'!$C$5:$C$13*'2. The tape'!$I$5:$I$13*(1+$X$5)^($A80/4)))</f>
        <v>34478317.9777139</v>
      </c>
      <c r="Z80" s="33" t="n">
        <f aca="false">'2. The tape'!$C$17*(1+MIN(MAX($Z$5,'3. Assumptions'!$B$11),'3. Assumptions'!$B$10))^INT(($A80-1)/4)/4*(1-'3. Assumptions'!$B$13)</f>
        <v>2998091.25</v>
      </c>
      <c r="AA80" s="33" t="n">
        <f aca="false">(1-'3. Assumptions'!$B$15)*SUMPRODUCT((('2. The tape'!$C$5:$C$13*'2. The tape'!$D$5:$D$13*(1-'2. The tape'!$J$5:$J$13)^($A80/4)*(1+$Z$5)^($A80/4)*((1-'3. Assumptions'!$B$13)/($Z$6)-'2. The tape'!$H$5:$H$13/12-'3. Assumptions'!$B$16)-'2. The tape'!$C$5:$C$13*'2. The tape'!$I$5:$I$13*(1+$Z$5)^($A80/4))&gt;0)*('2. The tape'!$C$5:$C$13*'2. The tape'!$D$5:$D$13*(1-'2. The tape'!$J$5:$J$13)^($A80/4)*(1+$Z$5)^($A80/4)*((1-'3. Assumptions'!$B$13)/($Z$6)-'2. The tape'!$H$5:$H$13/12-'3. Assumptions'!$B$16)-'2. The tape'!$C$5:$C$13*'2. The tape'!$I$5:$I$13*(1+$Z$5)^($A80/4)))</f>
        <v>34478317.9775383</v>
      </c>
      <c r="AB80" s="33" t="n">
        <f aca="false">'2. The tape'!$C$17*(1+MIN(MAX($AB$5,'3. Assumptions'!$B$11),'3. Assumptions'!$B$10))^INT(($A80-1)/4)/4*(1-'3. Assumptions'!$B$13)</f>
        <v>2998091.25</v>
      </c>
      <c r="AC80" s="33" t="n">
        <f aca="false">(1-'3. Assumptions'!$B$15)*SUMPRODUCT((('2. The tape'!$C$5:$C$13*'2. The tape'!$D$5:$D$13*(1-'2. The tape'!$J$5:$J$13)^($A80/4)*(1+$AB$5)^($A80/4)*((1-'3. Assumptions'!$B$13)/($AB$6)-'2. The tape'!$H$5:$H$13/12-'3. Assumptions'!$B$16)-'2. The tape'!$C$5:$C$13*'2. The tape'!$I$5:$I$13*(1+$AB$5)^($A80/4))&gt;0)*('2. The tape'!$C$5:$C$13*'2. The tape'!$D$5:$D$13*(1-'2. The tape'!$J$5:$J$13)^($A80/4)*(1+$AB$5)^($A80/4)*((1-'3. Assumptions'!$B$13)/($AB$6)-'2. The tape'!$H$5:$H$13/12-'3. Assumptions'!$B$16)-'2. The tape'!$C$5:$C$13*'2. The tape'!$I$5:$I$13*(1+$AB$5)^($A80/4)))</f>
        <v>34478317.9775383</v>
      </c>
      <c r="AD80" s="33" t="n">
        <f aca="false">'2. The tape'!$C$17*(1+MIN(MAX($AD$5,'3. Assumptions'!$B$11),'3. Assumptions'!$B$10))^INT(($A80-1)/4)/4*(1-'3. Assumptions'!$B$13)</f>
        <v>2998091.25</v>
      </c>
      <c r="AE80" s="33" t="n">
        <f aca="false">(1-'3. Assumptions'!$B$15)*SUMPRODUCT((('2. The tape'!$C$5:$C$13*'2. The tape'!$D$5:$D$13*(1-'2. The tape'!$J$5:$J$13)^($A80/4)*(1+$AD$5)^($A80/4)*((1-'3. Assumptions'!$B$13)/($AD$6)-'2. The tape'!$H$5:$H$13/12-'3. Assumptions'!$B$16)-'2. The tape'!$C$5:$C$13*'2. The tape'!$I$5:$I$13*(1+$AD$5)^($A80/4))&gt;0)*('2. The tape'!$C$5:$C$13*'2. The tape'!$D$5:$D$13*(1-'2. The tape'!$J$5:$J$13)^($A80/4)*(1+$AD$5)^($A80/4)*((1-'3. Assumptions'!$B$13)/($AD$6)-'2. The tape'!$H$5:$H$13/12-'3. Assumptions'!$B$16)-'2. The tape'!$C$5:$C$13*'2. The tape'!$I$5:$I$13*(1+$AD$5)^($A80/4)))</f>
        <v>34478317.9775383</v>
      </c>
      <c r="AF80" s="33" t="n">
        <f aca="false">'2. The tape'!$C$17*(1+MIN(MAX($AF$5,'3. Assumptions'!$B$11),'3. Assumptions'!$B$10))^INT(($A80-1)/4)/4*(1-'3. Assumptions'!$B$13)</f>
        <v>2998091.25</v>
      </c>
      <c r="AG80" s="33" t="n">
        <f aca="false">(1-'3. Assumptions'!$B$15)*SUMPRODUCT((('2. The tape'!$C$5:$C$13*'2. The tape'!$D$5:$D$13*(1-'2. The tape'!$J$5:$J$13)^($A80/4)*(1+$AF$5)^($A80/4)*((1-'3. Assumptions'!$B$13)/($AF$6)-'2. The tape'!$H$5:$H$13/12-'3. Assumptions'!$B$16)-'2. The tape'!$C$5:$C$13*'2. The tape'!$I$5:$I$13*(1+$AF$5)^($A80/4))&gt;0)*('2. The tape'!$C$5:$C$13*'2. The tape'!$D$5:$D$13*(1-'2. The tape'!$J$5:$J$13)^($A80/4)*(1+$AF$5)^($A80/4)*((1-'3. Assumptions'!$B$13)/($AF$6)-'2. The tape'!$H$5:$H$13/12-'3. Assumptions'!$B$16)-'2. The tape'!$C$5:$C$13*'2. The tape'!$I$5:$I$13*(1+$AF$5)^($A80/4)))</f>
        <v>34478317.9775383</v>
      </c>
      <c r="AH80" s="33" t="n">
        <f aca="false">'2. The tape'!$C$17*(1+MIN(MAX($AH$5,'3. Assumptions'!$B$11),'3. Assumptions'!$B$10))^INT(($A80-1)/4)/4*(1-'3. Assumptions'!$B$13)</f>
        <v>4246774.29216789</v>
      </c>
      <c r="AI80" s="33" t="n">
        <f aca="false">(1-'3. Assumptions'!$B$15)*SUMPRODUCT((('2. The tape'!$C$5:$C$13*'2. The tape'!$D$5:$D$13*(1-'2. The tape'!$J$5:$J$13)^($A80/4)*(1+$AH$5)^($A80/4)*((1-'3. Assumptions'!$B$13)/($AH$6)-'2. The tape'!$H$5:$H$13/12-'3. Assumptions'!$B$16)-'2. The tape'!$C$5:$C$13*'2. The tape'!$I$5:$I$13*(1+$AH$5)^($A80/4))&gt;0)*('2. The tape'!$C$5:$C$13*'2. The tape'!$D$5:$D$13*(1-'2. The tape'!$J$5:$J$13)^($A80/4)*(1+$AH$5)^($A80/4)*((1-'3. Assumptions'!$B$13)/($AH$6)-'2. The tape'!$H$5:$H$13/12-'3. Assumptions'!$B$16)-'2. The tape'!$C$5:$C$13*'2. The tape'!$I$5:$I$13*(1+$AH$5)^($A80/4)))</f>
        <v>152313095.996175</v>
      </c>
      <c r="AJ80" s="33" t="n">
        <f aca="false">'2. The tape'!$C$17*(1+MIN(MAX($AJ$5,'3. Assumptions'!$B$11),'3. Assumptions'!$B$10))^INT(($A80-1)/4)/4*(1-'3. Assumptions'!$B$13)</f>
        <v>4246774.29216789</v>
      </c>
      <c r="AK80" s="33" t="n">
        <f aca="false">(1-'3. Assumptions'!$B$15)*SUMPRODUCT((('2. The tape'!$C$5:$C$13*'2. The tape'!$D$5:$D$13*(1-'2. The tape'!$J$5:$J$13)^($A80/4)*(1+$AJ$5)^($A80/4)*((1-'3. Assumptions'!$B$13)/($AJ$6)-'2. The tape'!$H$5:$H$13/12-'3. Assumptions'!$B$16)-'2. The tape'!$C$5:$C$13*'2. The tape'!$I$5:$I$13*(1+$AJ$5)^($A80/4))&gt;0)*('2. The tape'!$C$5:$C$13*'2. The tape'!$D$5:$D$13*(1-'2. The tape'!$J$5:$J$13)^($A80/4)*(1+$AJ$5)^($A80/4)*((1-'3. Assumptions'!$B$13)/($AJ$6)-'2. The tape'!$H$5:$H$13/12-'3. Assumptions'!$B$16)-'2. The tape'!$C$5:$C$13*'2. The tape'!$I$5:$I$13*(1+$AJ$5)^($A80/4)))</f>
        <v>109324733.208055</v>
      </c>
      <c r="AL80" s="33" t="n">
        <f aca="false">'2. The tape'!$C$17*(1+MIN(MAX($AL$5,'3. Assumptions'!$B$11),'3. Assumptions'!$B$10))^INT(($A80-1)/4)/4*(1-'3. Assumptions'!$B$13)</f>
        <v>4246774.29216789</v>
      </c>
      <c r="AM80" s="33" t="n">
        <f aca="false">(1-'3. Assumptions'!$B$15)*SUMPRODUCT((('2. The tape'!$C$5:$C$13*'2. The tape'!$D$5:$D$13*(1-'2. The tape'!$J$5:$J$13)^($A80/4)*(1+$AL$5)^($A80/4)*((1-'3. Assumptions'!$B$13)/($AL$6)-'2. The tape'!$H$5:$H$13/12-'3. Assumptions'!$B$16)-'2. The tape'!$C$5:$C$13*'2. The tape'!$I$5:$I$13*(1+$AL$5)^($A80/4))&gt;0)*('2. The tape'!$C$5:$C$13*'2. The tape'!$D$5:$D$13*(1-'2. The tape'!$J$5:$J$13)^($A80/4)*(1+$AL$5)^($A80/4)*((1-'3. Assumptions'!$B$13)/($AL$6)-'2. The tape'!$H$5:$H$13/12-'3. Assumptions'!$B$16)-'2. The tape'!$C$5:$C$13*'2. The tape'!$I$5:$I$13*(1+$AL$5)^($A80/4)))</f>
        <v>125997488.139534</v>
      </c>
      <c r="AN80" s="33" t="n">
        <f aca="false">'2. The tape'!$C$17*(1+MIN(MAX($AN$5,'3. Assumptions'!$B$11),'3. Assumptions'!$B$10))^INT(($A80-1)/4)/4*(1-'3. Assumptions'!$B$13)</f>
        <v>4246774.29216789</v>
      </c>
      <c r="AO80" s="33" t="n">
        <f aca="false">(1-'3. Assumptions'!$B$15)*SUMPRODUCT((('2. The tape'!$C$5:$C$13*'2. The tape'!$D$5:$D$13*(1-'2. The tape'!$J$5:$J$13)^($A80/4)*(1+$AN$5)^($A80/4)*((1-'3. Assumptions'!$B$13)/($AN$6)-'2. The tape'!$H$5:$H$13/12-'3. Assumptions'!$B$16)-'2. The tape'!$C$5:$C$13*'2. The tape'!$I$5:$I$13*(1+$AN$5)^($A80/4))&gt;0)*('2. The tape'!$C$5:$C$13*'2. The tape'!$D$5:$D$13*(1-'2. The tape'!$J$5:$J$13)^($A80/4)*(1+$AN$5)^($A80/4)*((1-'3. Assumptions'!$B$13)/($AN$6)-'2. The tape'!$H$5:$H$13/12-'3. Assumptions'!$B$16)-'2. The tape'!$C$5:$C$13*'2. The tape'!$I$5:$I$13*(1+$AN$5)^($A80/4)))</f>
        <v>129119139.868995</v>
      </c>
      <c r="AP80" s="33" t="n">
        <f aca="false">'2. The tape'!$C$17*(1+MIN(MAX($AP$5,'3. Assumptions'!$B$11),'3. Assumptions'!$B$10))^INT(($A80-1)/4)/4*(1-'3. Assumptions'!$B$13)</f>
        <v>4246774.29216789</v>
      </c>
      <c r="AQ80" s="33" t="n">
        <f aca="false">(1-'3. Assumptions'!$B$15)*SUMPRODUCT((('2. The tape'!$C$5:$C$13*'2. The tape'!$D$5:$D$13*(1-'2. The tape'!$J$5:$J$13)^($A80/4)*(1+$AP$5)^($A80/4)*((1-'3. Assumptions'!$B$13)/($AP$6)-'2. The tape'!$H$5:$H$13/12-'3. Assumptions'!$B$16)-'2. The tape'!$C$5:$C$13*'2. The tape'!$I$5:$I$13*(1+$AP$5)^($A80/4))&gt;0)*('2. The tape'!$C$5:$C$13*'2. The tape'!$D$5:$D$13*(1-'2. The tape'!$J$5:$J$13)^($A80/4)*(1+$AP$5)^($A80/4)*((1-'3. Assumptions'!$B$13)/($AP$6)-'2. The tape'!$H$5:$H$13/12-'3. Assumptions'!$B$16)-'2. The tape'!$C$5:$C$13*'2. The tape'!$I$5:$I$13*(1+$AP$5)^($A80/4)))</f>
        <v>128733778.36874</v>
      </c>
      <c r="AR80" s="33" t="n">
        <f aca="false">'2. The tape'!$C$17*(1+MIN(MAX($AR$5,'3. Assumptions'!$B$11),'3. Assumptions'!$B$10))^INT(($A80-1)/4)/4*(1-'3. Assumptions'!$B$13)</f>
        <v>4246774.29216789</v>
      </c>
      <c r="AS80" s="33" t="n">
        <f aca="false">(1-'3. Assumptions'!$B$15)*SUMPRODUCT((('2. The tape'!$C$5:$C$13*'2. The tape'!$D$5:$D$13*(1-'2. The tape'!$J$5:$J$13)^($A80/4)*(1+$AR$5)^($A80/4)*((1-'3. Assumptions'!$B$13)/($AR$6)-'2. The tape'!$H$5:$H$13/12-'3. Assumptions'!$B$16)-'2. The tape'!$C$5:$C$13*'2. The tape'!$I$5:$I$13*(1+$AR$5)^($A80/4))&gt;0)*('2. The tape'!$C$5:$C$13*'2. The tape'!$D$5:$D$13*(1-'2. The tape'!$J$5:$J$13)^($A80/4)*(1+$AR$5)^($A80/4)*((1-'3. Assumptions'!$B$13)/($AR$6)-'2. The tape'!$H$5:$H$13/12-'3. Assumptions'!$B$16)-'2. The tape'!$C$5:$C$13*'2. The tape'!$I$5:$I$13*(1+$AR$5)^($A80/4)))</f>
        <v>128740244.182743</v>
      </c>
      <c r="AT80" s="33" t="n">
        <f aca="false">'2. The tape'!$C$17*(1+MIN(MAX($AT$5,'3. Assumptions'!$B$11),'3. Assumptions'!$B$10))^INT(($A80-1)/4)/4*(1-'3. Assumptions'!$B$13)</f>
        <v>4246774.29216789</v>
      </c>
      <c r="AU80" s="33" t="n">
        <f aca="false">(1-'3. Assumptions'!$B$15)*SUMPRODUCT((('2. The tape'!$C$5:$C$13*'2. The tape'!$D$5:$D$13*(1-'2. The tape'!$J$5:$J$13)^($A80/4)*(1+$AT$5)^($A80/4)*((1-'3. Assumptions'!$B$13)/($AT$6)-'2. The tape'!$H$5:$H$13/12-'3. Assumptions'!$B$16)-'2. The tape'!$C$5:$C$13*'2. The tape'!$I$5:$I$13*(1+$AT$5)^($A80/4))&gt;0)*('2. The tape'!$C$5:$C$13*'2. The tape'!$D$5:$D$13*(1-'2. The tape'!$J$5:$J$13)^($A80/4)*(1+$AT$5)^($A80/4)*((1-'3. Assumptions'!$B$13)/($AT$6)-'2. The tape'!$H$5:$H$13/12-'3. Assumptions'!$B$16)-'2. The tape'!$C$5:$C$13*'2. The tape'!$I$5:$I$13*(1+$AT$5)^($A80/4)))</f>
        <v>128740259.239997</v>
      </c>
      <c r="AV80" s="33" t="n">
        <f aca="false">'2. The tape'!$C$17*(1+MIN(MAX($AV$5,'3. Assumptions'!$B$11),'3. Assumptions'!$B$10))^INT(($A80-1)/4)/4*(1-'3. Assumptions'!$B$13)</f>
        <v>4246774.29216789</v>
      </c>
      <c r="AW80" s="33" t="n">
        <f aca="false">(1-'3. Assumptions'!$B$15)*SUMPRODUCT((('2. The tape'!$C$5:$C$13*'2. The tape'!$D$5:$D$13*(1-'2. The tape'!$J$5:$J$13)^($A80/4)*(1+$AV$5)^($A80/4)*((1-'3. Assumptions'!$B$13)/($AV$6)-'2. The tape'!$H$5:$H$13/12-'3. Assumptions'!$B$16)-'2. The tape'!$C$5:$C$13*'2. The tape'!$I$5:$I$13*(1+$AV$5)^($A80/4))&gt;0)*('2. The tape'!$C$5:$C$13*'2. The tape'!$D$5:$D$13*(1-'2. The tape'!$J$5:$J$13)^($A80/4)*(1+$AV$5)^($A80/4)*((1-'3. Assumptions'!$B$13)/($AV$6)-'2. The tape'!$H$5:$H$13/12-'3. Assumptions'!$B$16)-'2. The tape'!$C$5:$C$13*'2. The tape'!$I$5:$I$13*(1+$AV$5)^($A80/4)))</f>
        <v>128740259.239397</v>
      </c>
      <c r="AX80" s="33" t="n">
        <f aca="false">'2. The tape'!$C$17*(1+MIN(MAX($AX$5,'3. Assumptions'!$B$11),'3. Assumptions'!$B$10))^INT(($A80-1)/4)/4*(1-'3. Assumptions'!$B$13)</f>
        <v>4246774.29216789</v>
      </c>
      <c r="AY80" s="33" t="n">
        <f aca="false">(1-'3. Assumptions'!$B$15)*SUMPRODUCT((('2. The tape'!$C$5:$C$13*'2. The tape'!$D$5:$D$13*(1-'2. The tape'!$J$5:$J$13)^($A80/4)*(1+$AX$5)^($A80/4)*((1-'3. Assumptions'!$B$13)/($AX$6)-'2. The tape'!$H$5:$H$13/12-'3. Assumptions'!$B$16)-'2. The tape'!$C$5:$C$13*'2. The tape'!$I$5:$I$13*(1+$AX$5)^($A80/4))&gt;0)*('2. The tape'!$C$5:$C$13*'2. The tape'!$D$5:$D$13*(1-'2. The tape'!$J$5:$J$13)^($A80/4)*(1+$AX$5)^($A80/4)*((1-'3. Assumptions'!$B$13)/($AX$6)-'2. The tape'!$H$5:$H$13/12-'3. Assumptions'!$B$16)-'2. The tape'!$C$5:$C$13*'2. The tape'!$I$5:$I$13*(1+$AX$5)^($A80/4)))</f>
        <v>128740259.239397</v>
      </c>
      <c r="AZ80" s="33" t="n">
        <f aca="false">'2. The tape'!$C$17*(1+MIN(MAX($AZ$5,'3. Assumptions'!$B$11),'3. Assumptions'!$B$10))^INT(($A80-1)/4)/4*(1-'3. Assumptions'!$B$13)</f>
        <v>4246774.29216789</v>
      </c>
      <c r="BA80" s="33" t="n">
        <f aca="false">(1-'3. Assumptions'!$B$15)*SUMPRODUCT((('2. The tape'!$C$5:$C$13*'2. The tape'!$D$5:$D$13*(1-'2. The tape'!$J$5:$J$13)^($A80/4)*(1+$AZ$5)^($A80/4)*((1-'3. Assumptions'!$B$13)/($AZ$6)-'2. The tape'!$H$5:$H$13/12-'3. Assumptions'!$B$16)-'2. The tape'!$C$5:$C$13*'2. The tape'!$I$5:$I$13*(1+$AZ$5)^($A80/4))&gt;0)*('2. The tape'!$C$5:$C$13*'2. The tape'!$D$5:$D$13*(1-'2. The tape'!$J$5:$J$13)^($A80/4)*(1+$AZ$5)^($A80/4)*((1-'3. Assumptions'!$B$13)/($AZ$6)-'2. The tape'!$H$5:$H$13/12-'3. Assumptions'!$B$16)-'2. The tape'!$C$5:$C$13*'2. The tape'!$I$5:$I$13*(1+$AZ$5)^($A80/4)))</f>
        <v>128740259.239397</v>
      </c>
    </row>
    <row r="81" customFormat="false" ht="15" hidden="false" customHeight="false" outlineLevel="0" collapsed="false">
      <c r="A81" s="20" t="n">
        <v>66</v>
      </c>
      <c r="B81" s="33" t="n">
        <f aca="false">'2. The tape'!$C$17*(1+MIN(MAX($B$5,'3. Assumptions'!$B$11),'3. Assumptions'!$B$10))^INT(($A81-1)/4)/4*(1-'3. Assumptions'!$B$13)</f>
        <v>4246774.29216789</v>
      </c>
      <c r="C81" s="33" t="n">
        <f aca="false">(1-'3. Assumptions'!$B$15)*SUMPRODUCT((('2. The tape'!$C$5:$C$13*'2. The tape'!$D$5:$D$13*(1-'2. The tape'!$J$5:$J$13)^($A81/4)*(1+$B$5)^($A81/4)*((1-'3. Assumptions'!$B$13)/($B$6)-'2. The tape'!$H$5:$H$13/12-'3. Assumptions'!$B$16)-'2. The tape'!$C$5:$C$13*'2. The tape'!$I$5:$I$13*(1+$B$5)^($A81/4))&gt;0)*('2. The tape'!$C$5:$C$13*'2. The tape'!$D$5:$D$13*(1-'2. The tape'!$J$5:$J$13)^($A81/4)*(1+$B$5)^($A81/4)*((1-'3. Assumptions'!$B$13)/($B$6)-'2. The tape'!$H$5:$H$13/12-'3. Assumptions'!$B$16)-'2. The tape'!$C$5:$C$13*'2. The tape'!$I$5:$I$13*(1+$B$5)^($A81/4)))</f>
        <v>75501964.6237986</v>
      </c>
      <c r="D81" s="33" t="n">
        <f aca="false">'2. The tape'!$C$17*(1+MIN(MAX($D$5,'3. Assumptions'!$B$11),'3. Assumptions'!$B$10))^INT(($A81-1)/4)/4*(1-'3. Assumptions'!$B$13)</f>
        <v>4811056.33388074</v>
      </c>
      <c r="E81" s="33" t="n">
        <f aca="false">(1-'3. Assumptions'!$B$15)*SUMPRODUCT((('2. The tape'!$C$5:$C$13*'2. The tape'!$D$5:$D$13*(1-'2. The tape'!$J$5:$J$13)^($A81/4)*(1+$D$5)^($A81/4)*((1-'3. Assumptions'!$B$13)/($D$6)-'2. The tape'!$H$5:$H$13/12-'3. Assumptions'!$B$16)-'2. The tape'!$C$5:$C$13*'2. The tape'!$I$5:$I$13*(1+$D$5)^($A81/4))&gt;0)*('2. The tape'!$C$5:$C$13*'2. The tape'!$D$5:$D$13*(1-'2. The tape'!$J$5:$J$13)^($A81/4)*(1+$D$5)^($A81/4)*((1-'3. Assumptions'!$B$13)/($D$6)-'2. The tape'!$H$5:$H$13/12-'3. Assumptions'!$B$16)-'2. The tape'!$C$5:$C$13*'2. The tape'!$I$5:$I$13*(1+$D$5)^($A81/4)))</f>
        <v>93010984.9448727</v>
      </c>
      <c r="F81" s="33" t="n">
        <f aca="false">'2. The tape'!$C$17*(1+MIN(MAX($F$5,'3. Assumptions'!$B$11),'3. Assumptions'!$B$10))^INT(($A81-1)/4)/4*(1-'3. Assumptions'!$B$13)</f>
        <v>3515497.7752826</v>
      </c>
      <c r="G81" s="33" t="n">
        <f aca="false">(1-'3. Assumptions'!$B$15)*SUMPRODUCT((('2. The tape'!$C$5:$C$13*'2. The tape'!$D$5:$D$13*(1-'2. The tape'!$J$5:$J$13)^($A81/4)*(1+$F$5)^($A81/4)*((1-'3. Assumptions'!$B$13)/($F$6)-'2. The tape'!$H$5:$H$13/12-'3. Assumptions'!$B$16)-'2. The tape'!$C$5:$C$13*'2. The tape'!$I$5:$I$13*(1+$F$5)^($A81/4))&gt;0)*('2. The tape'!$C$5:$C$13*'2. The tape'!$D$5:$D$13*(1-'2. The tape'!$J$5:$J$13)^($A81/4)*(1+$F$5)^($A81/4)*((1-'3. Assumptions'!$B$13)/($F$6)-'2. The tape'!$H$5:$H$13/12-'3. Assumptions'!$B$16)-'2. The tape'!$C$5:$C$13*'2. The tape'!$I$5:$I$13*(1+$F$5)^($A81/4)))</f>
        <v>62132830.5849063</v>
      </c>
      <c r="H81" s="33" t="n">
        <f aca="false">'2. The tape'!$C$17*(1+MIN(MAX($H$5,'3. Assumptions'!$B$11),'3. Assumptions'!$B$10))^INT(($A81-1)/4)/4*(1-'3. Assumptions'!$B$13)</f>
        <v>4811056.33388074</v>
      </c>
      <c r="I81" s="33" t="n">
        <f aca="false">(1-'3. Assumptions'!$B$15)*SUMPRODUCT((('2. The tape'!$C$5:$C$13*'2. The tape'!$D$5:$D$13*(1-'2. The tape'!$J$5:$J$13)^($A81/4)*(1+$H$5)^($A81/4)*((1-'3. Assumptions'!$B$13)/($H$6)-'2. The tape'!$H$5:$H$13/12-'3. Assumptions'!$B$16)-'2. The tape'!$C$5:$C$13*'2. The tape'!$I$5:$I$13*(1+$H$5)^($A81/4))&gt;0)*('2. The tape'!$C$5:$C$13*'2. The tape'!$D$5:$D$13*(1-'2. The tape'!$J$5:$J$13)^($A81/4)*(1+$H$5)^($A81/4)*((1-'3. Assumptions'!$B$13)/($H$6)-'2. The tape'!$H$5:$H$13/12-'3. Assumptions'!$B$16)-'2. The tape'!$C$5:$C$13*'2. The tape'!$I$5:$I$13*(1+$H$5)^($A81/4)))</f>
        <v>93010984.9448727</v>
      </c>
      <c r="J81" s="33" t="n">
        <f aca="false">'2. The tape'!$C$17*(1+MIN(MAX($J$5,'3. Assumptions'!$B$11),'3. Assumptions'!$B$10))^INT(($A81-1)/4)/4*(1-'3. Assumptions'!$B$13)</f>
        <v>4246774.29216789</v>
      </c>
      <c r="K81" s="33" t="n">
        <f aca="false">(1-'3. Assumptions'!$B$15)*SUMPRODUCT((('2. The tape'!$C$5:$C$13*'2. The tape'!$D$5:$D$13*(1-'2. The tape'!$J$5:$J$13)^($A81/4)*(1+$J$5)^($A81/4)*((1-'3. Assumptions'!$B$13)/($J$6)-'2. The tape'!$H$5:$H$13/12-'3. Assumptions'!$B$16)-'2. The tape'!$C$5:$C$13*'2. The tape'!$I$5:$I$13*(1+$J$5)^($A81/4))&gt;0)*('2. The tape'!$C$5:$C$13*'2. The tape'!$D$5:$D$13*(1-'2. The tape'!$J$5:$J$13)^($A81/4)*(1+$J$5)^($A81/4)*((1-'3. Assumptions'!$B$13)/($J$6)-'2. The tape'!$H$5:$H$13/12-'3. Assumptions'!$B$16)-'2. The tape'!$C$5:$C$13*'2. The tape'!$I$5:$I$13*(1+$J$5)^($A81/4)))</f>
        <v>61453392.0809118</v>
      </c>
      <c r="L81" s="33" t="n">
        <f aca="false">'2. The tape'!$C$17*(1+MIN(MAX($L$5,'3. Assumptions'!$B$11),'3. Assumptions'!$B$10))^INT(($A81-1)/4)/4*(1-'3. Assumptions'!$B$13)</f>
        <v>4811056.33388074</v>
      </c>
      <c r="M81" s="33" t="n">
        <f aca="false">(1-'3. Assumptions'!$B$15)*SUMPRODUCT((('2. The tape'!$C$5:$C$13*'2. The tape'!$D$5:$D$13*(1-'2. The tape'!$J$5:$J$13)^($A81/4)*(1+$L$5)^($A81/4)*((1-'3. Assumptions'!$B$13)/($L$6)-'2. The tape'!$H$5:$H$13/12-'3. Assumptions'!$B$16)-'2. The tape'!$C$5:$C$13*'2. The tape'!$I$5:$I$13*(1+$L$5)^($A81/4))&gt;0)*('2. The tape'!$C$5:$C$13*'2. The tape'!$D$5:$D$13*(1-'2. The tape'!$J$5:$J$13)^($A81/4)*(1+$L$5)^($A81/4)*((1-'3. Assumptions'!$B$13)/($L$6)-'2. The tape'!$H$5:$H$13/12-'3. Assumptions'!$B$16)-'2. The tape'!$C$5:$C$13*'2. The tape'!$I$5:$I$13*(1+$L$5)^($A81/4)))</f>
        <v>4000219152.56449</v>
      </c>
      <c r="N81" s="33" t="n">
        <f aca="false">'2. The tape'!$C$17*(1+MIN(MAX($N$5,'3. Assumptions'!$B$11),'3. Assumptions'!$B$10))^INT(($A81-1)/4)/4*(1-'3. Assumptions'!$B$13)</f>
        <v>2998091.25</v>
      </c>
      <c r="O81" s="33" t="n">
        <f aca="false">(1-'3. Assumptions'!$B$15)*SUMPRODUCT((('2. The tape'!$C$5:$C$13*'2. The tape'!$D$5:$D$13*(1-'2. The tape'!$J$5:$J$13)^($A81/4)*(1+$N$5)^($A81/4)*((1-'3. Assumptions'!$B$13)/($N$6)-'2. The tape'!$H$5:$H$13/12-'3. Assumptions'!$B$16)-'2. The tape'!$C$5:$C$13*'2. The tape'!$I$5:$I$13*(1+$N$5)^($A81/4))&gt;0)*('2. The tape'!$C$5:$C$13*'2. The tape'!$D$5:$D$13*(1-'2. The tape'!$J$5:$J$13)^($A81/4)*(1+$N$5)^($A81/4)*((1-'3. Assumptions'!$B$13)/($N$6)-'2. The tape'!$H$5:$H$13/12-'3. Assumptions'!$B$16)-'2. The tape'!$C$5:$C$13*'2. The tape'!$I$5:$I$13*(1+$N$5)^($A81/4)))</f>
        <v>31897165.1646818</v>
      </c>
      <c r="P81" s="33" t="n">
        <f aca="false">'2. The tape'!$C$17*(1+MIN(MAX($P$5,'3. Assumptions'!$B$11),'3. Assumptions'!$B$10))^INT(($A81-1)/4)/4*(1-'3. Assumptions'!$B$13)</f>
        <v>2998091.25</v>
      </c>
      <c r="Q81" s="33" t="n">
        <f aca="false">(1-'3. Assumptions'!$B$15)*SUMPRODUCT((('2. The tape'!$C$5:$C$13*'2. The tape'!$D$5:$D$13*(1-'2. The tape'!$J$5:$J$13)^($A81/4)*(1+$P$5)^($A81/4)*((1-'3. Assumptions'!$B$13)/($P$6)-'2. The tape'!$H$5:$H$13/12-'3. Assumptions'!$B$16)-'2. The tape'!$C$5:$C$13*'2. The tape'!$I$5:$I$13*(1+$P$5)^($A81/4))&gt;0)*('2. The tape'!$C$5:$C$13*'2. The tape'!$D$5:$D$13*(1-'2. The tape'!$J$5:$J$13)^($A81/4)*(1+$P$5)^($A81/4)*((1-'3. Assumptions'!$B$13)/($P$6)-'2. The tape'!$H$5:$H$13/12-'3. Assumptions'!$B$16)-'2. The tape'!$C$5:$C$13*'2. The tape'!$I$5:$I$13*(1+$P$5)^($A81/4)))</f>
        <v>37778848.8691091</v>
      </c>
      <c r="R81" s="33" t="n">
        <f aca="false">'2. The tape'!$C$17*(1+MIN(MAX($R$5,'3. Assumptions'!$B$11),'3. Assumptions'!$B$10))^INT(($A81-1)/4)/4*(1-'3. Assumptions'!$B$13)</f>
        <v>2998091.25</v>
      </c>
      <c r="S81" s="33" t="n">
        <f aca="false">(1-'3. Assumptions'!$B$15)*SUMPRODUCT((('2. The tape'!$C$5:$C$13*'2. The tape'!$D$5:$D$13*(1-'2. The tape'!$J$5:$J$13)^($A81/4)*(1+$R$5)^($A81/4)*((1-'3. Assumptions'!$B$13)/($R$6)-'2. The tape'!$H$5:$H$13/12-'3. Assumptions'!$B$16)-'2. The tape'!$C$5:$C$13*'2. The tape'!$I$5:$I$13*(1+$R$5)^($A81/4))&gt;0)*('2. The tape'!$C$5:$C$13*'2. The tape'!$D$5:$D$13*(1-'2. The tape'!$J$5:$J$13)^($A81/4)*(1+$R$5)^($A81/4)*((1-'3. Assumptions'!$B$13)/($R$6)-'2. The tape'!$H$5:$H$13/12-'3. Assumptions'!$B$16)-'2. The tape'!$C$5:$C$13*'2. The tape'!$I$5:$I$13*(1+$R$5)^($A81/4)))</f>
        <v>34107320.8140769</v>
      </c>
      <c r="T81" s="33" t="n">
        <f aca="false">'2. The tape'!$C$17*(1+MIN(MAX($T$5,'3. Assumptions'!$B$11),'3. Assumptions'!$B$10))^INT(($A81-1)/4)/4*(1-'3. Assumptions'!$B$13)</f>
        <v>2998091.25</v>
      </c>
      <c r="U81" s="33" t="n">
        <f aca="false">(1-'3. Assumptions'!$B$15)*SUMPRODUCT((('2. The tape'!$C$5:$C$13*'2. The tape'!$D$5:$D$13*(1-'2. The tape'!$J$5:$J$13)^($A81/4)*(1+$T$5)^($A81/4)*((1-'3. Assumptions'!$B$13)/($T$6)-'2. The tape'!$H$5:$H$13/12-'3. Assumptions'!$B$16)-'2. The tape'!$C$5:$C$13*'2. The tape'!$I$5:$I$13*(1+$T$5)^($A81/4))&gt;0)*('2. The tape'!$C$5:$C$13*'2. The tape'!$D$5:$D$13*(1-'2. The tape'!$J$5:$J$13)^($A81/4)*(1+$T$5)^($A81/4)*((1-'3. Assumptions'!$B$13)/($T$6)-'2. The tape'!$H$5:$H$13/12-'3. Assumptions'!$B$16)-'2. The tape'!$C$5:$C$13*'2. The tape'!$I$5:$I$13*(1+$T$5)^($A81/4)))</f>
        <v>34012568.5427441</v>
      </c>
      <c r="V81" s="33" t="n">
        <f aca="false">'2. The tape'!$C$17*(1+MIN(MAX($V$5,'3. Assumptions'!$B$11),'3. Assumptions'!$B$10))^INT(($A81-1)/4)/4*(1-'3. Assumptions'!$B$13)</f>
        <v>2998091.25</v>
      </c>
      <c r="W81" s="33" t="n">
        <f aca="false">(1-'3. Assumptions'!$B$15)*SUMPRODUCT((('2. The tape'!$C$5:$C$13*'2. The tape'!$D$5:$D$13*(1-'2. The tape'!$J$5:$J$13)^($A81/4)*(1+$V$5)^($A81/4)*((1-'3. Assumptions'!$B$13)/($V$6)-'2. The tape'!$H$5:$H$13/12-'3. Assumptions'!$B$16)-'2. The tape'!$C$5:$C$13*'2. The tape'!$I$5:$I$13*(1+$V$5)^($A81/4))&gt;0)*('2. The tape'!$C$5:$C$13*'2. The tape'!$D$5:$D$13*(1-'2. The tape'!$J$5:$J$13)^($A81/4)*(1+$V$5)^($A81/4)*((1-'3. Assumptions'!$B$13)/($V$6)-'2. The tape'!$H$5:$H$13/12-'3. Assumptions'!$B$16)-'2. The tape'!$C$5:$C$13*'2. The tape'!$I$5:$I$13*(1+$V$5)^($A81/4)))</f>
        <v>34016370.8251008</v>
      </c>
      <c r="X81" s="33" t="n">
        <f aca="false">'2. The tape'!$C$17*(1+MIN(MAX($X$5,'3. Assumptions'!$B$11),'3. Assumptions'!$B$10))^INT(($A81-1)/4)/4*(1-'3. Assumptions'!$B$13)</f>
        <v>2998091.25</v>
      </c>
      <c r="Y81" s="33" t="n">
        <f aca="false">(1-'3. Assumptions'!$B$15)*SUMPRODUCT((('2. The tape'!$C$5:$C$13*'2. The tape'!$D$5:$D$13*(1-'2. The tape'!$J$5:$J$13)^($A81/4)*(1+$X$5)^($A81/4)*((1-'3. Assumptions'!$B$13)/($X$6)-'2. The tape'!$H$5:$H$13/12-'3. Assumptions'!$B$16)-'2. The tape'!$C$5:$C$13*'2. The tape'!$I$5:$I$13*(1+$X$5)^($A81/4))&gt;0)*('2. The tape'!$C$5:$C$13*'2. The tape'!$D$5:$D$13*(1-'2. The tape'!$J$5:$J$13)^($A81/4)*(1+$X$5)^($A81/4)*((1-'3. Assumptions'!$B$13)/($X$6)-'2. The tape'!$H$5:$H$13/12-'3. Assumptions'!$B$16)-'2. The tape'!$C$5:$C$13*'2. The tape'!$I$5:$I$13*(1+$X$5)^($A81/4)))</f>
        <v>34016366.8265547</v>
      </c>
      <c r="Z81" s="33" t="n">
        <f aca="false">'2. The tape'!$C$17*(1+MIN(MAX($Z$5,'3. Assumptions'!$B$11),'3. Assumptions'!$B$10))^INT(($A81-1)/4)/4*(1-'3. Assumptions'!$B$13)</f>
        <v>2998091.25</v>
      </c>
      <c r="AA81" s="33" t="n">
        <f aca="false">(1-'3. Assumptions'!$B$15)*SUMPRODUCT((('2. The tape'!$C$5:$C$13*'2. The tape'!$D$5:$D$13*(1-'2. The tape'!$J$5:$J$13)^($A81/4)*(1+$Z$5)^($A81/4)*((1-'3. Assumptions'!$B$13)/($Z$6)-'2. The tape'!$H$5:$H$13/12-'3. Assumptions'!$B$16)-'2. The tape'!$C$5:$C$13*'2. The tape'!$I$5:$I$13*(1+$Z$5)^($A81/4))&gt;0)*('2. The tape'!$C$5:$C$13*'2. The tape'!$D$5:$D$13*(1-'2. The tape'!$J$5:$J$13)^($A81/4)*(1+$Z$5)^($A81/4)*((1-'3. Assumptions'!$B$13)/($Z$6)-'2. The tape'!$H$5:$H$13/12-'3. Assumptions'!$B$16)-'2. The tape'!$C$5:$C$13*'2. The tape'!$I$5:$I$13*(1+$Z$5)^($A81/4)))</f>
        <v>34016366.8263787</v>
      </c>
      <c r="AB81" s="33" t="n">
        <f aca="false">'2. The tape'!$C$17*(1+MIN(MAX($AB$5,'3. Assumptions'!$B$11),'3. Assumptions'!$B$10))^INT(($A81-1)/4)/4*(1-'3. Assumptions'!$B$13)</f>
        <v>2998091.25</v>
      </c>
      <c r="AC81" s="33" t="n">
        <f aca="false">(1-'3. Assumptions'!$B$15)*SUMPRODUCT((('2. The tape'!$C$5:$C$13*'2. The tape'!$D$5:$D$13*(1-'2. The tape'!$J$5:$J$13)^($A81/4)*(1+$AB$5)^($A81/4)*((1-'3. Assumptions'!$B$13)/($AB$6)-'2. The tape'!$H$5:$H$13/12-'3. Assumptions'!$B$16)-'2. The tape'!$C$5:$C$13*'2. The tape'!$I$5:$I$13*(1+$AB$5)^($A81/4))&gt;0)*('2. The tape'!$C$5:$C$13*'2. The tape'!$D$5:$D$13*(1-'2. The tape'!$J$5:$J$13)^($A81/4)*(1+$AB$5)^($A81/4)*((1-'3. Assumptions'!$B$13)/($AB$6)-'2. The tape'!$H$5:$H$13/12-'3. Assumptions'!$B$16)-'2. The tape'!$C$5:$C$13*'2. The tape'!$I$5:$I$13*(1+$AB$5)^($A81/4)))</f>
        <v>34016366.8263787</v>
      </c>
      <c r="AD81" s="33" t="n">
        <f aca="false">'2. The tape'!$C$17*(1+MIN(MAX($AD$5,'3. Assumptions'!$B$11),'3. Assumptions'!$B$10))^INT(($A81-1)/4)/4*(1-'3. Assumptions'!$B$13)</f>
        <v>2998091.25</v>
      </c>
      <c r="AE81" s="33" t="n">
        <f aca="false">(1-'3. Assumptions'!$B$15)*SUMPRODUCT((('2. The tape'!$C$5:$C$13*'2. The tape'!$D$5:$D$13*(1-'2. The tape'!$J$5:$J$13)^($A81/4)*(1+$AD$5)^($A81/4)*((1-'3. Assumptions'!$B$13)/($AD$6)-'2. The tape'!$H$5:$H$13/12-'3. Assumptions'!$B$16)-'2. The tape'!$C$5:$C$13*'2. The tape'!$I$5:$I$13*(1+$AD$5)^($A81/4))&gt;0)*('2. The tape'!$C$5:$C$13*'2. The tape'!$D$5:$D$13*(1-'2. The tape'!$J$5:$J$13)^($A81/4)*(1+$AD$5)^($A81/4)*((1-'3. Assumptions'!$B$13)/($AD$6)-'2. The tape'!$H$5:$H$13/12-'3. Assumptions'!$B$16)-'2. The tape'!$C$5:$C$13*'2. The tape'!$I$5:$I$13*(1+$AD$5)^($A81/4)))</f>
        <v>34016366.8263787</v>
      </c>
      <c r="AF81" s="33" t="n">
        <f aca="false">'2. The tape'!$C$17*(1+MIN(MAX($AF$5,'3. Assumptions'!$B$11),'3. Assumptions'!$B$10))^INT(($A81-1)/4)/4*(1-'3. Assumptions'!$B$13)</f>
        <v>2998091.25</v>
      </c>
      <c r="AG81" s="33" t="n">
        <f aca="false">(1-'3. Assumptions'!$B$15)*SUMPRODUCT((('2. The tape'!$C$5:$C$13*'2. The tape'!$D$5:$D$13*(1-'2. The tape'!$J$5:$J$13)^($A81/4)*(1+$AF$5)^($A81/4)*((1-'3. Assumptions'!$B$13)/($AF$6)-'2. The tape'!$H$5:$H$13/12-'3. Assumptions'!$B$16)-'2. The tape'!$C$5:$C$13*'2. The tape'!$I$5:$I$13*(1+$AF$5)^($A81/4))&gt;0)*('2. The tape'!$C$5:$C$13*'2. The tape'!$D$5:$D$13*(1-'2. The tape'!$J$5:$J$13)^($A81/4)*(1+$AF$5)^($A81/4)*((1-'3. Assumptions'!$B$13)/($AF$6)-'2. The tape'!$H$5:$H$13/12-'3. Assumptions'!$B$16)-'2. The tape'!$C$5:$C$13*'2. The tape'!$I$5:$I$13*(1+$AF$5)^($A81/4)))</f>
        <v>34016366.8263787</v>
      </c>
      <c r="AH81" s="33" t="n">
        <f aca="false">'2. The tape'!$C$17*(1+MIN(MAX($AH$5,'3. Assumptions'!$B$11),'3. Assumptions'!$B$10))^INT(($A81-1)/4)/4*(1-'3. Assumptions'!$B$13)</f>
        <v>4246774.29216789</v>
      </c>
      <c r="AI81" s="33" t="n">
        <f aca="false">(1-'3. Assumptions'!$B$15)*SUMPRODUCT((('2. The tape'!$C$5:$C$13*'2. The tape'!$D$5:$D$13*(1-'2. The tape'!$J$5:$J$13)^($A81/4)*(1+$AH$5)^($A81/4)*((1-'3. Assumptions'!$B$13)/($AH$6)-'2. The tape'!$H$5:$H$13/12-'3. Assumptions'!$B$16)-'2. The tape'!$C$5:$C$13*'2. The tape'!$I$5:$I$13*(1+$AH$5)^($A81/4))&gt;0)*('2. The tape'!$C$5:$C$13*'2. The tape'!$D$5:$D$13*(1-'2. The tape'!$J$5:$J$13)^($A81/4)*(1+$AH$5)^($A81/4)*((1-'3. Assumptions'!$B$13)/($AH$6)-'2. The tape'!$H$5:$H$13/12-'3. Assumptions'!$B$16)-'2. The tape'!$C$5:$C$13*'2. The tape'!$I$5:$I$13*(1+$AH$5)^($A81/4)))</f>
        <v>152207170.70796</v>
      </c>
      <c r="AJ81" s="33" t="n">
        <f aca="false">'2. The tape'!$C$17*(1+MIN(MAX($AJ$5,'3. Assumptions'!$B$11),'3. Assumptions'!$B$10))^INT(($A81-1)/4)/4*(1-'3. Assumptions'!$B$13)</f>
        <v>4246774.29216789</v>
      </c>
      <c r="AK81" s="33" t="n">
        <f aca="false">(1-'3. Assumptions'!$B$15)*SUMPRODUCT((('2. The tape'!$C$5:$C$13*'2. The tape'!$D$5:$D$13*(1-'2. The tape'!$J$5:$J$13)^($A81/4)*(1+$AJ$5)^($A81/4)*((1-'3. Assumptions'!$B$13)/($AJ$6)-'2. The tape'!$H$5:$H$13/12-'3. Assumptions'!$B$16)-'2. The tape'!$C$5:$C$13*'2. The tape'!$I$5:$I$13*(1+$AJ$5)^($A81/4))&gt;0)*('2. The tape'!$C$5:$C$13*'2. The tape'!$D$5:$D$13*(1-'2. The tape'!$J$5:$J$13)^($A81/4)*(1+$AJ$5)^($A81/4)*((1-'3. Assumptions'!$B$13)/($AJ$6)-'2. The tape'!$H$5:$H$13/12-'3. Assumptions'!$B$16)-'2. The tape'!$C$5:$C$13*'2. The tape'!$I$5:$I$13*(1+$AJ$5)^($A81/4)))</f>
        <v>109218538.726727</v>
      </c>
      <c r="AL81" s="33" t="n">
        <f aca="false">'2. The tape'!$C$17*(1+MIN(MAX($AL$5,'3. Assumptions'!$B$11),'3. Assumptions'!$B$10))^INT(($A81-1)/4)/4*(1-'3. Assumptions'!$B$13)</f>
        <v>4246774.29216789</v>
      </c>
      <c r="AM81" s="33" t="n">
        <f aca="false">(1-'3. Assumptions'!$B$15)*SUMPRODUCT((('2. The tape'!$C$5:$C$13*'2. The tape'!$D$5:$D$13*(1-'2. The tape'!$J$5:$J$13)^($A81/4)*(1+$AL$5)^($A81/4)*((1-'3. Assumptions'!$B$13)/($AL$6)-'2. The tape'!$H$5:$H$13/12-'3. Assumptions'!$B$16)-'2. The tape'!$C$5:$C$13*'2. The tape'!$I$5:$I$13*(1+$AL$5)^($A81/4))&gt;0)*('2. The tape'!$C$5:$C$13*'2. The tape'!$D$5:$D$13*(1-'2. The tape'!$J$5:$J$13)^($A81/4)*(1+$AL$5)^($A81/4)*((1-'3. Assumptions'!$B$13)/($AL$6)-'2. The tape'!$H$5:$H$13/12-'3. Assumptions'!$B$16)-'2. The tape'!$C$5:$C$13*'2. The tape'!$I$5:$I$13*(1+$AL$5)^($A81/4)))</f>
        <v>125891398.062992</v>
      </c>
      <c r="AN81" s="33" t="n">
        <f aca="false">'2. The tape'!$C$17*(1+MIN(MAX($AN$5,'3. Assumptions'!$B$11),'3. Assumptions'!$B$10))^INT(($A81-1)/4)/4*(1-'3. Assumptions'!$B$13)</f>
        <v>4246774.29216789</v>
      </c>
      <c r="AO81" s="33" t="n">
        <f aca="false">(1-'3. Assumptions'!$B$15)*SUMPRODUCT((('2. The tape'!$C$5:$C$13*'2. The tape'!$D$5:$D$13*(1-'2. The tape'!$J$5:$J$13)^($A81/4)*(1+$AN$5)^($A81/4)*((1-'3. Assumptions'!$B$13)/($AN$6)-'2. The tape'!$H$5:$H$13/12-'3. Assumptions'!$B$16)-'2. The tape'!$C$5:$C$13*'2. The tape'!$I$5:$I$13*(1+$AN$5)^($A81/4))&gt;0)*('2. The tape'!$C$5:$C$13*'2. The tape'!$D$5:$D$13*(1-'2. The tape'!$J$5:$J$13)^($A81/4)*(1+$AN$5)^($A81/4)*((1-'3. Assumptions'!$B$13)/($AN$6)-'2. The tape'!$H$5:$H$13/12-'3. Assumptions'!$B$16)-'2. The tape'!$C$5:$C$13*'2. The tape'!$I$5:$I$13*(1+$AN$5)^($A81/4)))</f>
        <v>129013069.340234</v>
      </c>
      <c r="AP81" s="33" t="n">
        <f aca="false">'2. The tape'!$C$17*(1+MIN(MAX($AP$5,'3. Assumptions'!$B$11),'3. Assumptions'!$B$10))^INT(($A81-1)/4)/4*(1-'3. Assumptions'!$B$13)</f>
        <v>4246774.29216789</v>
      </c>
      <c r="AQ81" s="33" t="n">
        <f aca="false">(1-'3. Assumptions'!$B$15)*SUMPRODUCT((('2. The tape'!$C$5:$C$13*'2. The tape'!$D$5:$D$13*(1-'2. The tape'!$J$5:$J$13)^($A81/4)*(1+$AP$5)^($A81/4)*((1-'3. Assumptions'!$B$13)/($AP$6)-'2. The tape'!$H$5:$H$13/12-'3. Assumptions'!$B$16)-'2. The tape'!$C$5:$C$13*'2. The tape'!$I$5:$I$13*(1+$AP$5)^($A81/4))&gt;0)*('2. The tape'!$C$5:$C$13*'2. The tape'!$D$5:$D$13*(1-'2. The tape'!$J$5:$J$13)^($A81/4)*(1+$AP$5)^($A81/4)*((1-'3. Assumptions'!$B$13)/($AP$6)-'2. The tape'!$H$5:$H$13/12-'3. Assumptions'!$B$16)-'2. The tape'!$C$5:$C$13*'2. The tape'!$I$5:$I$13*(1+$AP$5)^($A81/4)))</f>
        <v>128627705.426846</v>
      </c>
      <c r="AR81" s="33" t="n">
        <f aca="false">'2. The tape'!$C$17*(1+MIN(MAX($AR$5,'3. Assumptions'!$B$11),'3. Assumptions'!$B$10))^INT(($A81-1)/4)/4*(1-'3. Assumptions'!$B$13)</f>
        <v>4246774.29216789</v>
      </c>
      <c r="AS81" s="33" t="n">
        <f aca="false">(1-'3. Assumptions'!$B$15)*SUMPRODUCT((('2. The tape'!$C$5:$C$13*'2. The tape'!$D$5:$D$13*(1-'2. The tape'!$J$5:$J$13)^($A81/4)*(1+$AR$5)^($A81/4)*((1-'3. Assumptions'!$B$13)/($AR$6)-'2. The tape'!$H$5:$H$13/12-'3. Assumptions'!$B$16)-'2. The tape'!$C$5:$C$13*'2. The tape'!$I$5:$I$13*(1+$AR$5)^($A81/4))&gt;0)*('2. The tape'!$C$5:$C$13*'2. The tape'!$D$5:$D$13*(1-'2. The tape'!$J$5:$J$13)^($A81/4)*(1+$AR$5)^($A81/4)*((1-'3. Assumptions'!$B$13)/($AR$6)-'2. The tape'!$H$5:$H$13/12-'3. Assumptions'!$B$16)-'2. The tape'!$C$5:$C$13*'2. The tape'!$I$5:$I$13*(1+$AR$5)^($A81/4)))</f>
        <v>128634171.281337</v>
      </c>
      <c r="AT81" s="33" t="n">
        <f aca="false">'2. The tape'!$C$17*(1+MIN(MAX($AT$5,'3. Assumptions'!$B$11),'3. Assumptions'!$B$10))^INT(($A81-1)/4)/4*(1-'3. Assumptions'!$B$13)</f>
        <v>4246774.29216789</v>
      </c>
      <c r="AU81" s="33" t="n">
        <f aca="false">(1-'3. Assumptions'!$B$15)*SUMPRODUCT((('2. The tape'!$C$5:$C$13*'2. The tape'!$D$5:$D$13*(1-'2. The tape'!$J$5:$J$13)^($A81/4)*(1+$AT$5)^($A81/4)*((1-'3. Assumptions'!$B$13)/($AT$6)-'2. The tape'!$H$5:$H$13/12-'3. Assumptions'!$B$16)-'2. The tape'!$C$5:$C$13*'2. The tape'!$I$5:$I$13*(1+$AT$5)^($A81/4))&gt;0)*('2. The tape'!$C$5:$C$13*'2. The tape'!$D$5:$D$13*(1-'2. The tape'!$J$5:$J$13)^($A81/4)*(1+$AT$5)^($A81/4)*((1-'3. Assumptions'!$B$13)/($AT$6)-'2. The tape'!$H$5:$H$13/12-'3. Assumptions'!$B$16)-'2. The tape'!$C$5:$C$13*'2. The tape'!$I$5:$I$13*(1+$AT$5)^($A81/4)))</f>
        <v>128634186.338685</v>
      </c>
      <c r="AV81" s="33" t="n">
        <f aca="false">'2. The tape'!$C$17*(1+MIN(MAX($AV$5,'3. Assumptions'!$B$11),'3. Assumptions'!$B$10))^INT(($A81-1)/4)/4*(1-'3. Assumptions'!$B$13)</f>
        <v>4246774.29216789</v>
      </c>
      <c r="AW81" s="33" t="n">
        <f aca="false">(1-'3. Assumptions'!$B$15)*SUMPRODUCT((('2. The tape'!$C$5:$C$13*'2. The tape'!$D$5:$D$13*(1-'2. The tape'!$J$5:$J$13)^($A81/4)*(1+$AV$5)^($A81/4)*((1-'3. Assumptions'!$B$13)/($AV$6)-'2. The tape'!$H$5:$H$13/12-'3. Assumptions'!$B$16)-'2. The tape'!$C$5:$C$13*'2. The tape'!$I$5:$I$13*(1+$AV$5)^($A81/4))&gt;0)*('2. The tape'!$C$5:$C$13*'2. The tape'!$D$5:$D$13*(1-'2. The tape'!$J$5:$J$13)^($A81/4)*(1+$AV$5)^($A81/4)*((1-'3. Assumptions'!$B$13)/($AV$6)-'2. The tape'!$H$5:$H$13/12-'3. Assumptions'!$B$16)-'2. The tape'!$C$5:$C$13*'2. The tape'!$I$5:$I$13*(1+$AV$5)^($A81/4)))</f>
        <v>128634186.338086</v>
      </c>
      <c r="AX81" s="33" t="n">
        <f aca="false">'2. The tape'!$C$17*(1+MIN(MAX($AX$5,'3. Assumptions'!$B$11),'3. Assumptions'!$B$10))^INT(($A81-1)/4)/4*(1-'3. Assumptions'!$B$13)</f>
        <v>4246774.29216789</v>
      </c>
      <c r="AY81" s="33" t="n">
        <f aca="false">(1-'3. Assumptions'!$B$15)*SUMPRODUCT((('2. The tape'!$C$5:$C$13*'2. The tape'!$D$5:$D$13*(1-'2. The tape'!$J$5:$J$13)^($A81/4)*(1+$AX$5)^($A81/4)*((1-'3. Assumptions'!$B$13)/($AX$6)-'2. The tape'!$H$5:$H$13/12-'3. Assumptions'!$B$16)-'2. The tape'!$C$5:$C$13*'2. The tape'!$I$5:$I$13*(1+$AX$5)^($A81/4))&gt;0)*('2. The tape'!$C$5:$C$13*'2. The tape'!$D$5:$D$13*(1-'2. The tape'!$J$5:$J$13)^($A81/4)*(1+$AX$5)^($A81/4)*((1-'3. Assumptions'!$B$13)/($AX$6)-'2. The tape'!$H$5:$H$13/12-'3. Assumptions'!$B$16)-'2. The tape'!$C$5:$C$13*'2. The tape'!$I$5:$I$13*(1+$AX$5)^($A81/4)))</f>
        <v>128634186.338086</v>
      </c>
      <c r="AZ81" s="33" t="n">
        <f aca="false">'2. The tape'!$C$17*(1+MIN(MAX($AZ$5,'3. Assumptions'!$B$11),'3. Assumptions'!$B$10))^INT(($A81-1)/4)/4*(1-'3. Assumptions'!$B$13)</f>
        <v>4246774.29216789</v>
      </c>
      <c r="BA81" s="33" t="n">
        <f aca="false">(1-'3. Assumptions'!$B$15)*SUMPRODUCT((('2. The tape'!$C$5:$C$13*'2. The tape'!$D$5:$D$13*(1-'2. The tape'!$J$5:$J$13)^($A81/4)*(1+$AZ$5)^($A81/4)*((1-'3. Assumptions'!$B$13)/($AZ$6)-'2. The tape'!$H$5:$H$13/12-'3. Assumptions'!$B$16)-'2. The tape'!$C$5:$C$13*'2. The tape'!$I$5:$I$13*(1+$AZ$5)^($A81/4))&gt;0)*('2. The tape'!$C$5:$C$13*'2. The tape'!$D$5:$D$13*(1-'2. The tape'!$J$5:$J$13)^($A81/4)*(1+$AZ$5)^($A81/4)*((1-'3. Assumptions'!$B$13)/($AZ$6)-'2. The tape'!$H$5:$H$13/12-'3. Assumptions'!$B$16)-'2. The tape'!$C$5:$C$13*'2. The tape'!$I$5:$I$13*(1+$AZ$5)^($A81/4)))</f>
        <v>128634186.338086</v>
      </c>
    </row>
    <row r="82" customFormat="false" ht="15" hidden="false" customHeight="false" outlineLevel="0" collapsed="false">
      <c r="A82" s="20" t="n">
        <v>67</v>
      </c>
      <c r="B82" s="33" t="n">
        <f aca="false">'2. The tape'!$C$17*(1+MIN(MAX($B$5,'3. Assumptions'!$B$11),'3. Assumptions'!$B$10))^INT(($A82-1)/4)/4*(1-'3. Assumptions'!$B$13)</f>
        <v>4246774.29216789</v>
      </c>
      <c r="C82" s="33" t="n">
        <f aca="false">(1-'3. Assumptions'!$B$15)*SUMPRODUCT((('2. The tape'!$C$5:$C$13*'2. The tape'!$D$5:$D$13*(1-'2. The tape'!$J$5:$J$13)^($A82/4)*(1+$B$5)^($A82/4)*((1-'3. Assumptions'!$B$13)/($B$6)-'2. The tape'!$H$5:$H$13/12-'3. Assumptions'!$B$16)-'2. The tape'!$C$5:$C$13*'2. The tape'!$I$5:$I$13*(1+$B$5)^($A82/4))&gt;0)*('2. The tape'!$C$5:$C$13*'2. The tape'!$D$5:$D$13*(1-'2. The tape'!$J$5:$J$13)^($A82/4)*(1+$B$5)^($A82/4)*((1-'3. Assumptions'!$B$13)/($B$6)-'2. The tape'!$H$5:$H$13/12-'3. Assumptions'!$B$16)-'2. The tape'!$C$5:$C$13*'2. The tape'!$I$5:$I$13*(1+$B$5)^($A82/4)))</f>
        <v>75395197.5990609</v>
      </c>
      <c r="D82" s="33" t="n">
        <f aca="false">'2. The tape'!$C$17*(1+MIN(MAX($D$5,'3. Assumptions'!$B$11),'3. Assumptions'!$B$10))^INT(($A82-1)/4)/4*(1-'3. Assumptions'!$B$13)</f>
        <v>4811056.33388074</v>
      </c>
      <c r="E82" s="33" t="n">
        <f aca="false">(1-'3. Assumptions'!$B$15)*SUMPRODUCT((('2. The tape'!$C$5:$C$13*'2. The tape'!$D$5:$D$13*(1-'2. The tape'!$J$5:$J$13)^($A82/4)*(1+$D$5)^($A82/4)*((1-'3. Assumptions'!$B$13)/($D$6)-'2. The tape'!$H$5:$H$13/12-'3. Assumptions'!$B$16)-'2. The tape'!$C$5:$C$13*'2. The tape'!$I$5:$I$13*(1+$D$5)^($A82/4))&gt;0)*('2. The tape'!$C$5:$C$13*'2. The tape'!$D$5:$D$13*(1-'2. The tape'!$J$5:$J$13)^($A82/4)*(1+$D$5)^($A82/4)*((1-'3. Assumptions'!$B$13)/($D$6)-'2. The tape'!$H$5:$H$13/12-'3. Assumptions'!$B$16)-'2. The tape'!$C$5:$C$13*'2. The tape'!$I$5:$I$13*(1+$D$5)^($A82/4)))</f>
        <v>93173420.2755228</v>
      </c>
      <c r="F82" s="33" t="n">
        <f aca="false">'2. The tape'!$C$17*(1+MIN(MAX($F$5,'3. Assumptions'!$B$11),'3. Assumptions'!$B$10))^INT(($A82-1)/4)/4*(1-'3. Assumptions'!$B$13)</f>
        <v>3515497.7752826</v>
      </c>
      <c r="G82" s="33" t="n">
        <f aca="false">(1-'3. Assumptions'!$B$15)*SUMPRODUCT((('2. The tape'!$C$5:$C$13*'2. The tape'!$D$5:$D$13*(1-'2. The tape'!$J$5:$J$13)^($A82/4)*(1+$F$5)^($A82/4)*((1-'3. Assumptions'!$B$13)/($F$6)-'2. The tape'!$H$5:$H$13/12-'3. Assumptions'!$B$16)-'2. The tape'!$C$5:$C$13*'2. The tape'!$I$5:$I$13*(1+$F$5)^($A82/4))&gt;0)*('2. The tape'!$C$5:$C$13*'2. The tape'!$D$5:$D$13*(1-'2. The tape'!$J$5:$J$13)^($A82/4)*(1+$F$5)^($A82/4)*((1-'3. Assumptions'!$B$13)/($F$6)-'2. The tape'!$H$5:$H$13/12-'3. Assumptions'!$B$16)-'2. The tape'!$C$5:$C$13*'2. The tape'!$I$5:$I$13*(1+$F$5)^($A82/4)))</f>
        <v>61862033.2391485</v>
      </c>
      <c r="H82" s="33" t="n">
        <f aca="false">'2. The tape'!$C$17*(1+MIN(MAX($H$5,'3. Assumptions'!$B$11),'3. Assumptions'!$B$10))^INT(($A82-1)/4)/4*(1-'3. Assumptions'!$B$13)</f>
        <v>4811056.33388074</v>
      </c>
      <c r="I82" s="33" t="n">
        <f aca="false">(1-'3. Assumptions'!$B$15)*SUMPRODUCT((('2. The tape'!$C$5:$C$13*'2. The tape'!$D$5:$D$13*(1-'2. The tape'!$J$5:$J$13)^($A82/4)*(1+$H$5)^($A82/4)*((1-'3. Assumptions'!$B$13)/($H$6)-'2. The tape'!$H$5:$H$13/12-'3. Assumptions'!$B$16)-'2. The tape'!$C$5:$C$13*'2. The tape'!$I$5:$I$13*(1+$H$5)^($A82/4))&gt;0)*('2. The tape'!$C$5:$C$13*'2. The tape'!$D$5:$D$13*(1-'2. The tape'!$J$5:$J$13)^($A82/4)*(1+$H$5)^($A82/4)*((1-'3. Assumptions'!$B$13)/($H$6)-'2. The tape'!$H$5:$H$13/12-'3. Assumptions'!$B$16)-'2. The tape'!$C$5:$C$13*'2. The tape'!$I$5:$I$13*(1+$H$5)^($A82/4)))</f>
        <v>93173420.2755228</v>
      </c>
      <c r="J82" s="33" t="n">
        <f aca="false">'2. The tape'!$C$17*(1+MIN(MAX($J$5,'3. Assumptions'!$B$11),'3. Assumptions'!$B$10))^INT(($A82-1)/4)/4*(1-'3. Assumptions'!$B$13)</f>
        <v>4246774.29216789</v>
      </c>
      <c r="K82" s="33" t="n">
        <f aca="false">(1-'3. Assumptions'!$B$15)*SUMPRODUCT((('2. The tape'!$C$5:$C$13*'2. The tape'!$D$5:$D$13*(1-'2. The tape'!$J$5:$J$13)^($A82/4)*(1+$J$5)^($A82/4)*((1-'3. Assumptions'!$B$13)/($J$6)-'2. The tape'!$H$5:$H$13/12-'3. Assumptions'!$B$16)-'2. The tape'!$C$5:$C$13*'2. The tape'!$I$5:$I$13*(1+$J$5)^($A82/4))&gt;0)*('2. The tape'!$C$5:$C$13*'2. The tape'!$D$5:$D$13*(1-'2. The tape'!$J$5:$J$13)^($A82/4)*(1+$J$5)^($A82/4)*((1-'3. Assumptions'!$B$13)/($J$6)-'2. The tape'!$H$5:$H$13/12-'3. Assumptions'!$B$16)-'2. The tape'!$C$5:$C$13*'2. The tape'!$I$5:$I$13*(1+$J$5)^($A82/4)))</f>
        <v>61346497.4583476</v>
      </c>
      <c r="L82" s="33" t="n">
        <f aca="false">'2. The tape'!$C$17*(1+MIN(MAX($L$5,'3. Assumptions'!$B$11),'3. Assumptions'!$B$10))^INT(($A82-1)/4)/4*(1-'3. Assumptions'!$B$13)</f>
        <v>4811056.33388074</v>
      </c>
      <c r="M82" s="33" t="n">
        <f aca="false">(1-'3. Assumptions'!$B$15)*SUMPRODUCT((('2. The tape'!$C$5:$C$13*'2. The tape'!$D$5:$D$13*(1-'2. The tape'!$J$5:$J$13)^($A82/4)*(1+$L$5)^($A82/4)*((1-'3. Assumptions'!$B$13)/($L$6)-'2. The tape'!$H$5:$H$13/12-'3. Assumptions'!$B$16)-'2. The tape'!$C$5:$C$13*'2. The tape'!$I$5:$I$13*(1+$L$5)^($A82/4))&gt;0)*('2. The tape'!$C$5:$C$13*'2. The tape'!$D$5:$D$13*(1-'2. The tape'!$J$5:$J$13)^($A82/4)*(1+$L$5)^($A82/4)*((1-'3. Assumptions'!$B$13)/($L$6)-'2. The tape'!$H$5:$H$13/12-'3. Assumptions'!$B$16)-'2. The tape'!$C$5:$C$13*'2. The tape'!$I$5:$I$13*(1+$L$5)^($A82/4)))</f>
        <v>4242211630.30565</v>
      </c>
      <c r="N82" s="33" t="n">
        <f aca="false">'2. The tape'!$C$17*(1+MIN(MAX($N$5,'3. Assumptions'!$B$11),'3. Assumptions'!$B$10))^INT(($A82-1)/4)/4*(1-'3. Assumptions'!$B$13)</f>
        <v>2998091.25</v>
      </c>
      <c r="O82" s="33" t="n">
        <f aca="false">(1-'3. Assumptions'!$B$15)*SUMPRODUCT((('2. The tape'!$C$5:$C$13*'2. The tape'!$D$5:$D$13*(1-'2. The tape'!$J$5:$J$13)^($A82/4)*(1+$N$5)^($A82/4)*((1-'3. Assumptions'!$B$13)/($N$6)-'2. The tape'!$H$5:$H$13/12-'3. Assumptions'!$B$16)-'2. The tape'!$C$5:$C$13*'2. The tape'!$I$5:$I$13*(1+$N$5)^($A82/4))&gt;0)*('2. The tape'!$C$5:$C$13*'2. The tape'!$D$5:$D$13*(1-'2. The tape'!$J$5:$J$13)^($A82/4)*(1+$N$5)^($A82/4)*((1-'3. Assumptions'!$B$13)/($N$6)-'2. The tape'!$H$5:$H$13/12-'3. Assumptions'!$B$16)-'2. The tape'!$C$5:$C$13*'2. The tape'!$I$5:$I$13*(1+$N$5)^($A82/4)))</f>
        <v>31438927.926701</v>
      </c>
      <c r="P82" s="33" t="n">
        <f aca="false">'2. The tape'!$C$17*(1+MIN(MAX($P$5,'3. Assumptions'!$B$11),'3. Assumptions'!$B$10))^INT(($A82-1)/4)/4*(1-'3. Assumptions'!$B$13)</f>
        <v>2998091.25</v>
      </c>
      <c r="Q82" s="33" t="n">
        <f aca="false">(1-'3. Assumptions'!$B$15)*SUMPRODUCT((('2. The tape'!$C$5:$C$13*'2. The tape'!$D$5:$D$13*(1-'2. The tape'!$J$5:$J$13)^($A82/4)*(1+$P$5)^($A82/4)*((1-'3. Assumptions'!$B$13)/($P$6)-'2. The tape'!$H$5:$H$13/12-'3. Assumptions'!$B$16)-'2. The tape'!$C$5:$C$13*'2. The tape'!$I$5:$I$13*(1+$P$5)^($A82/4))&gt;0)*('2. The tape'!$C$5:$C$13*'2. The tape'!$D$5:$D$13*(1-'2. The tape'!$J$5:$J$13)^($A82/4)*(1+$P$5)^($A82/4)*((1-'3. Assumptions'!$B$13)/($P$6)-'2. The tape'!$H$5:$H$13/12-'3. Assumptions'!$B$16)-'2. The tape'!$C$5:$C$13*'2. The tape'!$I$5:$I$13*(1+$P$5)^($A82/4)))</f>
        <v>37331715.4585602</v>
      </c>
      <c r="R82" s="33" t="n">
        <f aca="false">'2. The tape'!$C$17*(1+MIN(MAX($R$5,'3. Assumptions'!$B$11),'3. Assumptions'!$B$10))^INT(($A82-1)/4)/4*(1-'3. Assumptions'!$B$13)</f>
        <v>2998091.25</v>
      </c>
      <c r="S82" s="33" t="n">
        <f aca="false">(1-'3. Assumptions'!$B$15)*SUMPRODUCT((('2. The tape'!$C$5:$C$13*'2. The tape'!$D$5:$D$13*(1-'2. The tape'!$J$5:$J$13)^($A82/4)*(1+$R$5)^($A82/4)*((1-'3. Assumptions'!$B$13)/($R$6)-'2. The tape'!$H$5:$H$13/12-'3. Assumptions'!$B$16)-'2. The tape'!$C$5:$C$13*'2. The tape'!$I$5:$I$13*(1+$R$5)^($A82/4))&gt;0)*('2. The tape'!$C$5:$C$13*'2. The tape'!$D$5:$D$13*(1-'2. The tape'!$J$5:$J$13)^($A82/4)*(1+$R$5)^($A82/4)*((1-'3. Assumptions'!$B$13)/($R$6)-'2. The tape'!$H$5:$H$13/12-'3. Assumptions'!$B$16)-'2. The tape'!$C$5:$C$13*'2. The tape'!$I$5:$I$13*(1+$R$5)^($A82/4)))</f>
        <v>33651473.7199087</v>
      </c>
      <c r="T82" s="33" t="n">
        <f aca="false">'2. The tape'!$C$17*(1+MIN(MAX($T$5,'3. Assumptions'!$B$11),'3. Assumptions'!$B$10))^INT(($A82-1)/4)/4*(1-'3. Assumptions'!$B$13)</f>
        <v>2998091.25</v>
      </c>
      <c r="U82" s="33" t="n">
        <f aca="false">(1-'3. Assumptions'!$B$15)*SUMPRODUCT((('2. The tape'!$C$5:$C$13*'2. The tape'!$D$5:$D$13*(1-'2. The tape'!$J$5:$J$13)^($A82/4)*(1+$T$5)^($A82/4)*((1-'3. Assumptions'!$B$13)/($T$6)-'2. The tape'!$H$5:$H$13/12-'3. Assumptions'!$B$16)-'2. The tape'!$C$5:$C$13*'2. The tape'!$I$5:$I$13*(1+$T$5)^($A82/4))&gt;0)*('2. The tape'!$C$5:$C$13*'2. The tape'!$D$5:$D$13*(1-'2. The tape'!$J$5:$J$13)^($A82/4)*(1+$T$5)^($A82/4)*((1-'3. Assumptions'!$B$13)/($T$6)-'2. The tape'!$H$5:$H$13/12-'3. Assumptions'!$B$16)-'2. The tape'!$C$5:$C$13*'2. The tape'!$I$5:$I$13*(1+$T$5)^($A82/4)))</f>
        <v>33556573.3664342</v>
      </c>
      <c r="V82" s="33" t="n">
        <f aca="false">'2. The tape'!$C$17*(1+MIN(MAX($V$5,'3. Assumptions'!$B$11),'3. Assumptions'!$B$10))^INT(($A82-1)/4)/4*(1-'3. Assumptions'!$B$13)</f>
        <v>2998091.25</v>
      </c>
      <c r="W82" s="33" t="n">
        <f aca="false">(1-'3. Assumptions'!$B$15)*SUMPRODUCT((('2. The tape'!$C$5:$C$13*'2. The tape'!$D$5:$D$13*(1-'2. The tape'!$J$5:$J$13)^($A82/4)*(1+$V$5)^($A82/4)*((1-'3. Assumptions'!$B$13)/($V$6)-'2. The tape'!$H$5:$H$13/12-'3. Assumptions'!$B$16)-'2. The tape'!$C$5:$C$13*'2. The tape'!$I$5:$I$13*(1+$V$5)^($A82/4))&gt;0)*('2. The tape'!$C$5:$C$13*'2. The tape'!$D$5:$D$13*(1-'2. The tape'!$J$5:$J$13)^($A82/4)*(1+$V$5)^($A82/4)*((1-'3. Assumptions'!$B$13)/($V$6)-'2. The tape'!$H$5:$H$13/12-'3. Assumptions'!$B$16)-'2. The tape'!$C$5:$C$13*'2. The tape'!$I$5:$I$13*(1+$V$5)^($A82/4)))</f>
        <v>33560381.5140591</v>
      </c>
      <c r="X82" s="33" t="n">
        <f aca="false">'2. The tape'!$C$17*(1+MIN(MAX($X$5,'3. Assumptions'!$B$11),'3. Assumptions'!$B$10))^INT(($A82-1)/4)/4*(1-'3. Assumptions'!$B$13)</f>
        <v>2998091.25</v>
      </c>
      <c r="Y82" s="33" t="n">
        <f aca="false">(1-'3. Assumptions'!$B$15)*SUMPRODUCT((('2. The tape'!$C$5:$C$13*'2. The tape'!$D$5:$D$13*(1-'2. The tape'!$J$5:$J$13)^($A82/4)*(1+$X$5)^($A82/4)*((1-'3. Assumptions'!$B$13)/($X$6)-'2. The tape'!$H$5:$H$13/12-'3. Assumptions'!$B$16)-'2. The tape'!$C$5:$C$13*'2. The tape'!$I$5:$I$13*(1+$X$5)^($A82/4))&gt;0)*('2. The tape'!$C$5:$C$13*'2. The tape'!$D$5:$D$13*(1-'2. The tape'!$J$5:$J$13)^($A82/4)*(1+$X$5)^($A82/4)*((1-'3. Assumptions'!$B$13)/($X$6)-'2. The tape'!$H$5:$H$13/12-'3. Assumptions'!$B$16)-'2. The tape'!$C$5:$C$13*'2. The tape'!$I$5:$I$13*(1+$X$5)^($A82/4)))</f>
        <v>33560377.5093416</v>
      </c>
      <c r="Z82" s="33" t="n">
        <f aca="false">'2. The tape'!$C$17*(1+MIN(MAX($Z$5,'3. Assumptions'!$B$11),'3. Assumptions'!$B$10))^INT(($A82-1)/4)/4*(1-'3. Assumptions'!$B$13)</f>
        <v>2998091.25</v>
      </c>
      <c r="AA82" s="33" t="n">
        <f aca="false">(1-'3. Assumptions'!$B$15)*SUMPRODUCT((('2. The tape'!$C$5:$C$13*'2. The tape'!$D$5:$D$13*(1-'2. The tape'!$J$5:$J$13)^($A82/4)*(1+$Z$5)^($A82/4)*((1-'3. Assumptions'!$B$13)/($Z$6)-'2. The tape'!$H$5:$H$13/12-'3. Assumptions'!$B$16)-'2. The tape'!$C$5:$C$13*'2. The tape'!$I$5:$I$13*(1+$Z$5)^($A82/4))&gt;0)*('2. The tape'!$C$5:$C$13*'2. The tape'!$D$5:$D$13*(1-'2. The tape'!$J$5:$J$13)^($A82/4)*(1+$Z$5)^($A82/4)*((1-'3. Assumptions'!$B$13)/($Z$6)-'2. The tape'!$H$5:$H$13/12-'3. Assumptions'!$B$16)-'2. The tape'!$C$5:$C$13*'2. The tape'!$I$5:$I$13*(1+$Z$5)^($A82/4)))</f>
        <v>33560377.5091653</v>
      </c>
      <c r="AB82" s="33" t="n">
        <f aca="false">'2. The tape'!$C$17*(1+MIN(MAX($AB$5,'3. Assumptions'!$B$11),'3. Assumptions'!$B$10))^INT(($A82-1)/4)/4*(1-'3. Assumptions'!$B$13)</f>
        <v>2998091.25</v>
      </c>
      <c r="AC82" s="33" t="n">
        <f aca="false">(1-'3. Assumptions'!$B$15)*SUMPRODUCT((('2. The tape'!$C$5:$C$13*'2. The tape'!$D$5:$D$13*(1-'2. The tape'!$J$5:$J$13)^($A82/4)*(1+$AB$5)^($A82/4)*((1-'3. Assumptions'!$B$13)/($AB$6)-'2. The tape'!$H$5:$H$13/12-'3. Assumptions'!$B$16)-'2. The tape'!$C$5:$C$13*'2. The tape'!$I$5:$I$13*(1+$AB$5)^($A82/4))&gt;0)*('2. The tape'!$C$5:$C$13*'2. The tape'!$D$5:$D$13*(1-'2. The tape'!$J$5:$J$13)^($A82/4)*(1+$AB$5)^($A82/4)*((1-'3. Assumptions'!$B$13)/($AB$6)-'2. The tape'!$H$5:$H$13/12-'3. Assumptions'!$B$16)-'2. The tape'!$C$5:$C$13*'2. The tape'!$I$5:$I$13*(1+$AB$5)^($A82/4)))</f>
        <v>33560377.5091653</v>
      </c>
      <c r="AD82" s="33" t="n">
        <f aca="false">'2. The tape'!$C$17*(1+MIN(MAX($AD$5,'3. Assumptions'!$B$11),'3. Assumptions'!$B$10))^INT(($A82-1)/4)/4*(1-'3. Assumptions'!$B$13)</f>
        <v>2998091.25</v>
      </c>
      <c r="AE82" s="33" t="n">
        <f aca="false">(1-'3. Assumptions'!$B$15)*SUMPRODUCT((('2. The tape'!$C$5:$C$13*'2. The tape'!$D$5:$D$13*(1-'2. The tape'!$J$5:$J$13)^($A82/4)*(1+$AD$5)^($A82/4)*((1-'3. Assumptions'!$B$13)/($AD$6)-'2. The tape'!$H$5:$H$13/12-'3. Assumptions'!$B$16)-'2. The tape'!$C$5:$C$13*'2. The tape'!$I$5:$I$13*(1+$AD$5)^($A82/4))&gt;0)*('2. The tape'!$C$5:$C$13*'2. The tape'!$D$5:$D$13*(1-'2. The tape'!$J$5:$J$13)^($A82/4)*(1+$AD$5)^($A82/4)*((1-'3. Assumptions'!$B$13)/($AD$6)-'2. The tape'!$H$5:$H$13/12-'3. Assumptions'!$B$16)-'2. The tape'!$C$5:$C$13*'2. The tape'!$I$5:$I$13*(1+$AD$5)^($A82/4)))</f>
        <v>33560377.5091653</v>
      </c>
      <c r="AF82" s="33" t="n">
        <f aca="false">'2. The tape'!$C$17*(1+MIN(MAX($AF$5,'3. Assumptions'!$B$11),'3. Assumptions'!$B$10))^INT(($A82-1)/4)/4*(1-'3. Assumptions'!$B$13)</f>
        <v>2998091.25</v>
      </c>
      <c r="AG82" s="33" t="n">
        <f aca="false">(1-'3. Assumptions'!$B$15)*SUMPRODUCT((('2. The tape'!$C$5:$C$13*'2. The tape'!$D$5:$D$13*(1-'2. The tape'!$J$5:$J$13)^($A82/4)*(1+$AF$5)^($A82/4)*((1-'3. Assumptions'!$B$13)/($AF$6)-'2. The tape'!$H$5:$H$13/12-'3. Assumptions'!$B$16)-'2. The tape'!$C$5:$C$13*'2. The tape'!$I$5:$I$13*(1+$AF$5)^($A82/4))&gt;0)*('2. The tape'!$C$5:$C$13*'2. The tape'!$D$5:$D$13*(1-'2. The tape'!$J$5:$J$13)^($A82/4)*(1+$AF$5)^($A82/4)*((1-'3. Assumptions'!$B$13)/($AF$6)-'2. The tape'!$H$5:$H$13/12-'3. Assumptions'!$B$16)-'2. The tape'!$C$5:$C$13*'2. The tape'!$I$5:$I$13*(1+$AF$5)^($A82/4)))</f>
        <v>33560377.5091653</v>
      </c>
      <c r="AH82" s="33" t="n">
        <f aca="false">'2. The tape'!$C$17*(1+MIN(MAX($AH$5,'3. Assumptions'!$B$11),'3. Assumptions'!$B$10))^INT(($A82-1)/4)/4*(1-'3. Assumptions'!$B$13)</f>
        <v>4246774.29216789</v>
      </c>
      <c r="AI82" s="33" t="n">
        <f aca="false">(1-'3. Assumptions'!$B$15)*SUMPRODUCT((('2. The tape'!$C$5:$C$13*'2. The tape'!$D$5:$D$13*(1-'2. The tape'!$J$5:$J$13)^($A82/4)*(1+$AH$5)^($A82/4)*((1-'3. Assumptions'!$B$13)/($AH$6)-'2. The tape'!$H$5:$H$13/12-'3. Assumptions'!$B$16)-'2. The tape'!$C$5:$C$13*'2. The tape'!$I$5:$I$13*(1+$AH$5)^($A82/4))&gt;0)*('2. The tape'!$C$5:$C$13*'2. The tape'!$D$5:$D$13*(1-'2. The tape'!$J$5:$J$13)^($A82/4)*(1+$AH$5)^($A82/4)*((1-'3. Assumptions'!$B$13)/($AH$6)-'2. The tape'!$H$5:$H$13/12-'3. Assumptions'!$B$16)-'2. The tape'!$C$5:$C$13*'2. The tape'!$I$5:$I$13*(1+$AH$5)^($A82/4)))</f>
        <v>152101100.367355</v>
      </c>
      <c r="AJ82" s="33" t="n">
        <f aca="false">'2. The tape'!$C$17*(1+MIN(MAX($AJ$5,'3. Assumptions'!$B$11),'3. Assumptions'!$B$10))^INT(($A82-1)/4)/4*(1-'3. Assumptions'!$B$13)</f>
        <v>4246774.29216789</v>
      </c>
      <c r="AK82" s="33" t="n">
        <f aca="false">(1-'3. Assumptions'!$B$15)*SUMPRODUCT((('2. The tape'!$C$5:$C$13*'2. The tape'!$D$5:$D$13*(1-'2. The tape'!$J$5:$J$13)^($A82/4)*(1+$AJ$5)^($A82/4)*((1-'3. Assumptions'!$B$13)/($AJ$6)-'2. The tape'!$H$5:$H$13/12-'3. Assumptions'!$B$16)-'2. The tape'!$C$5:$C$13*'2. The tape'!$I$5:$I$13*(1+$AJ$5)^($A82/4))&gt;0)*('2. The tape'!$C$5:$C$13*'2. The tape'!$D$5:$D$13*(1-'2. The tape'!$J$5:$J$13)^($A82/4)*(1+$AJ$5)^($A82/4)*((1-'3. Assumptions'!$B$13)/($AJ$6)-'2. The tape'!$H$5:$H$13/12-'3. Assumptions'!$B$16)-'2. The tape'!$C$5:$C$13*'2. The tape'!$I$5:$I$13*(1+$AJ$5)^($A82/4)))</f>
        <v>109112077.936773</v>
      </c>
      <c r="AL82" s="33" t="n">
        <f aca="false">'2. The tape'!$C$17*(1+MIN(MAX($AL$5,'3. Assumptions'!$B$11),'3. Assumptions'!$B$10))^INT(($A82-1)/4)/4*(1-'3. Assumptions'!$B$13)</f>
        <v>4246774.29216789</v>
      </c>
      <c r="AM82" s="33" t="n">
        <f aca="false">(1-'3. Assumptions'!$B$15)*SUMPRODUCT((('2. The tape'!$C$5:$C$13*'2. The tape'!$D$5:$D$13*(1-'2. The tape'!$J$5:$J$13)^($A82/4)*(1+$AL$5)^($A82/4)*((1-'3. Assumptions'!$B$13)/($AL$6)-'2. The tape'!$H$5:$H$13/12-'3. Assumptions'!$B$16)-'2. The tape'!$C$5:$C$13*'2. The tape'!$I$5:$I$13*(1+$AL$5)^($A82/4))&gt;0)*('2. The tape'!$C$5:$C$13*'2. The tape'!$D$5:$D$13*(1-'2. The tape'!$J$5:$J$13)^($A82/4)*(1+$AL$5)^($A82/4)*((1-'3. Assumptions'!$B$13)/($AL$6)-'2. The tape'!$H$5:$H$13/12-'3. Assumptions'!$B$16)-'2. The tape'!$C$5:$C$13*'2. The tape'!$I$5:$I$13*(1+$AL$5)^($A82/4)))</f>
        <v>125785088.70626</v>
      </c>
      <c r="AN82" s="33" t="n">
        <f aca="false">'2. The tape'!$C$17*(1+MIN(MAX($AN$5,'3. Assumptions'!$B$11),'3. Assumptions'!$B$10))^INT(($A82-1)/4)/4*(1-'3. Assumptions'!$B$13)</f>
        <v>4246774.29216789</v>
      </c>
      <c r="AO82" s="33" t="n">
        <f aca="false">(1-'3. Assumptions'!$B$15)*SUMPRODUCT((('2. The tape'!$C$5:$C$13*'2. The tape'!$D$5:$D$13*(1-'2. The tape'!$J$5:$J$13)^($A82/4)*(1+$AN$5)^($A82/4)*((1-'3. Assumptions'!$B$13)/($AN$6)-'2. The tape'!$H$5:$H$13/12-'3. Assumptions'!$B$16)-'2. The tape'!$C$5:$C$13*'2. The tape'!$I$5:$I$13*(1+$AN$5)^($A82/4))&gt;0)*('2. The tape'!$C$5:$C$13*'2. The tape'!$D$5:$D$13*(1-'2. The tape'!$J$5:$J$13)^($A82/4)*(1+$AN$5)^($A82/4)*((1-'3. Assumptions'!$B$13)/($AN$6)-'2. The tape'!$H$5:$H$13/12-'3. Assumptions'!$B$16)-'2. The tape'!$C$5:$C$13*'2. The tape'!$I$5:$I$13*(1+$AN$5)^($A82/4)))</f>
        <v>128906788.336453</v>
      </c>
      <c r="AP82" s="33" t="n">
        <f aca="false">'2. The tape'!$C$17*(1+MIN(MAX($AP$5,'3. Assumptions'!$B$11),'3. Assumptions'!$B$10))^INT(($A82-1)/4)/4*(1-'3. Assumptions'!$B$13)</f>
        <v>4246774.29216789</v>
      </c>
      <c r="AQ82" s="33" t="n">
        <f aca="false">(1-'3. Assumptions'!$B$15)*SUMPRODUCT((('2. The tape'!$C$5:$C$13*'2. The tape'!$D$5:$D$13*(1-'2. The tape'!$J$5:$J$13)^($A82/4)*(1+$AP$5)^($A82/4)*((1-'3. Assumptions'!$B$13)/($AP$6)-'2. The tape'!$H$5:$H$13/12-'3. Assumptions'!$B$16)-'2. The tape'!$C$5:$C$13*'2. The tape'!$I$5:$I$13*(1+$AP$5)^($A82/4))&gt;0)*('2. The tape'!$C$5:$C$13*'2. The tape'!$D$5:$D$13*(1-'2. The tape'!$J$5:$J$13)^($A82/4)*(1+$AP$5)^($A82/4)*((1-'3. Assumptions'!$B$13)/($AP$6)-'2. The tape'!$H$5:$H$13/12-'3. Assumptions'!$B$16)-'2. The tape'!$C$5:$C$13*'2. The tape'!$I$5:$I$13*(1+$AP$5)^($A82/4)))</f>
        <v>128521420.92295</v>
      </c>
      <c r="AR82" s="33" t="n">
        <f aca="false">'2. The tape'!$C$17*(1+MIN(MAX($AR$5,'3. Assumptions'!$B$11),'3. Assumptions'!$B$10))^INT(($A82-1)/4)/4*(1-'3. Assumptions'!$B$13)</f>
        <v>4246774.29216789</v>
      </c>
      <c r="AS82" s="33" t="n">
        <f aca="false">(1-'3. Assumptions'!$B$15)*SUMPRODUCT((('2. The tape'!$C$5:$C$13*'2. The tape'!$D$5:$D$13*(1-'2. The tape'!$J$5:$J$13)^($A82/4)*(1+$AR$5)^($A82/4)*((1-'3. Assumptions'!$B$13)/($AR$6)-'2. The tape'!$H$5:$H$13/12-'3. Assumptions'!$B$16)-'2. The tape'!$C$5:$C$13*'2. The tape'!$I$5:$I$13*(1+$AR$5)^($A82/4))&gt;0)*('2. The tape'!$C$5:$C$13*'2. The tape'!$D$5:$D$13*(1-'2. The tape'!$J$5:$J$13)^($A82/4)*(1+$AR$5)^($A82/4)*((1-'3. Assumptions'!$B$13)/($AR$6)-'2. The tape'!$H$5:$H$13/12-'3. Assumptions'!$B$16)-'2. The tape'!$C$5:$C$13*'2. The tape'!$I$5:$I$13*(1+$AR$5)^($A82/4)))</f>
        <v>128527886.836169</v>
      </c>
      <c r="AT82" s="33" t="n">
        <f aca="false">'2. The tape'!$C$17*(1+MIN(MAX($AT$5,'3. Assumptions'!$B$11),'3. Assumptions'!$B$10))^INT(($A82-1)/4)/4*(1-'3. Assumptions'!$B$13)</f>
        <v>4246774.29216789</v>
      </c>
      <c r="AU82" s="33" t="n">
        <f aca="false">(1-'3. Assumptions'!$B$15)*SUMPRODUCT((('2. The tape'!$C$5:$C$13*'2. The tape'!$D$5:$D$13*(1-'2. The tape'!$J$5:$J$13)^($A82/4)*(1+$AT$5)^($A82/4)*((1-'3. Assumptions'!$B$13)/($AT$6)-'2. The tape'!$H$5:$H$13/12-'3. Assumptions'!$B$16)-'2. The tape'!$C$5:$C$13*'2. The tape'!$I$5:$I$13*(1+$AT$5)^($A82/4))&gt;0)*('2. The tape'!$C$5:$C$13*'2. The tape'!$D$5:$D$13*(1-'2. The tape'!$J$5:$J$13)^($A82/4)*(1+$AT$5)^($A82/4)*((1-'3. Assumptions'!$B$13)/($AT$6)-'2. The tape'!$H$5:$H$13/12-'3. Assumptions'!$B$16)-'2. The tape'!$C$5:$C$13*'2. The tape'!$I$5:$I$13*(1+$AT$5)^($A82/4)))</f>
        <v>128527901.893654</v>
      </c>
      <c r="AV82" s="33" t="n">
        <f aca="false">'2. The tape'!$C$17*(1+MIN(MAX($AV$5,'3. Assumptions'!$B$11),'3. Assumptions'!$B$10))^INT(($A82-1)/4)/4*(1-'3. Assumptions'!$B$13)</f>
        <v>4246774.29216789</v>
      </c>
      <c r="AW82" s="33" t="n">
        <f aca="false">(1-'3. Assumptions'!$B$15)*SUMPRODUCT((('2. The tape'!$C$5:$C$13*'2. The tape'!$D$5:$D$13*(1-'2. The tape'!$J$5:$J$13)^($A82/4)*(1+$AV$5)^($A82/4)*((1-'3. Assumptions'!$B$13)/($AV$6)-'2. The tape'!$H$5:$H$13/12-'3. Assumptions'!$B$16)-'2. The tape'!$C$5:$C$13*'2. The tape'!$I$5:$I$13*(1+$AV$5)^($A82/4))&gt;0)*('2. The tape'!$C$5:$C$13*'2. The tape'!$D$5:$D$13*(1-'2. The tape'!$J$5:$J$13)^($A82/4)*(1+$AV$5)^($A82/4)*((1-'3. Assumptions'!$B$13)/($AV$6)-'2. The tape'!$H$5:$H$13/12-'3. Assumptions'!$B$16)-'2. The tape'!$C$5:$C$13*'2. The tape'!$I$5:$I$13*(1+$AV$5)^($A82/4)))</f>
        <v>128527901.893054</v>
      </c>
      <c r="AX82" s="33" t="n">
        <f aca="false">'2. The tape'!$C$17*(1+MIN(MAX($AX$5,'3. Assumptions'!$B$11),'3. Assumptions'!$B$10))^INT(($A82-1)/4)/4*(1-'3. Assumptions'!$B$13)</f>
        <v>4246774.29216789</v>
      </c>
      <c r="AY82" s="33" t="n">
        <f aca="false">(1-'3. Assumptions'!$B$15)*SUMPRODUCT((('2. The tape'!$C$5:$C$13*'2. The tape'!$D$5:$D$13*(1-'2. The tape'!$J$5:$J$13)^($A82/4)*(1+$AX$5)^($A82/4)*((1-'3. Assumptions'!$B$13)/($AX$6)-'2. The tape'!$H$5:$H$13/12-'3. Assumptions'!$B$16)-'2. The tape'!$C$5:$C$13*'2. The tape'!$I$5:$I$13*(1+$AX$5)^($A82/4))&gt;0)*('2. The tape'!$C$5:$C$13*'2. The tape'!$D$5:$D$13*(1-'2. The tape'!$J$5:$J$13)^($A82/4)*(1+$AX$5)^($A82/4)*((1-'3. Assumptions'!$B$13)/($AX$6)-'2. The tape'!$H$5:$H$13/12-'3. Assumptions'!$B$16)-'2. The tape'!$C$5:$C$13*'2. The tape'!$I$5:$I$13*(1+$AX$5)^($A82/4)))</f>
        <v>128527901.893054</v>
      </c>
      <c r="AZ82" s="33" t="n">
        <f aca="false">'2. The tape'!$C$17*(1+MIN(MAX($AZ$5,'3. Assumptions'!$B$11),'3. Assumptions'!$B$10))^INT(($A82-1)/4)/4*(1-'3. Assumptions'!$B$13)</f>
        <v>4246774.29216789</v>
      </c>
      <c r="BA82" s="33" t="n">
        <f aca="false">(1-'3. Assumptions'!$B$15)*SUMPRODUCT((('2. The tape'!$C$5:$C$13*'2. The tape'!$D$5:$D$13*(1-'2. The tape'!$J$5:$J$13)^($A82/4)*(1+$AZ$5)^($A82/4)*((1-'3. Assumptions'!$B$13)/($AZ$6)-'2. The tape'!$H$5:$H$13/12-'3. Assumptions'!$B$16)-'2. The tape'!$C$5:$C$13*'2. The tape'!$I$5:$I$13*(1+$AZ$5)^($A82/4))&gt;0)*('2. The tape'!$C$5:$C$13*'2. The tape'!$D$5:$D$13*(1-'2. The tape'!$J$5:$J$13)^($A82/4)*(1+$AZ$5)^($A82/4)*((1-'3. Assumptions'!$B$13)/($AZ$6)-'2. The tape'!$H$5:$H$13/12-'3. Assumptions'!$B$16)-'2. The tape'!$C$5:$C$13*'2. The tape'!$I$5:$I$13*(1+$AZ$5)^($A82/4)))</f>
        <v>128527901.893054</v>
      </c>
    </row>
    <row r="83" customFormat="false" ht="15" hidden="false" customHeight="false" outlineLevel="0" collapsed="false">
      <c r="A83" s="20" t="n">
        <v>68</v>
      </c>
      <c r="B83" s="33" t="n">
        <f aca="false">'2. The tape'!$C$17*(1+MIN(MAX($B$5,'3. Assumptions'!$B$11),'3. Assumptions'!$B$10))^INT(($A83-1)/4)/4*(1-'3. Assumptions'!$B$13)</f>
        <v>4246774.29216789</v>
      </c>
      <c r="C83" s="33" t="n">
        <f aca="false">(1-'3. Assumptions'!$B$15)*SUMPRODUCT((('2. The tape'!$C$5:$C$13*'2. The tape'!$D$5:$D$13*(1-'2. The tape'!$J$5:$J$13)^($A83/4)*(1+$B$5)^($A83/4)*((1-'3. Assumptions'!$B$13)/($B$6)-'2. The tape'!$H$5:$H$13/12-'3. Assumptions'!$B$16)-'2. The tape'!$C$5:$C$13*'2. The tape'!$I$5:$I$13*(1+$B$5)^($A83/4))&gt;0)*('2. The tape'!$C$5:$C$13*'2. The tape'!$D$5:$D$13*(1-'2. The tape'!$J$5:$J$13)^($A83/4)*(1+$B$5)^($A83/4)*((1-'3. Assumptions'!$B$13)/($B$6)-'2. The tape'!$H$5:$H$13/12-'3. Assumptions'!$B$16)-'2. The tape'!$C$5:$C$13*'2. The tape'!$I$5:$I$13*(1+$B$5)^($A83/4)))</f>
        <v>75288065.6464032</v>
      </c>
      <c r="D83" s="33" t="n">
        <f aca="false">'2. The tape'!$C$17*(1+MIN(MAX($D$5,'3. Assumptions'!$B$11),'3. Assumptions'!$B$10))^INT(($A83-1)/4)/4*(1-'3. Assumptions'!$B$13)</f>
        <v>4811056.33388074</v>
      </c>
      <c r="E83" s="33" t="n">
        <f aca="false">(1-'3. Assumptions'!$B$15)*SUMPRODUCT((('2. The tape'!$C$5:$C$13*'2. The tape'!$D$5:$D$13*(1-'2. The tape'!$J$5:$J$13)^($A83/4)*(1+$D$5)^($A83/4)*((1-'3. Assumptions'!$B$13)/($D$6)-'2. The tape'!$H$5:$H$13/12-'3. Assumptions'!$B$16)-'2. The tape'!$C$5:$C$13*'2. The tape'!$I$5:$I$13*(1+$D$5)^($A83/4))&gt;0)*('2. The tape'!$C$5:$C$13*'2. The tape'!$D$5:$D$13*(1-'2. The tape'!$J$5:$J$13)^($A83/4)*(1+$D$5)^($A83/4)*((1-'3. Assumptions'!$B$13)/($D$6)-'2. The tape'!$H$5:$H$13/12-'3. Assumptions'!$B$16)-'2. The tape'!$C$5:$C$13*'2. The tape'!$I$5:$I$13*(1+$D$5)^($A83/4)))</f>
        <v>93335499.7092385</v>
      </c>
      <c r="F83" s="33" t="n">
        <f aca="false">'2. The tape'!$C$17*(1+MIN(MAX($F$5,'3. Assumptions'!$B$11),'3. Assumptions'!$B$10))^INT(($A83-1)/4)/4*(1-'3. Assumptions'!$B$13)</f>
        <v>3515497.7752826</v>
      </c>
      <c r="G83" s="33" t="n">
        <f aca="false">(1-'3. Assumptions'!$B$15)*SUMPRODUCT((('2. The tape'!$C$5:$C$13*'2. The tape'!$D$5:$D$13*(1-'2. The tape'!$J$5:$J$13)^($A83/4)*(1+$F$5)^($A83/4)*((1-'3. Assumptions'!$B$13)/($F$6)-'2. The tape'!$H$5:$H$13/12-'3. Assumptions'!$B$16)-'2. The tape'!$C$5:$C$13*'2. The tape'!$I$5:$I$13*(1+$F$5)^($A83/4))&gt;0)*('2. The tape'!$C$5:$C$13*'2. The tape'!$D$5:$D$13*(1-'2. The tape'!$J$5:$J$13)^($A83/4)*(1+$F$5)^($A83/4)*((1-'3. Assumptions'!$B$13)/($F$6)-'2. The tape'!$H$5:$H$13/12-'3. Assumptions'!$B$16)-'2. The tape'!$C$5:$C$13*'2. The tape'!$I$5:$I$13*(1+$F$5)^($A83/4)))</f>
        <v>61591994.0708857</v>
      </c>
      <c r="H83" s="33" t="n">
        <f aca="false">'2. The tape'!$C$17*(1+MIN(MAX($H$5,'3. Assumptions'!$B$11),'3. Assumptions'!$B$10))^INT(($A83-1)/4)/4*(1-'3. Assumptions'!$B$13)</f>
        <v>4811056.33388074</v>
      </c>
      <c r="I83" s="33" t="n">
        <f aca="false">(1-'3. Assumptions'!$B$15)*SUMPRODUCT((('2. The tape'!$C$5:$C$13*'2. The tape'!$D$5:$D$13*(1-'2. The tape'!$J$5:$J$13)^($A83/4)*(1+$H$5)^($A83/4)*((1-'3. Assumptions'!$B$13)/($H$6)-'2. The tape'!$H$5:$H$13/12-'3. Assumptions'!$B$16)-'2. The tape'!$C$5:$C$13*'2. The tape'!$I$5:$I$13*(1+$H$5)^($A83/4))&gt;0)*('2. The tape'!$C$5:$C$13*'2. The tape'!$D$5:$D$13*(1-'2. The tape'!$J$5:$J$13)^($A83/4)*(1+$H$5)^($A83/4)*((1-'3. Assumptions'!$B$13)/($H$6)-'2. The tape'!$H$5:$H$13/12-'3. Assumptions'!$B$16)-'2. The tape'!$C$5:$C$13*'2. The tape'!$I$5:$I$13*(1+$H$5)^($A83/4)))</f>
        <v>93335499.7092385</v>
      </c>
      <c r="J83" s="33" t="n">
        <f aca="false">'2. The tape'!$C$17*(1+MIN(MAX($J$5,'3. Assumptions'!$B$11),'3. Assumptions'!$B$10))^INT(($A83-1)/4)/4*(1-'3. Assumptions'!$B$13)</f>
        <v>4246774.29216789</v>
      </c>
      <c r="K83" s="33" t="n">
        <f aca="false">(1-'3. Assumptions'!$B$15)*SUMPRODUCT((('2. The tape'!$C$5:$C$13*'2. The tape'!$D$5:$D$13*(1-'2. The tape'!$J$5:$J$13)^($A83/4)*(1+$J$5)^($A83/4)*((1-'3. Assumptions'!$B$13)/($J$6)-'2. The tape'!$H$5:$H$13/12-'3. Assumptions'!$B$16)-'2. The tape'!$C$5:$C$13*'2. The tape'!$I$5:$I$13*(1+$J$5)^($A83/4))&gt;0)*('2. The tape'!$C$5:$C$13*'2. The tape'!$D$5:$D$13*(1-'2. The tape'!$J$5:$J$13)^($A83/4)*(1+$J$5)^($A83/4)*((1-'3. Assumptions'!$B$13)/($J$6)-'2. The tape'!$H$5:$H$13/12-'3. Assumptions'!$B$16)-'2. The tape'!$C$5:$C$13*'2. The tape'!$I$5:$I$13*(1+$J$5)^($A83/4)))</f>
        <v>61239198.2975218</v>
      </c>
      <c r="L83" s="33" t="n">
        <f aca="false">'2. The tape'!$C$17*(1+MIN(MAX($L$5,'3. Assumptions'!$B$11),'3. Assumptions'!$B$10))^INT(($A83-1)/4)/4*(1-'3. Assumptions'!$B$13)</f>
        <v>4811056.33388074</v>
      </c>
      <c r="M83" s="33" t="n">
        <f aca="false">(1-'3. Assumptions'!$B$15)*SUMPRODUCT((('2. The tape'!$C$5:$C$13*'2. The tape'!$D$5:$D$13*(1-'2. The tape'!$J$5:$J$13)^($A83/4)*(1+$L$5)^($A83/4)*((1-'3. Assumptions'!$B$13)/($L$6)-'2. The tape'!$H$5:$H$13/12-'3. Assumptions'!$B$16)-'2. The tape'!$C$5:$C$13*'2. The tape'!$I$5:$I$13*(1+$L$5)^($A83/4))&gt;0)*('2. The tape'!$C$5:$C$13*'2. The tape'!$D$5:$D$13*(1-'2. The tape'!$J$5:$J$13)^($A83/4)*(1+$L$5)^($A83/4)*((1-'3. Assumptions'!$B$13)/($L$6)-'2. The tape'!$H$5:$H$13/12-'3. Assumptions'!$B$16)-'2. The tape'!$C$5:$C$13*'2. The tape'!$I$5:$I$13*(1+$L$5)^($A83/4)))</f>
        <v>4498812567.97775</v>
      </c>
      <c r="N83" s="33" t="n">
        <f aca="false">'2. The tape'!$C$17*(1+MIN(MAX($N$5,'3. Assumptions'!$B$11),'3. Assumptions'!$B$10))^INT(($A83-1)/4)/4*(1-'3. Assumptions'!$B$13)</f>
        <v>2998091.25</v>
      </c>
      <c r="O83" s="33" t="n">
        <f aca="false">(1-'3. Assumptions'!$B$15)*SUMPRODUCT((('2. The tape'!$C$5:$C$13*'2. The tape'!$D$5:$D$13*(1-'2. The tape'!$J$5:$J$13)^($A83/4)*(1+$N$5)^($A83/4)*((1-'3. Assumptions'!$B$13)/($N$6)-'2. The tape'!$H$5:$H$13/12-'3. Assumptions'!$B$16)-'2. The tape'!$C$5:$C$13*'2. The tape'!$I$5:$I$13*(1+$N$5)^($A83/4))&gt;0)*('2. The tape'!$C$5:$C$13*'2. The tape'!$D$5:$D$13*(1-'2. The tape'!$J$5:$J$13)^($A83/4)*(1+$N$5)^($A83/4)*((1-'3. Assumptions'!$B$13)/($N$6)-'2. The tape'!$H$5:$H$13/12-'3. Assumptions'!$B$16)-'2. The tape'!$C$5:$C$13*'2. The tape'!$I$5:$I$13*(1+$N$5)^($A83/4)))</f>
        <v>30987061.4248125</v>
      </c>
      <c r="P83" s="33" t="n">
        <f aca="false">'2. The tape'!$C$17*(1+MIN(MAX($P$5,'3. Assumptions'!$B$11),'3. Assumptions'!$B$10))^INT(($A83-1)/4)/4*(1-'3. Assumptions'!$B$13)</f>
        <v>2998091.25</v>
      </c>
      <c r="Q83" s="33" t="n">
        <f aca="false">(1-'3. Assumptions'!$B$15)*SUMPRODUCT((('2. The tape'!$C$5:$C$13*'2. The tape'!$D$5:$D$13*(1-'2. The tape'!$J$5:$J$13)^($A83/4)*(1+$P$5)^($A83/4)*((1-'3. Assumptions'!$B$13)/($P$6)-'2. The tape'!$H$5:$H$13/12-'3. Assumptions'!$B$16)-'2. The tape'!$C$5:$C$13*'2. The tape'!$I$5:$I$13*(1+$P$5)^($A83/4))&gt;0)*('2. The tape'!$C$5:$C$13*'2. The tape'!$D$5:$D$13*(1-'2. The tape'!$J$5:$J$13)^($A83/4)*(1+$P$5)^($A83/4)*((1-'3. Assumptions'!$B$13)/($P$6)-'2. The tape'!$H$5:$H$13/12-'3. Assumptions'!$B$16)-'2. The tape'!$C$5:$C$13*'2. The tape'!$I$5:$I$13*(1+$P$5)^($A83/4)))</f>
        <v>36889621.3335125</v>
      </c>
      <c r="R83" s="33" t="n">
        <f aca="false">'2. The tape'!$C$17*(1+MIN(MAX($R$5,'3. Assumptions'!$B$11),'3. Assumptions'!$B$10))^INT(($A83-1)/4)/4*(1-'3. Assumptions'!$B$13)</f>
        <v>2998091.25</v>
      </c>
      <c r="S83" s="33" t="n">
        <f aca="false">(1-'3. Assumptions'!$B$15)*SUMPRODUCT((('2. The tape'!$C$5:$C$13*'2. The tape'!$D$5:$D$13*(1-'2. The tape'!$J$5:$J$13)^($A83/4)*(1+$R$5)^($A83/4)*((1-'3. Assumptions'!$B$13)/($R$6)-'2. The tape'!$H$5:$H$13/12-'3. Assumptions'!$B$16)-'2. The tape'!$C$5:$C$13*'2. The tape'!$I$5:$I$13*(1+$R$5)^($A83/4))&gt;0)*('2. The tape'!$C$5:$C$13*'2. The tape'!$D$5:$D$13*(1-'2. The tape'!$J$5:$J$13)^($A83/4)*(1+$R$5)^($A83/4)*((1-'3. Assumptions'!$B$13)/($R$6)-'2. The tape'!$H$5:$H$13/12-'3. Assumptions'!$B$16)-'2. The tape'!$C$5:$C$13*'2. The tape'!$I$5:$I$13*(1+$R$5)^($A83/4)))</f>
        <v>33201491.5477926</v>
      </c>
      <c r="T83" s="33" t="n">
        <f aca="false">'2. The tape'!$C$17*(1+MIN(MAX($T$5,'3. Assumptions'!$B$11),'3. Assumptions'!$B$10))^INT(($A83-1)/4)/4*(1-'3. Assumptions'!$B$13)</f>
        <v>2998091.25</v>
      </c>
      <c r="U83" s="33" t="n">
        <f aca="false">(1-'3. Assumptions'!$B$15)*SUMPRODUCT((('2. The tape'!$C$5:$C$13*'2. The tape'!$D$5:$D$13*(1-'2. The tape'!$J$5:$J$13)^($A83/4)*(1+$T$5)^($A83/4)*((1-'3. Assumptions'!$B$13)/($T$6)-'2. The tape'!$H$5:$H$13/12-'3. Assumptions'!$B$16)-'2. The tape'!$C$5:$C$13*'2. The tape'!$I$5:$I$13*(1+$T$5)^($A83/4))&gt;0)*('2. The tape'!$C$5:$C$13*'2. The tape'!$D$5:$D$13*(1-'2. The tape'!$J$5:$J$13)^($A83/4)*(1+$T$5)^($A83/4)*((1-'3. Assumptions'!$B$13)/($T$6)-'2. The tape'!$H$5:$H$13/12-'3. Assumptions'!$B$16)-'2. The tape'!$C$5:$C$13*'2. The tape'!$I$5:$I$13*(1+$T$5)^($A83/4)))</f>
        <v>33106464.705584</v>
      </c>
      <c r="V83" s="33" t="n">
        <f aca="false">'2. The tape'!$C$17*(1+MIN(MAX($V$5,'3. Assumptions'!$B$11),'3. Assumptions'!$B$10))^INT(($A83-1)/4)/4*(1-'3. Assumptions'!$B$13)</f>
        <v>2998091.25</v>
      </c>
      <c r="W83" s="33" t="n">
        <f aca="false">(1-'3. Assumptions'!$B$15)*SUMPRODUCT((('2. The tape'!$C$5:$C$13*'2. The tape'!$D$5:$D$13*(1-'2. The tape'!$J$5:$J$13)^($A83/4)*(1+$V$5)^($A83/4)*((1-'3. Assumptions'!$B$13)/($V$6)-'2. The tape'!$H$5:$H$13/12-'3. Assumptions'!$B$16)-'2. The tape'!$C$5:$C$13*'2. The tape'!$I$5:$I$13*(1+$V$5)^($A83/4))&gt;0)*('2. The tape'!$C$5:$C$13*'2. The tape'!$D$5:$D$13*(1-'2. The tape'!$J$5:$J$13)^($A83/4)*(1+$V$5)^($A83/4)*((1-'3. Assumptions'!$B$13)/($V$6)-'2. The tape'!$H$5:$H$13/12-'3. Assumptions'!$B$16)-'2. The tape'!$C$5:$C$13*'2. The tape'!$I$5:$I$13*(1+$V$5)^($A83/4)))</f>
        <v>33110277.8517579</v>
      </c>
      <c r="X83" s="33" t="n">
        <f aca="false">'2. The tape'!$C$17*(1+MIN(MAX($X$5,'3. Assumptions'!$B$11),'3. Assumptions'!$B$10))^INT(($A83-1)/4)/4*(1-'3. Assumptions'!$B$13)</f>
        <v>2998091.25</v>
      </c>
      <c r="Y83" s="33" t="n">
        <f aca="false">(1-'3. Assumptions'!$B$15)*SUMPRODUCT((('2. The tape'!$C$5:$C$13*'2. The tape'!$D$5:$D$13*(1-'2. The tape'!$J$5:$J$13)^($A83/4)*(1+$X$5)^($A83/4)*((1-'3. Assumptions'!$B$13)/($X$6)-'2. The tape'!$H$5:$H$13/12-'3. Assumptions'!$B$16)-'2. The tape'!$C$5:$C$13*'2. The tape'!$I$5:$I$13*(1+$X$5)^($A83/4))&gt;0)*('2. The tape'!$C$5:$C$13*'2. The tape'!$D$5:$D$13*(1-'2. The tape'!$J$5:$J$13)^($A83/4)*(1+$X$5)^($A83/4)*((1-'3. Assumptions'!$B$13)/($X$6)-'2. The tape'!$H$5:$H$13/12-'3. Assumptions'!$B$16)-'2. The tape'!$C$5:$C$13*'2. The tape'!$I$5:$I$13*(1+$X$5)^($A83/4)))</f>
        <v>33110273.8417804</v>
      </c>
      <c r="Z83" s="33" t="n">
        <f aca="false">'2. The tape'!$C$17*(1+MIN(MAX($Z$5,'3. Assumptions'!$B$11),'3. Assumptions'!$B$10))^INT(($A83-1)/4)/4*(1-'3. Assumptions'!$B$13)</f>
        <v>2998091.25</v>
      </c>
      <c r="AA83" s="33" t="n">
        <f aca="false">(1-'3. Assumptions'!$B$15)*SUMPRODUCT((('2. The tape'!$C$5:$C$13*'2. The tape'!$D$5:$D$13*(1-'2. The tape'!$J$5:$J$13)^($A83/4)*(1+$Z$5)^($A83/4)*((1-'3. Assumptions'!$B$13)/($Z$6)-'2. The tape'!$H$5:$H$13/12-'3. Assumptions'!$B$16)-'2. The tape'!$C$5:$C$13*'2. The tape'!$I$5:$I$13*(1+$Z$5)^($A83/4))&gt;0)*('2. The tape'!$C$5:$C$13*'2. The tape'!$D$5:$D$13*(1-'2. The tape'!$J$5:$J$13)^($A83/4)*(1+$Z$5)^($A83/4)*((1-'3. Assumptions'!$B$13)/($Z$6)-'2. The tape'!$H$5:$H$13/12-'3. Assumptions'!$B$16)-'2. The tape'!$C$5:$C$13*'2. The tape'!$I$5:$I$13*(1+$Z$5)^($A83/4)))</f>
        <v>33110273.8416039</v>
      </c>
      <c r="AB83" s="33" t="n">
        <f aca="false">'2. The tape'!$C$17*(1+MIN(MAX($AB$5,'3. Assumptions'!$B$11),'3. Assumptions'!$B$10))^INT(($A83-1)/4)/4*(1-'3. Assumptions'!$B$13)</f>
        <v>2998091.25</v>
      </c>
      <c r="AC83" s="33" t="n">
        <f aca="false">(1-'3. Assumptions'!$B$15)*SUMPRODUCT((('2. The tape'!$C$5:$C$13*'2. The tape'!$D$5:$D$13*(1-'2. The tape'!$J$5:$J$13)^($A83/4)*(1+$AB$5)^($A83/4)*((1-'3. Assumptions'!$B$13)/($AB$6)-'2. The tape'!$H$5:$H$13/12-'3. Assumptions'!$B$16)-'2. The tape'!$C$5:$C$13*'2. The tape'!$I$5:$I$13*(1+$AB$5)^($A83/4))&gt;0)*('2. The tape'!$C$5:$C$13*'2. The tape'!$D$5:$D$13*(1-'2. The tape'!$J$5:$J$13)^($A83/4)*(1+$AB$5)^($A83/4)*((1-'3. Assumptions'!$B$13)/($AB$6)-'2. The tape'!$H$5:$H$13/12-'3. Assumptions'!$B$16)-'2. The tape'!$C$5:$C$13*'2. The tape'!$I$5:$I$13*(1+$AB$5)^($A83/4)))</f>
        <v>33110273.8416039</v>
      </c>
      <c r="AD83" s="33" t="n">
        <f aca="false">'2. The tape'!$C$17*(1+MIN(MAX($AD$5,'3. Assumptions'!$B$11),'3. Assumptions'!$B$10))^INT(($A83-1)/4)/4*(1-'3. Assumptions'!$B$13)</f>
        <v>2998091.25</v>
      </c>
      <c r="AE83" s="33" t="n">
        <f aca="false">(1-'3. Assumptions'!$B$15)*SUMPRODUCT((('2. The tape'!$C$5:$C$13*'2. The tape'!$D$5:$D$13*(1-'2. The tape'!$J$5:$J$13)^($A83/4)*(1+$AD$5)^($A83/4)*((1-'3. Assumptions'!$B$13)/($AD$6)-'2. The tape'!$H$5:$H$13/12-'3. Assumptions'!$B$16)-'2. The tape'!$C$5:$C$13*'2. The tape'!$I$5:$I$13*(1+$AD$5)^($A83/4))&gt;0)*('2. The tape'!$C$5:$C$13*'2. The tape'!$D$5:$D$13*(1-'2. The tape'!$J$5:$J$13)^($A83/4)*(1+$AD$5)^($A83/4)*((1-'3. Assumptions'!$B$13)/($AD$6)-'2. The tape'!$H$5:$H$13/12-'3. Assumptions'!$B$16)-'2. The tape'!$C$5:$C$13*'2. The tape'!$I$5:$I$13*(1+$AD$5)^($A83/4)))</f>
        <v>33110273.8416039</v>
      </c>
      <c r="AF83" s="33" t="n">
        <f aca="false">'2. The tape'!$C$17*(1+MIN(MAX($AF$5,'3. Assumptions'!$B$11),'3. Assumptions'!$B$10))^INT(($A83-1)/4)/4*(1-'3. Assumptions'!$B$13)</f>
        <v>2998091.25</v>
      </c>
      <c r="AG83" s="33" t="n">
        <f aca="false">(1-'3. Assumptions'!$B$15)*SUMPRODUCT((('2. The tape'!$C$5:$C$13*'2. The tape'!$D$5:$D$13*(1-'2. The tape'!$J$5:$J$13)^($A83/4)*(1+$AF$5)^($A83/4)*((1-'3. Assumptions'!$B$13)/($AF$6)-'2. The tape'!$H$5:$H$13/12-'3. Assumptions'!$B$16)-'2. The tape'!$C$5:$C$13*'2. The tape'!$I$5:$I$13*(1+$AF$5)^($A83/4))&gt;0)*('2. The tape'!$C$5:$C$13*'2. The tape'!$D$5:$D$13*(1-'2. The tape'!$J$5:$J$13)^($A83/4)*(1+$AF$5)^($A83/4)*((1-'3. Assumptions'!$B$13)/($AF$6)-'2. The tape'!$H$5:$H$13/12-'3. Assumptions'!$B$16)-'2. The tape'!$C$5:$C$13*'2. The tape'!$I$5:$I$13*(1+$AF$5)^($A83/4)))</f>
        <v>33110273.8416039</v>
      </c>
      <c r="AH83" s="33" t="n">
        <f aca="false">'2. The tape'!$C$17*(1+MIN(MAX($AH$5,'3. Assumptions'!$B$11),'3. Assumptions'!$B$10))^INT(($A83-1)/4)/4*(1-'3. Assumptions'!$B$13)</f>
        <v>4246774.29216789</v>
      </c>
      <c r="AI83" s="33" t="n">
        <f aca="false">(1-'3. Assumptions'!$B$15)*SUMPRODUCT((('2. The tape'!$C$5:$C$13*'2. The tape'!$D$5:$D$13*(1-'2. The tape'!$J$5:$J$13)^($A83/4)*(1+$AH$5)^($A83/4)*((1-'3. Assumptions'!$B$13)/($AH$6)-'2. The tape'!$H$5:$H$13/12-'3. Assumptions'!$B$16)-'2. The tape'!$C$5:$C$13*'2. The tape'!$I$5:$I$13*(1+$AH$5)^($A83/4))&gt;0)*('2. The tape'!$C$5:$C$13*'2. The tape'!$D$5:$D$13*(1-'2. The tape'!$J$5:$J$13)^($A83/4)*(1+$AH$5)^($A83/4)*((1-'3. Assumptions'!$B$13)/($AH$6)-'2. The tape'!$H$5:$H$13/12-'3. Assumptions'!$B$16)-'2. The tape'!$C$5:$C$13*'2. The tape'!$I$5:$I$13*(1+$AH$5)^($A83/4)))</f>
        <v>151994881.371296</v>
      </c>
      <c r="AJ83" s="33" t="n">
        <f aca="false">'2. The tape'!$C$17*(1+MIN(MAX($AJ$5,'3. Assumptions'!$B$11),'3. Assumptions'!$B$10))^INT(($A83-1)/4)/4*(1-'3. Assumptions'!$B$13)</f>
        <v>4246774.29216789</v>
      </c>
      <c r="AK83" s="33" t="n">
        <f aca="false">(1-'3. Assumptions'!$B$15)*SUMPRODUCT((('2. The tape'!$C$5:$C$13*'2. The tape'!$D$5:$D$13*(1-'2. The tape'!$J$5:$J$13)^($A83/4)*(1+$AJ$5)^($A83/4)*((1-'3. Assumptions'!$B$13)/($AJ$6)-'2. The tape'!$H$5:$H$13/12-'3. Assumptions'!$B$16)-'2. The tape'!$C$5:$C$13*'2. The tape'!$I$5:$I$13*(1+$AJ$5)^($A83/4))&gt;0)*('2. The tape'!$C$5:$C$13*'2. The tape'!$D$5:$D$13*(1-'2. The tape'!$J$5:$J$13)^($A83/4)*(1+$AJ$5)^($A83/4)*((1-'3. Assumptions'!$B$13)/($AJ$6)-'2. The tape'!$H$5:$H$13/12-'3. Assumptions'!$B$16)-'2. The tape'!$C$5:$C$13*'2. The tape'!$I$5:$I$13*(1+$AJ$5)^($A83/4)))</f>
        <v>109005347.283719</v>
      </c>
      <c r="AL83" s="33" t="n">
        <f aca="false">'2. The tape'!$C$17*(1+MIN(MAX($AL$5,'3. Assumptions'!$B$11),'3. Assumptions'!$B$10))^INT(($A83-1)/4)/4*(1-'3. Assumptions'!$B$13)</f>
        <v>4246774.29216789</v>
      </c>
      <c r="AM83" s="33" t="n">
        <f aca="false">(1-'3. Assumptions'!$B$15)*SUMPRODUCT((('2. The tape'!$C$5:$C$13*'2. The tape'!$D$5:$D$13*(1-'2. The tape'!$J$5:$J$13)^($A83/4)*(1+$AL$5)^($A83/4)*((1-'3. Assumptions'!$B$13)/($AL$6)-'2. The tape'!$H$5:$H$13/12-'3. Assumptions'!$B$16)-'2. The tape'!$C$5:$C$13*'2. The tape'!$I$5:$I$13*(1+$AL$5)^($A83/4))&gt;0)*('2. The tape'!$C$5:$C$13*'2. The tape'!$D$5:$D$13*(1-'2. The tape'!$J$5:$J$13)^($A83/4)*(1+$AL$5)^($A83/4)*((1-'3. Assumptions'!$B$13)/($AL$6)-'2. The tape'!$H$5:$H$13/12-'3. Assumptions'!$B$16)-'2. The tape'!$C$5:$C$13*'2. The tape'!$I$5:$I$13*(1+$AL$5)^($A83/4)))</f>
        <v>125678556.49602</v>
      </c>
      <c r="AN83" s="33" t="n">
        <f aca="false">'2. The tape'!$C$17*(1+MIN(MAX($AN$5,'3. Assumptions'!$B$11),'3. Assumptions'!$B$10))^INT(($A83-1)/4)/4*(1-'3. Assumptions'!$B$13)</f>
        <v>4246774.29216789</v>
      </c>
      <c r="AO83" s="33" t="n">
        <f aca="false">(1-'3. Assumptions'!$B$15)*SUMPRODUCT((('2. The tape'!$C$5:$C$13*'2. The tape'!$D$5:$D$13*(1-'2. The tape'!$J$5:$J$13)^($A83/4)*(1+$AN$5)^($A83/4)*((1-'3. Assumptions'!$B$13)/($AN$6)-'2. The tape'!$H$5:$H$13/12-'3. Assumptions'!$B$16)-'2. The tape'!$C$5:$C$13*'2. The tape'!$I$5:$I$13*(1+$AN$5)^($A83/4))&gt;0)*('2. The tape'!$C$5:$C$13*'2. The tape'!$D$5:$D$13*(1-'2. The tape'!$J$5:$J$13)^($A83/4)*(1+$AN$5)^($A83/4)*((1-'3. Assumptions'!$B$13)/($AN$6)-'2. The tape'!$H$5:$H$13/12-'3. Assumptions'!$B$16)-'2. The tape'!$C$5:$C$13*'2. The tape'!$I$5:$I$13*(1+$AN$5)^($A83/4)))</f>
        <v>128800293.280801</v>
      </c>
      <c r="AP83" s="33" t="n">
        <f aca="false">'2. The tape'!$C$17*(1+MIN(MAX($AP$5,'3. Assumptions'!$B$11),'3. Assumptions'!$B$10))^INT(($A83-1)/4)/4*(1-'3. Assumptions'!$B$13)</f>
        <v>4246774.29216789</v>
      </c>
      <c r="AQ83" s="33" t="n">
        <f aca="false">(1-'3. Assumptions'!$B$15)*SUMPRODUCT((('2. The tape'!$C$5:$C$13*'2. The tape'!$D$5:$D$13*(1-'2. The tape'!$J$5:$J$13)^($A83/4)*(1+$AP$5)^($A83/4)*((1-'3. Assumptions'!$B$13)/($AP$6)-'2. The tape'!$H$5:$H$13/12-'3. Assumptions'!$B$16)-'2. The tape'!$C$5:$C$13*'2. The tape'!$I$5:$I$13*(1+$AP$5)^($A83/4))&gt;0)*('2. The tape'!$C$5:$C$13*'2. The tape'!$D$5:$D$13*(1-'2. The tape'!$J$5:$J$13)^($A83/4)*(1+$AP$5)^($A83/4)*((1-'3. Assumptions'!$B$13)/($AP$6)-'2. The tape'!$H$5:$H$13/12-'3. Assumptions'!$B$16)-'2. The tape'!$C$5:$C$13*'2. The tape'!$I$5:$I$13*(1+$AP$5)^($A83/4)))</f>
        <v>128414921.280641</v>
      </c>
      <c r="AR83" s="33" t="n">
        <f aca="false">'2. The tape'!$C$17*(1+MIN(MAX($AR$5,'3. Assumptions'!$B$11),'3. Assumptions'!$B$10))^INT(($A83-1)/4)/4*(1-'3. Assumptions'!$B$13)</f>
        <v>4246774.29216789</v>
      </c>
      <c r="AS83" s="33" t="n">
        <f aca="false">(1-'3. Assumptions'!$B$15)*SUMPRODUCT((('2. The tape'!$C$5:$C$13*'2. The tape'!$D$5:$D$13*(1-'2. The tape'!$J$5:$J$13)^($A83/4)*(1+$AR$5)^($A83/4)*((1-'3. Assumptions'!$B$13)/($AR$6)-'2. The tape'!$H$5:$H$13/12-'3. Assumptions'!$B$16)-'2. The tape'!$C$5:$C$13*'2. The tape'!$I$5:$I$13*(1+$AR$5)^($A83/4))&gt;0)*('2. The tape'!$C$5:$C$13*'2. The tape'!$D$5:$D$13*(1-'2. The tape'!$J$5:$J$13)^($A83/4)*(1+$AR$5)^($A83/4)*((1-'3. Assumptions'!$B$13)/($AR$6)-'2. The tape'!$H$5:$H$13/12-'3. Assumptions'!$B$16)-'2. The tape'!$C$5:$C$13*'2. The tape'!$I$5:$I$13*(1+$AR$5)^($A83/4)))</f>
        <v>128421387.270817</v>
      </c>
      <c r="AT83" s="33" t="n">
        <f aca="false">'2. The tape'!$C$17*(1+MIN(MAX($AT$5,'3. Assumptions'!$B$11),'3. Assumptions'!$B$10))^INT(($A83-1)/4)/4*(1-'3. Assumptions'!$B$13)</f>
        <v>4246774.29216789</v>
      </c>
      <c r="AU83" s="33" t="n">
        <f aca="false">(1-'3. Assumptions'!$B$15)*SUMPRODUCT((('2. The tape'!$C$5:$C$13*'2. The tape'!$D$5:$D$13*(1-'2. The tape'!$J$5:$J$13)^($A83/4)*(1+$AT$5)^($A83/4)*((1-'3. Assumptions'!$B$13)/($AT$6)-'2. The tape'!$H$5:$H$13/12-'3. Assumptions'!$B$16)-'2. The tape'!$C$5:$C$13*'2. The tape'!$I$5:$I$13*(1+$AT$5)^($A83/4))&gt;0)*('2. The tape'!$C$5:$C$13*'2. The tape'!$D$5:$D$13*(1-'2. The tape'!$J$5:$J$13)^($A83/4)*(1+$AT$5)^($A83/4)*((1-'3. Assumptions'!$B$13)/($AT$6)-'2. The tape'!$H$5:$H$13/12-'3. Assumptions'!$B$16)-'2. The tape'!$C$5:$C$13*'2. The tape'!$I$5:$I$13*(1+$AT$5)^($A83/4)))</f>
        <v>128421402.328482</v>
      </c>
      <c r="AV83" s="33" t="n">
        <f aca="false">'2. The tape'!$C$17*(1+MIN(MAX($AV$5,'3. Assumptions'!$B$11),'3. Assumptions'!$B$10))^INT(($A83-1)/4)/4*(1-'3. Assumptions'!$B$13)</f>
        <v>4246774.29216789</v>
      </c>
      <c r="AW83" s="33" t="n">
        <f aca="false">(1-'3. Assumptions'!$B$15)*SUMPRODUCT((('2. The tape'!$C$5:$C$13*'2. The tape'!$D$5:$D$13*(1-'2. The tape'!$J$5:$J$13)^($A83/4)*(1+$AV$5)^($A83/4)*((1-'3. Assumptions'!$B$13)/($AV$6)-'2. The tape'!$H$5:$H$13/12-'3. Assumptions'!$B$16)-'2. The tape'!$C$5:$C$13*'2. The tape'!$I$5:$I$13*(1+$AV$5)^($A83/4))&gt;0)*('2. The tape'!$C$5:$C$13*'2. The tape'!$D$5:$D$13*(1-'2. The tape'!$J$5:$J$13)^($A83/4)*(1+$AV$5)^($A83/4)*((1-'3. Assumptions'!$B$13)/($AV$6)-'2. The tape'!$H$5:$H$13/12-'3. Assumptions'!$B$16)-'2. The tape'!$C$5:$C$13*'2. The tape'!$I$5:$I$13*(1+$AV$5)^($A83/4)))</f>
        <v>128421402.327882</v>
      </c>
      <c r="AX83" s="33" t="n">
        <f aca="false">'2. The tape'!$C$17*(1+MIN(MAX($AX$5,'3. Assumptions'!$B$11),'3. Assumptions'!$B$10))^INT(($A83-1)/4)/4*(1-'3. Assumptions'!$B$13)</f>
        <v>4246774.29216789</v>
      </c>
      <c r="AY83" s="33" t="n">
        <f aca="false">(1-'3. Assumptions'!$B$15)*SUMPRODUCT((('2. The tape'!$C$5:$C$13*'2. The tape'!$D$5:$D$13*(1-'2. The tape'!$J$5:$J$13)^($A83/4)*(1+$AX$5)^($A83/4)*((1-'3. Assumptions'!$B$13)/($AX$6)-'2. The tape'!$H$5:$H$13/12-'3. Assumptions'!$B$16)-'2. The tape'!$C$5:$C$13*'2. The tape'!$I$5:$I$13*(1+$AX$5)^($A83/4))&gt;0)*('2. The tape'!$C$5:$C$13*'2. The tape'!$D$5:$D$13*(1-'2. The tape'!$J$5:$J$13)^($A83/4)*(1+$AX$5)^($A83/4)*((1-'3. Assumptions'!$B$13)/($AX$6)-'2. The tape'!$H$5:$H$13/12-'3. Assumptions'!$B$16)-'2. The tape'!$C$5:$C$13*'2. The tape'!$I$5:$I$13*(1+$AX$5)^($A83/4)))</f>
        <v>128421402.327882</v>
      </c>
      <c r="AZ83" s="33" t="n">
        <f aca="false">'2. The tape'!$C$17*(1+MIN(MAX($AZ$5,'3. Assumptions'!$B$11),'3. Assumptions'!$B$10))^INT(($A83-1)/4)/4*(1-'3. Assumptions'!$B$13)</f>
        <v>4246774.29216789</v>
      </c>
      <c r="BA83" s="33" t="n">
        <f aca="false">(1-'3. Assumptions'!$B$15)*SUMPRODUCT((('2. The tape'!$C$5:$C$13*'2. The tape'!$D$5:$D$13*(1-'2. The tape'!$J$5:$J$13)^($A83/4)*(1+$AZ$5)^($A83/4)*((1-'3. Assumptions'!$B$13)/($AZ$6)-'2. The tape'!$H$5:$H$13/12-'3. Assumptions'!$B$16)-'2. The tape'!$C$5:$C$13*'2. The tape'!$I$5:$I$13*(1+$AZ$5)^($A83/4))&gt;0)*('2. The tape'!$C$5:$C$13*'2. The tape'!$D$5:$D$13*(1-'2. The tape'!$J$5:$J$13)^($A83/4)*(1+$AZ$5)^($A83/4)*((1-'3. Assumptions'!$B$13)/($AZ$6)-'2. The tape'!$H$5:$H$13/12-'3. Assumptions'!$B$16)-'2. The tape'!$C$5:$C$13*'2. The tape'!$I$5:$I$13*(1+$AZ$5)^($A83/4)))</f>
        <v>128421402.327882</v>
      </c>
    </row>
    <row r="84" customFormat="false" ht="15" hidden="false" customHeight="false" outlineLevel="0" collapsed="false">
      <c r="A84" s="20" t="n">
        <v>69</v>
      </c>
      <c r="B84" s="33" t="n">
        <f aca="false">'2. The tape'!$C$17*(1+MIN(MAX($B$5,'3. Assumptions'!$B$11),'3. Assumptions'!$B$10))^INT(($A84-1)/4)/4*(1-'3. Assumptions'!$B$13)</f>
        <v>4340203.32659558</v>
      </c>
      <c r="C84" s="33" t="n">
        <f aca="false">(1-'3. Assumptions'!$B$15)*SUMPRODUCT((('2. The tape'!$C$5:$C$13*'2. The tape'!$D$5:$D$13*(1-'2. The tape'!$J$5:$J$13)^($A84/4)*(1+$B$5)^($A84/4)*((1-'3. Assumptions'!$B$13)/($B$6)-'2. The tape'!$H$5:$H$13/12-'3. Assumptions'!$B$16)-'2. The tape'!$C$5:$C$13*'2. The tape'!$I$5:$I$13*(1+$B$5)^($A84/4))&gt;0)*('2. The tape'!$C$5:$C$13*'2. The tape'!$D$5:$D$13*(1-'2. The tape'!$J$5:$J$13)^($A84/4)*(1+$B$5)^($A84/4)*((1-'3. Assumptions'!$B$13)/($B$6)-'2. The tape'!$H$5:$H$13/12-'3. Assumptions'!$B$16)-'2. The tape'!$C$5:$C$13*'2. The tape'!$I$5:$I$13*(1+$B$5)^($A84/4)))</f>
        <v>75180565.2316621</v>
      </c>
      <c r="D84" s="33" t="n">
        <f aca="false">'2. The tape'!$C$17*(1+MIN(MAX($D$5,'3. Assumptions'!$B$11),'3. Assumptions'!$B$10))^INT(($A84-1)/4)/4*(1-'3. Assumptions'!$B$13)</f>
        <v>4955388.02389716</v>
      </c>
      <c r="E84" s="33" t="n">
        <f aca="false">(1-'3. Assumptions'!$B$15)*SUMPRODUCT((('2. The tape'!$C$5:$C$13*'2. The tape'!$D$5:$D$13*(1-'2. The tape'!$J$5:$J$13)^($A84/4)*(1+$D$5)^($A84/4)*((1-'3. Assumptions'!$B$13)/($D$6)-'2. The tape'!$H$5:$H$13/12-'3. Assumptions'!$B$16)-'2. The tape'!$C$5:$C$13*'2. The tape'!$I$5:$I$13*(1+$D$5)^($A84/4))&gt;0)*('2. The tape'!$C$5:$C$13*'2. The tape'!$D$5:$D$13*(1-'2. The tape'!$J$5:$J$13)^($A84/4)*(1+$D$5)^($A84/4)*((1-'3. Assumptions'!$B$13)/($D$6)-'2. The tape'!$H$5:$H$13/12-'3. Assumptions'!$B$16)-'2. The tape'!$C$5:$C$13*'2. The tape'!$I$5:$I$13*(1+$D$5)^($A84/4)))</f>
        <v>93497213.5390071</v>
      </c>
      <c r="F84" s="33" t="n">
        <f aca="false">'2. The tape'!$C$17*(1+MIN(MAX($F$5,'3. Assumptions'!$B$11),'3. Assumptions'!$B$10))^INT(($A84-1)/4)/4*(1-'3. Assumptions'!$B$13)</f>
        <v>3550652.75303542</v>
      </c>
      <c r="G84" s="33" t="n">
        <f aca="false">(1-'3. Assumptions'!$B$15)*SUMPRODUCT((('2. The tape'!$C$5:$C$13*'2. The tape'!$D$5:$D$13*(1-'2. The tape'!$J$5:$J$13)^($A84/4)*(1+$F$5)^($A84/4)*((1-'3. Assumptions'!$B$13)/($F$6)-'2. The tape'!$H$5:$H$13/12-'3. Assumptions'!$B$16)-'2. The tape'!$C$5:$C$13*'2. The tape'!$I$5:$I$13*(1+$F$5)^($A84/4))&gt;0)*('2. The tape'!$C$5:$C$13*'2. The tape'!$D$5:$D$13*(1-'2. The tape'!$J$5:$J$13)^($A84/4)*(1+$F$5)^($A84/4)*((1-'3. Assumptions'!$B$13)/($F$6)-'2. The tape'!$H$5:$H$13/12-'3. Assumptions'!$B$16)-'2. The tape'!$C$5:$C$13*'2. The tape'!$I$5:$I$13*(1+$F$5)^($A84/4)))</f>
        <v>61322708.9608697</v>
      </c>
      <c r="H84" s="33" t="n">
        <f aca="false">'2. The tape'!$C$17*(1+MIN(MAX($H$5,'3. Assumptions'!$B$11),'3. Assumptions'!$B$10))^INT(($A84-1)/4)/4*(1-'3. Assumptions'!$B$13)</f>
        <v>4955388.02389716</v>
      </c>
      <c r="I84" s="33" t="n">
        <f aca="false">(1-'3. Assumptions'!$B$15)*SUMPRODUCT((('2. The tape'!$C$5:$C$13*'2. The tape'!$D$5:$D$13*(1-'2. The tape'!$J$5:$J$13)^($A84/4)*(1+$H$5)^($A84/4)*((1-'3. Assumptions'!$B$13)/($H$6)-'2. The tape'!$H$5:$H$13/12-'3. Assumptions'!$B$16)-'2. The tape'!$C$5:$C$13*'2. The tape'!$I$5:$I$13*(1+$H$5)^($A84/4))&gt;0)*('2. The tape'!$C$5:$C$13*'2. The tape'!$D$5:$D$13*(1-'2. The tape'!$J$5:$J$13)^($A84/4)*(1+$H$5)^($A84/4)*((1-'3. Assumptions'!$B$13)/($H$6)-'2. The tape'!$H$5:$H$13/12-'3. Assumptions'!$B$16)-'2. The tape'!$C$5:$C$13*'2. The tape'!$I$5:$I$13*(1+$H$5)^($A84/4)))</f>
        <v>93497213.5390071</v>
      </c>
      <c r="J84" s="33" t="n">
        <f aca="false">'2. The tape'!$C$17*(1+MIN(MAX($J$5,'3. Assumptions'!$B$11),'3. Assumptions'!$B$10))^INT(($A84-1)/4)/4*(1-'3. Assumptions'!$B$13)</f>
        <v>4340203.32659558</v>
      </c>
      <c r="K84" s="33" t="n">
        <f aca="false">(1-'3. Assumptions'!$B$15)*SUMPRODUCT((('2. The tape'!$C$5:$C$13*'2. The tape'!$D$5:$D$13*(1-'2. The tape'!$J$5:$J$13)^($A84/4)*(1+$J$5)^($A84/4)*((1-'3. Assumptions'!$B$13)/($J$6)-'2. The tape'!$H$5:$H$13/12-'3. Assumptions'!$B$16)-'2. The tape'!$C$5:$C$13*'2. The tape'!$I$5:$I$13*(1+$J$5)^($A84/4))&gt;0)*('2. The tape'!$C$5:$C$13*'2. The tape'!$D$5:$D$13*(1-'2. The tape'!$J$5:$J$13)^($A84/4)*(1+$J$5)^($A84/4)*((1-'3. Assumptions'!$B$13)/($J$6)-'2. The tape'!$H$5:$H$13/12-'3. Assumptions'!$B$16)-'2. The tape'!$C$5:$C$13*'2. The tape'!$I$5:$I$13*(1+$J$5)^($A84/4)))</f>
        <v>61131491.0800062</v>
      </c>
      <c r="L84" s="33" t="n">
        <f aca="false">'2. The tape'!$C$17*(1+MIN(MAX($L$5,'3. Assumptions'!$B$11),'3. Assumptions'!$B$10))^INT(($A84-1)/4)/4*(1-'3. Assumptions'!$B$13)</f>
        <v>4955388.02389716</v>
      </c>
      <c r="M84" s="33" t="n">
        <f aca="false">(1-'3. Assumptions'!$B$15)*SUMPRODUCT((('2. The tape'!$C$5:$C$13*'2. The tape'!$D$5:$D$13*(1-'2. The tape'!$J$5:$J$13)^($A84/4)*(1+$L$5)^($A84/4)*((1-'3. Assumptions'!$B$13)/($L$6)-'2. The tape'!$H$5:$H$13/12-'3. Assumptions'!$B$16)-'2. The tape'!$C$5:$C$13*'2. The tape'!$I$5:$I$13*(1+$L$5)^($A84/4))&gt;0)*('2. The tape'!$C$5:$C$13*'2. The tape'!$D$5:$D$13*(1-'2. The tape'!$J$5:$J$13)^($A84/4)*(1+$L$5)^($A84/4)*((1-'3. Assumptions'!$B$13)/($L$6)-'2. The tape'!$H$5:$H$13/12-'3. Assumptions'!$B$16)-'2. The tape'!$C$5:$C$13*'2. The tape'!$I$5:$I$13*(1+$L$5)^($A84/4)))</f>
        <v>4770901622.05366</v>
      </c>
      <c r="N84" s="33" t="n">
        <f aca="false">'2. The tape'!$C$17*(1+MIN(MAX($N$5,'3. Assumptions'!$B$11),'3. Assumptions'!$B$10))^INT(($A84-1)/4)/4*(1-'3. Assumptions'!$B$13)</f>
        <v>2998091.25</v>
      </c>
      <c r="O84" s="33" t="n">
        <f aca="false">(1-'3. Assumptions'!$B$15)*SUMPRODUCT((('2. The tape'!$C$5:$C$13*'2. The tape'!$D$5:$D$13*(1-'2. The tape'!$J$5:$J$13)^($A84/4)*(1+$N$5)^($A84/4)*((1-'3. Assumptions'!$B$13)/($N$6)-'2. The tape'!$H$5:$H$13/12-'3. Assumptions'!$B$16)-'2. The tape'!$C$5:$C$13*'2. The tape'!$I$5:$I$13*(1+$N$5)^($A84/4))&gt;0)*('2. The tape'!$C$5:$C$13*'2. The tape'!$D$5:$D$13*(1-'2. The tape'!$J$5:$J$13)^($A84/4)*(1+$N$5)^($A84/4)*((1-'3. Assumptions'!$B$13)/($N$6)-'2. The tape'!$H$5:$H$13/12-'3. Assumptions'!$B$16)-'2. The tape'!$C$5:$C$13*'2. The tape'!$I$5:$I$13*(1+$N$5)^($A84/4)))</f>
        <v>30541477.9993043</v>
      </c>
      <c r="P84" s="33" t="n">
        <f aca="false">'2. The tape'!$C$17*(1+MIN(MAX($P$5,'3. Assumptions'!$B$11),'3. Assumptions'!$B$10))^INT(($A84-1)/4)/4*(1-'3. Assumptions'!$B$13)</f>
        <v>2998091.25</v>
      </c>
      <c r="Q84" s="33" t="n">
        <f aca="false">(1-'3. Assumptions'!$B$15)*SUMPRODUCT((('2. The tape'!$C$5:$C$13*'2. The tape'!$D$5:$D$13*(1-'2. The tape'!$J$5:$J$13)^($A84/4)*(1+$P$5)^($A84/4)*((1-'3. Assumptions'!$B$13)/($P$6)-'2. The tape'!$H$5:$H$13/12-'3. Assumptions'!$B$16)-'2. The tape'!$C$5:$C$13*'2. The tape'!$I$5:$I$13*(1+$P$5)^($A84/4))&gt;0)*('2. The tape'!$C$5:$C$13*'2. The tape'!$D$5:$D$13*(1-'2. The tape'!$J$5:$J$13)^($A84/4)*(1+$P$5)^($A84/4)*((1-'3. Assumptions'!$B$13)/($P$6)-'2. The tape'!$H$5:$H$13/12-'3. Assumptions'!$B$16)-'2. The tape'!$C$5:$C$13*'2. The tape'!$I$5:$I$13*(1+$P$5)^($A84/4)))</f>
        <v>36452510.1636589</v>
      </c>
      <c r="R84" s="33" t="n">
        <f aca="false">'2. The tape'!$C$17*(1+MIN(MAX($R$5,'3. Assumptions'!$B$11),'3. Assumptions'!$B$10))^INT(($A84-1)/4)/4*(1-'3. Assumptions'!$B$13)</f>
        <v>2998091.25</v>
      </c>
      <c r="S84" s="33" t="n">
        <f aca="false">(1-'3. Assumptions'!$B$15)*SUMPRODUCT((('2. The tape'!$C$5:$C$13*'2. The tape'!$D$5:$D$13*(1-'2. The tape'!$J$5:$J$13)^($A84/4)*(1+$R$5)^($A84/4)*((1-'3. Assumptions'!$B$13)/($R$6)-'2. The tape'!$H$5:$H$13/12-'3. Assumptions'!$B$16)-'2. The tape'!$C$5:$C$13*'2. The tape'!$I$5:$I$13*(1+$R$5)^($A84/4))&gt;0)*('2. The tape'!$C$5:$C$13*'2. The tape'!$D$5:$D$13*(1-'2. The tape'!$J$5:$J$13)^($A84/4)*(1+$R$5)^($A84/4)*((1-'3. Assumptions'!$B$13)/($R$6)-'2. The tape'!$H$5:$H$13/12-'3. Assumptions'!$B$16)-'2. The tape'!$C$5:$C$13*'2. The tape'!$I$5:$I$13*(1+$R$5)^($A84/4)))</f>
        <v>32757299.5935015</v>
      </c>
      <c r="T84" s="33" t="n">
        <f aca="false">'2. The tape'!$C$17*(1+MIN(MAX($T$5,'3. Assumptions'!$B$11),'3. Assumptions'!$B$10))^INT(($A84-1)/4)/4*(1-'3. Assumptions'!$B$13)</f>
        <v>2998091.25</v>
      </c>
      <c r="U84" s="33" t="n">
        <f aca="false">(1-'3. Assumptions'!$B$15)*SUMPRODUCT((('2. The tape'!$C$5:$C$13*'2. The tape'!$D$5:$D$13*(1-'2. The tape'!$J$5:$J$13)^($A84/4)*(1+$T$5)^($A84/4)*((1-'3. Assumptions'!$B$13)/($T$6)-'2. The tape'!$H$5:$H$13/12-'3. Assumptions'!$B$16)-'2. The tape'!$C$5:$C$13*'2. The tape'!$I$5:$I$13*(1+$T$5)^($A84/4))&gt;0)*('2. The tape'!$C$5:$C$13*'2. The tape'!$D$5:$D$13*(1-'2. The tape'!$J$5:$J$13)^($A84/4)*(1+$T$5)^($A84/4)*((1-'3. Assumptions'!$B$13)/($T$6)-'2. The tape'!$H$5:$H$13/12-'3. Assumptions'!$B$16)-'2. The tape'!$C$5:$C$13*'2. The tape'!$I$5:$I$13*(1+$T$5)^($A84/4)))</f>
        <v>32662167.3310046</v>
      </c>
      <c r="V84" s="33" t="n">
        <f aca="false">'2. The tape'!$C$17*(1+MIN(MAX($V$5,'3. Assumptions'!$B$11),'3. Assumptions'!$B$10))^INT(($A84-1)/4)/4*(1-'3. Assumptions'!$B$13)</f>
        <v>2998091.25</v>
      </c>
      <c r="W84" s="33" t="n">
        <f aca="false">(1-'3. Assumptions'!$B$15)*SUMPRODUCT((('2. The tape'!$C$5:$C$13*'2. The tape'!$D$5:$D$13*(1-'2. The tape'!$J$5:$J$13)^($A84/4)*(1+$V$5)^($A84/4)*((1-'3. Assumptions'!$B$13)/($V$6)-'2. The tape'!$H$5:$H$13/12-'3. Assumptions'!$B$16)-'2. The tape'!$C$5:$C$13*'2. The tape'!$I$5:$I$13*(1+$V$5)^($A84/4))&gt;0)*('2. The tape'!$C$5:$C$13*'2. The tape'!$D$5:$D$13*(1-'2. The tape'!$J$5:$J$13)^($A84/4)*(1+$V$5)^($A84/4)*((1-'3. Assumptions'!$B$13)/($V$6)-'2. The tape'!$H$5:$H$13/12-'3. Assumptions'!$B$16)-'2. The tape'!$C$5:$C$13*'2. The tape'!$I$5:$I$13*(1+$V$5)^($A84/4)))</f>
        <v>32665984.6301258</v>
      </c>
      <c r="X84" s="33" t="n">
        <f aca="false">'2. The tape'!$C$17*(1+MIN(MAX($X$5,'3. Assumptions'!$B$11),'3. Assumptions'!$B$10))^INT(($A84-1)/4)/4*(1-'3. Assumptions'!$B$13)</f>
        <v>2998091.25</v>
      </c>
      <c r="Y84" s="33" t="n">
        <f aca="false">(1-'3. Assumptions'!$B$15)*SUMPRODUCT((('2. The tape'!$C$5:$C$13*'2. The tape'!$D$5:$D$13*(1-'2. The tape'!$J$5:$J$13)^($A84/4)*(1+$X$5)^($A84/4)*((1-'3. Assumptions'!$B$13)/($X$6)-'2. The tape'!$H$5:$H$13/12-'3. Assumptions'!$B$16)-'2. The tape'!$C$5:$C$13*'2. The tape'!$I$5:$I$13*(1+$X$5)^($A84/4))&gt;0)*('2. The tape'!$C$5:$C$13*'2. The tape'!$D$5:$D$13*(1-'2. The tape'!$J$5:$J$13)^($A84/4)*(1+$X$5)^($A84/4)*((1-'3. Assumptions'!$B$13)/($X$6)-'2. The tape'!$H$5:$H$13/12-'3. Assumptions'!$B$16)-'2. The tape'!$C$5:$C$13*'2. The tape'!$I$5:$I$13*(1+$X$5)^($A84/4)))</f>
        <v>32665980.6157776</v>
      </c>
      <c r="Z84" s="33" t="n">
        <f aca="false">'2. The tape'!$C$17*(1+MIN(MAX($Z$5,'3. Assumptions'!$B$11),'3. Assumptions'!$B$10))^INT(($A84-1)/4)/4*(1-'3. Assumptions'!$B$13)</f>
        <v>2998091.25</v>
      </c>
      <c r="AA84" s="33" t="n">
        <f aca="false">(1-'3. Assumptions'!$B$15)*SUMPRODUCT((('2. The tape'!$C$5:$C$13*'2. The tape'!$D$5:$D$13*(1-'2. The tape'!$J$5:$J$13)^($A84/4)*(1+$Z$5)^($A84/4)*((1-'3. Assumptions'!$B$13)/($Z$6)-'2. The tape'!$H$5:$H$13/12-'3. Assumptions'!$B$16)-'2. The tape'!$C$5:$C$13*'2. The tape'!$I$5:$I$13*(1+$Z$5)^($A84/4))&gt;0)*('2. The tape'!$C$5:$C$13*'2. The tape'!$D$5:$D$13*(1-'2. The tape'!$J$5:$J$13)^($A84/4)*(1+$Z$5)^($A84/4)*((1-'3. Assumptions'!$B$13)/($Z$6)-'2. The tape'!$H$5:$H$13/12-'3. Assumptions'!$B$16)-'2. The tape'!$C$5:$C$13*'2. The tape'!$I$5:$I$13*(1+$Z$5)^($A84/4)))</f>
        <v>32665980.6156009</v>
      </c>
      <c r="AB84" s="33" t="n">
        <f aca="false">'2. The tape'!$C$17*(1+MIN(MAX($AB$5,'3. Assumptions'!$B$11),'3. Assumptions'!$B$10))^INT(($A84-1)/4)/4*(1-'3. Assumptions'!$B$13)</f>
        <v>2998091.25</v>
      </c>
      <c r="AC84" s="33" t="n">
        <f aca="false">(1-'3. Assumptions'!$B$15)*SUMPRODUCT((('2. The tape'!$C$5:$C$13*'2. The tape'!$D$5:$D$13*(1-'2. The tape'!$J$5:$J$13)^($A84/4)*(1+$AB$5)^($A84/4)*((1-'3. Assumptions'!$B$13)/($AB$6)-'2. The tape'!$H$5:$H$13/12-'3. Assumptions'!$B$16)-'2. The tape'!$C$5:$C$13*'2. The tape'!$I$5:$I$13*(1+$AB$5)^($A84/4))&gt;0)*('2. The tape'!$C$5:$C$13*'2. The tape'!$D$5:$D$13*(1-'2. The tape'!$J$5:$J$13)^($A84/4)*(1+$AB$5)^($A84/4)*((1-'3. Assumptions'!$B$13)/($AB$6)-'2. The tape'!$H$5:$H$13/12-'3. Assumptions'!$B$16)-'2. The tape'!$C$5:$C$13*'2. The tape'!$I$5:$I$13*(1+$AB$5)^($A84/4)))</f>
        <v>32665980.6156009</v>
      </c>
      <c r="AD84" s="33" t="n">
        <f aca="false">'2. The tape'!$C$17*(1+MIN(MAX($AD$5,'3. Assumptions'!$B$11),'3. Assumptions'!$B$10))^INT(($A84-1)/4)/4*(1-'3. Assumptions'!$B$13)</f>
        <v>2998091.25</v>
      </c>
      <c r="AE84" s="33" t="n">
        <f aca="false">(1-'3. Assumptions'!$B$15)*SUMPRODUCT((('2. The tape'!$C$5:$C$13*'2. The tape'!$D$5:$D$13*(1-'2. The tape'!$J$5:$J$13)^($A84/4)*(1+$AD$5)^($A84/4)*((1-'3. Assumptions'!$B$13)/($AD$6)-'2. The tape'!$H$5:$H$13/12-'3. Assumptions'!$B$16)-'2. The tape'!$C$5:$C$13*'2. The tape'!$I$5:$I$13*(1+$AD$5)^($A84/4))&gt;0)*('2. The tape'!$C$5:$C$13*'2. The tape'!$D$5:$D$13*(1-'2. The tape'!$J$5:$J$13)^($A84/4)*(1+$AD$5)^($A84/4)*((1-'3. Assumptions'!$B$13)/($AD$6)-'2. The tape'!$H$5:$H$13/12-'3. Assumptions'!$B$16)-'2. The tape'!$C$5:$C$13*'2. The tape'!$I$5:$I$13*(1+$AD$5)^($A84/4)))</f>
        <v>32665980.6156009</v>
      </c>
      <c r="AF84" s="33" t="n">
        <f aca="false">'2. The tape'!$C$17*(1+MIN(MAX($AF$5,'3. Assumptions'!$B$11),'3. Assumptions'!$B$10))^INT(($A84-1)/4)/4*(1-'3. Assumptions'!$B$13)</f>
        <v>2998091.25</v>
      </c>
      <c r="AG84" s="33" t="n">
        <f aca="false">(1-'3. Assumptions'!$B$15)*SUMPRODUCT((('2. The tape'!$C$5:$C$13*'2. The tape'!$D$5:$D$13*(1-'2. The tape'!$J$5:$J$13)^($A84/4)*(1+$AF$5)^($A84/4)*((1-'3. Assumptions'!$B$13)/($AF$6)-'2. The tape'!$H$5:$H$13/12-'3. Assumptions'!$B$16)-'2. The tape'!$C$5:$C$13*'2. The tape'!$I$5:$I$13*(1+$AF$5)^($A84/4))&gt;0)*('2. The tape'!$C$5:$C$13*'2. The tape'!$D$5:$D$13*(1-'2. The tape'!$J$5:$J$13)^($A84/4)*(1+$AF$5)^($A84/4)*((1-'3. Assumptions'!$B$13)/($AF$6)-'2. The tape'!$H$5:$H$13/12-'3. Assumptions'!$B$16)-'2. The tape'!$C$5:$C$13*'2. The tape'!$I$5:$I$13*(1+$AF$5)^($A84/4)))</f>
        <v>32665980.6156009</v>
      </c>
      <c r="AH84" s="33" t="n">
        <f aca="false">'2. The tape'!$C$17*(1+MIN(MAX($AH$5,'3. Assumptions'!$B$11),'3. Assumptions'!$B$10))^INT(($A84-1)/4)/4*(1-'3. Assumptions'!$B$13)</f>
        <v>4340203.32659558</v>
      </c>
      <c r="AI84" s="33" t="n">
        <f aca="false">(1-'3. Assumptions'!$B$15)*SUMPRODUCT((('2. The tape'!$C$5:$C$13*'2. The tape'!$D$5:$D$13*(1-'2. The tape'!$J$5:$J$13)^($A84/4)*(1+$AH$5)^($A84/4)*((1-'3. Assumptions'!$B$13)/($AH$6)-'2. The tape'!$H$5:$H$13/12-'3. Assumptions'!$B$16)-'2. The tape'!$C$5:$C$13*'2. The tape'!$I$5:$I$13*(1+$AH$5)^($A84/4))&gt;0)*('2. The tape'!$C$5:$C$13*'2. The tape'!$D$5:$D$13*(1-'2. The tape'!$J$5:$J$13)^($A84/4)*(1+$AH$5)^($A84/4)*((1-'3. Assumptions'!$B$13)/($AH$6)-'2. The tape'!$H$5:$H$13/12-'3. Assumptions'!$B$16)-'2. The tape'!$C$5:$C$13*'2. The tape'!$I$5:$I$13*(1+$AH$5)^($A84/4)))</f>
        <v>151888510.099703</v>
      </c>
      <c r="AJ84" s="33" t="n">
        <f aca="false">'2. The tape'!$C$17*(1+MIN(MAX($AJ$5,'3. Assumptions'!$B$11),'3. Assumptions'!$B$10))^INT(($A84-1)/4)/4*(1-'3. Assumptions'!$B$13)</f>
        <v>4340203.32659558</v>
      </c>
      <c r="AK84" s="33" t="n">
        <f aca="false">(1-'3. Assumptions'!$B$15)*SUMPRODUCT((('2. The tape'!$C$5:$C$13*'2. The tape'!$D$5:$D$13*(1-'2. The tape'!$J$5:$J$13)^($A84/4)*(1+$AJ$5)^($A84/4)*((1-'3. Assumptions'!$B$13)/($AJ$6)-'2. The tape'!$H$5:$H$13/12-'3. Assumptions'!$B$16)-'2. The tape'!$C$5:$C$13*'2. The tape'!$I$5:$I$13*(1+$AJ$5)^($A84/4))&gt;0)*('2. The tape'!$C$5:$C$13*'2. The tape'!$D$5:$D$13*(1-'2. The tape'!$J$5:$J$13)^($A84/4)*(1+$AJ$5)^($A84/4)*((1-'3. Assumptions'!$B$13)/($AJ$6)-'2. The tape'!$H$5:$H$13/12-'3. Assumptions'!$B$16)-'2. The tape'!$C$5:$C$13*'2. The tape'!$I$5:$I$13*(1+$AJ$5)^($A84/4)))</f>
        <v>108898343.195636</v>
      </c>
      <c r="AL84" s="33" t="n">
        <f aca="false">'2. The tape'!$C$17*(1+MIN(MAX($AL$5,'3. Assumptions'!$B$11),'3. Assumptions'!$B$10))^INT(($A84-1)/4)/4*(1-'3. Assumptions'!$B$13)</f>
        <v>4340203.32659558</v>
      </c>
      <c r="AM84" s="33" t="n">
        <f aca="false">(1-'3. Assumptions'!$B$15)*SUMPRODUCT((('2. The tape'!$C$5:$C$13*'2. The tape'!$D$5:$D$13*(1-'2. The tape'!$J$5:$J$13)^($A84/4)*(1+$AL$5)^($A84/4)*((1-'3. Assumptions'!$B$13)/($AL$6)-'2. The tape'!$H$5:$H$13/12-'3. Assumptions'!$B$16)-'2. The tape'!$C$5:$C$13*'2. The tape'!$I$5:$I$13*(1+$AL$5)^($A84/4))&gt;0)*('2. The tape'!$C$5:$C$13*'2. The tape'!$D$5:$D$13*(1-'2. The tape'!$J$5:$J$13)^($A84/4)*(1+$AL$5)^($A84/4)*((1-'3. Assumptions'!$B$13)/($AL$6)-'2. The tape'!$H$5:$H$13/12-'3. Assumptions'!$B$16)-'2. The tape'!$C$5:$C$13*'2. The tape'!$I$5:$I$13*(1+$AL$5)^($A84/4)))</f>
        <v>125571797.841669</v>
      </c>
      <c r="AN84" s="33" t="n">
        <f aca="false">'2. The tape'!$C$17*(1+MIN(MAX($AN$5,'3. Assumptions'!$B$11),'3. Assumptions'!$B$10))^INT(($A84-1)/4)/4*(1-'3. Assumptions'!$B$13)</f>
        <v>4340203.32659558</v>
      </c>
      <c r="AO84" s="33" t="n">
        <f aca="false">(1-'3. Assumptions'!$B$15)*SUMPRODUCT((('2. The tape'!$C$5:$C$13*'2. The tape'!$D$5:$D$13*(1-'2. The tape'!$J$5:$J$13)^($A84/4)*(1+$AN$5)^($A84/4)*((1-'3. Assumptions'!$B$13)/($AN$6)-'2. The tape'!$H$5:$H$13/12-'3. Assumptions'!$B$16)-'2. The tape'!$C$5:$C$13*'2. The tape'!$I$5:$I$13*(1+$AN$5)^($A84/4))&gt;0)*('2. The tape'!$C$5:$C$13*'2. The tape'!$D$5:$D$13*(1-'2. The tape'!$J$5:$J$13)^($A84/4)*(1+$AN$5)^($A84/4)*((1-'3. Assumptions'!$B$13)/($AN$6)-'2. The tape'!$H$5:$H$13/12-'3. Assumptions'!$B$16)-'2. The tape'!$C$5:$C$13*'2. The tape'!$I$5:$I$13*(1+$AN$5)^($A84/4)))</f>
        <v>128693580.579181</v>
      </c>
      <c r="AP84" s="33" t="n">
        <f aca="false">'2. The tape'!$C$17*(1+MIN(MAX($AP$5,'3. Assumptions'!$B$11),'3. Assumptions'!$B$10))^INT(($A84-1)/4)/4*(1-'3. Assumptions'!$B$13)</f>
        <v>4340203.32659558</v>
      </c>
      <c r="AQ84" s="33" t="n">
        <f aca="false">(1-'3. Assumptions'!$B$15)*SUMPRODUCT((('2. The tape'!$C$5:$C$13*'2. The tape'!$D$5:$D$13*(1-'2. The tape'!$J$5:$J$13)^($A84/4)*(1+$AP$5)^($A84/4)*((1-'3. Assumptions'!$B$13)/($AP$6)-'2. The tape'!$H$5:$H$13/12-'3. Assumptions'!$B$16)-'2. The tape'!$C$5:$C$13*'2. The tape'!$I$5:$I$13*(1+$AP$5)^($A84/4))&gt;0)*('2. The tape'!$C$5:$C$13*'2. The tape'!$D$5:$D$13*(1-'2. The tape'!$J$5:$J$13)^($A84/4)*(1+$AP$5)^($A84/4)*((1-'3. Assumptions'!$B$13)/($AP$6)-'2. The tape'!$H$5:$H$13/12-'3. Assumptions'!$B$16)-'2. The tape'!$C$5:$C$13*'2. The tape'!$I$5:$I$13*(1+$AP$5)^($A84/4)))</f>
        <v>128308202.906251</v>
      </c>
      <c r="AR84" s="33" t="n">
        <f aca="false">'2. The tape'!$C$17*(1+MIN(MAX($AR$5,'3. Assumptions'!$B$11),'3. Assumptions'!$B$10))^INT(($A84-1)/4)/4*(1-'3. Assumptions'!$B$13)</f>
        <v>4340203.32659558</v>
      </c>
      <c r="AS84" s="33" t="n">
        <f aca="false">(1-'3. Assumptions'!$B$15)*SUMPRODUCT((('2. The tape'!$C$5:$C$13*'2. The tape'!$D$5:$D$13*(1-'2. The tape'!$J$5:$J$13)^($A84/4)*(1+$AR$5)^($A84/4)*((1-'3. Assumptions'!$B$13)/($AR$6)-'2. The tape'!$H$5:$H$13/12-'3. Assumptions'!$B$16)-'2. The tape'!$C$5:$C$13*'2. The tape'!$I$5:$I$13*(1+$AR$5)^($A84/4))&gt;0)*('2. The tape'!$C$5:$C$13*'2. The tape'!$D$5:$D$13*(1-'2. The tape'!$J$5:$J$13)^($A84/4)*(1+$AR$5)^($A84/4)*((1-'3. Assumptions'!$B$13)/($AR$6)-'2. The tape'!$H$5:$H$13/12-'3. Assumptions'!$B$16)-'2. The tape'!$C$5:$C$13*'2. The tape'!$I$5:$I$13*(1+$AR$5)^($A84/4)))</f>
        <v>128314668.991608</v>
      </c>
      <c r="AT84" s="33" t="n">
        <f aca="false">'2. The tape'!$C$17*(1+MIN(MAX($AT$5,'3. Assumptions'!$B$11),'3. Assumptions'!$B$10))^INT(($A84-1)/4)/4*(1-'3. Assumptions'!$B$13)</f>
        <v>4340203.32659558</v>
      </c>
      <c r="AU84" s="33" t="n">
        <f aca="false">(1-'3. Assumptions'!$B$15)*SUMPRODUCT((('2. The tape'!$C$5:$C$13*'2. The tape'!$D$5:$D$13*(1-'2. The tape'!$J$5:$J$13)^($A84/4)*(1+$AT$5)^($A84/4)*((1-'3. Assumptions'!$B$13)/($AT$6)-'2. The tape'!$H$5:$H$13/12-'3. Assumptions'!$B$16)-'2. The tape'!$C$5:$C$13*'2. The tape'!$I$5:$I$13*(1+$AT$5)^($A84/4))&gt;0)*('2. The tape'!$C$5:$C$13*'2. The tape'!$D$5:$D$13*(1-'2. The tape'!$J$5:$J$13)^($A84/4)*(1+$AT$5)^($A84/4)*((1-'3. Assumptions'!$B$13)/($AT$6)-'2. The tape'!$H$5:$H$13/12-'3. Assumptions'!$B$16)-'2. The tape'!$C$5:$C$13*'2. The tape'!$I$5:$I$13*(1+$AT$5)^($A84/4)))</f>
        <v>128314684.049494</v>
      </c>
      <c r="AV84" s="33" t="n">
        <f aca="false">'2. The tape'!$C$17*(1+MIN(MAX($AV$5,'3. Assumptions'!$B$11),'3. Assumptions'!$B$10))^INT(($A84-1)/4)/4*(1-'3. Assumptions'!$B$13)</f>
        <v>4340203.32659558</v>
      </c>
      <c r="AW84" s="33" t="n">
        <f aca="false">(1-'3. Assumptions'!$B$15)*SUMPRODUCT((('2. The tape'!$C$5:$C$13*'2. The tape'!$D$5:$D$13*(1-'2. The tape'!$J$5:$J$13)^($A84/4)*(1+$AV$5)^($A84/4)*((1-'3. Assumptions'!$B$13)/($AV$6)-'2. The tape'!$H$5:$H$13/12-'3. Assumptions'!$B$16)-'2. The tape'!$C$5:$C$13*'2. The tape'!$I$5:$I$13*(1+$AV$5)^($A84/4))&gt;0)*('2. The tape'!$C$5:$C$13*'2. The tape'!$D$5:$D$13*(1-'2. The tape'!$J$5:$J$13)^($A84/4)*(1+$AV$5)^($A84/4)*((1-'3. Assumptions'!$B$13)/($AV$6)-'2. The tape'!$H$5:$H$13/12-'3. Assumptions'!$B$16)-'2. The tape'!$C$5:$C$13*'2. The tape'!$I$5:$I$13*(1+$AV$5)^($A84/4)))</f>
        <v>128314684.048894</v>
      </c>
      <c r="AX84" s="33" t="n">
        <f aca="false">'2. The tape'!$C$17*(1+MIN(MAX($AX$5,'3. Assumptions'!$B$11),'3. Assumptions'!$B$10))^INT(($A84-1)/4)/4*(1-'3. Assumptions'!$B$13)</f>
        <v>4340203.32659558</v>
      </c>
      <c r="AY84" s="33" t="n">
        <f aca="false">(1-'3. Assumptions'!$B$15)*SUMPRODUCT((('2. The tape'!$C$5:$C$13*'2. The tape'!$D$5:$D$13*(1-'2. The tape'!$J$5:$J$13)^($A84/4)*(1+$AX$5)^($A84/4)*((1-'3. Assumptions'!$B$13)/($AX$6)-'2. The tape'!$H$5:$H$13/12-'3. Assumptions'!$B$16)-'2. The tape'!$C$5:$C$13*'2. The tape'!$I$5:$I$13*(1+$AX$5)^($A84/4))&gt;0)*('2. The tape'!$C$5:$C$13*'2. The tape'!$D$5:$D$13*(1-'2. The tape'!$J$5:$J$13)^($A84/4)*(1+$AX$5)^($A84/4)*((1-'3. Assumptions'!$B$13)/($AX$6)-'2. The tape'!$H$5:$H$13/12-'3. Assumptions'!$B$16)-'2. The tape'!$C$5:$C$13*'2. The tape'!$I$5:$I$13*(1+$AX$5)^($A84/4)))</f>
        <v>128314684.048894</v>
      </c>
      <c r="AZ84" s="33" t="n">
        <f aca="false">'2. The tape'!$C$17*(1+MIN(MAX($AZ$5,'3. Assumptions'!$B$11),'3. Assumptions'!$B$10))^INT(($A84-1)/4)/4*(1-'3. Assumptions'!$B$13)</f>
        <v>4340203.32659558</v>
      </c>
      <c r="BA84" s="33" t="n">
        <f aca="false">(1-'3. Assumptions'!$B$15)*SUMPRODUCT((('2. The tape'!$C$5:$C$13*'2. The tape'!$D$5:$D$13*(1-'2. The tape'!$J$5:$J$13)^($A84/4)*(1+$AZ$5)^($A84/4)*((1-'3. Assumptions'!$B$13)/($AZ$6)-'2. The tape'!$H$5:$H$13/12-'3. Assumptions'!$B$16)-'2. The tape'!$C$5:$C$13*'2. The tape'!$I$5:$I$13*(1+$AZ$5)^($A84/4))&gt;0)*('2. The tape'!$C$5:$C$13*'2. The tape'!$D$5:$D$13*(1-'2. The tape'!$J$5:$J$13)^($A84/4)*(1+$AZ$5)^($A84/4)*((1-'3. Assumptions'!$B$13)/($AZ$6)-'2. The tape'!$H$5:$H$13/12-'3. Assumptions'!$B$16)-'2. The tape'!$C$5:$C$13*'2. The tape'!$I$5:$I$13*(1+$AZ$5)^($A84/4)))</f>
        <v>128314684.048894</v>
      </c>
    </row>
    <row r="85" customFormat="false" ht="15" hidden="false" customHeight="false" outlineLevel="0" collapsed="false">
      <c r="A85" s="20" t="n">
        <v>70</v>
      </c>
      <c r="B85" s="33" t="n">
        <f aca="false">'2. The tape'!$C$17*(1+MIN(MAX($B$5,'3. Assumptions'!$B$11),'3. Assumptions'!$B$10))^INT(($A85-1)/4)/4*(1-'3. Assumptions'!$B$13)</f>
        <v>4340203.32659558</v>
      </c>
      <c r="C85" s="33" t="n">
        <f aca="false">(1-'3. Assumptions'!$B$15)*SUMPRODUCT((('2. The tape'!$C$5:$C$13*'2. The tape'!$D$5:$D$13*(1-'2. The tape'!$J$5:$J$13)^($A85/4)*(1+$B$5)^($A85/4)*((1-'3. Assumptions'!$B$13)/($B$6)-'2. The tape'!$H$5:$H$13/12-'3. Assumptions'!$B$16)-'2. The tape'!$C$5:$C$13*'2. The tape'!$I$5:$I$13*(1+$B$5)^($A85/4))&gt;0)*('2. The tape'!$C$5:$C$13*'2. The tape'!$D$5:$D$13*(1-'2. The tape'!$J$5:$J$13)^($A85/4)*(1+$B$5)^($A85/4)*((1-'3. Assumptions'!$B$13)/($B$6)-'2. The tape'!$H$5:$H$13/12-'3. Assumptions'!$B$16)-'2. The tape'!$C$5:$C$13*'2. The tape'!$I$5:$I$13*(1+$B$5)^($A85/4)))</f>
        <v>75072692.8027724</v>
      </c>
      <c r="D85" s="33" t="n">
        <f aca="false">'2. The tape'!$C$17*(1+MIN(MAX($D$5,'3. Assumptions'!$B$11),'3. Assumptions'!$B$10))^INT(($A85-1)/4)/4*(1-'3. Assumptions'!$B$13)</f>
        <v>4955388.02389716</v>
      </c>
      <c r="E85" s="33" t="n">
        <f aca="false">(1-'3. Assumptions'!$B$15)*SUMPRODUCT((('2. The tape'!$C$5:$C$13*'2. The tape'!$D$5:$D$13*(1-'2. The tape'!$J$5:$J$13)^($A85/4)*(1+$D$5)^($A85/4)*((1-'3. Assumptions'!$B$13)/($D$6)-'2. The tape'!$H$5:$H$13/12-'3. Assumptions'!$B$16)-'2. The tape'!$C$5:$C$13*'2. The tape'!$I$5:$I$13*(1+$D$5)^($A85/4))&gt;0)*('2. The tape'!$C$5:$C$13*'2. The tape'!$D$5:$D$13*(1-'2. The tape'!$J$5:$J$13)^($A85/4)*(1+$D$5)^($A85/4)*((1-'3. Assumptions'!$B$13)/($D$6)-'2. The tape'!$H$5:$H$13/12-'3. Assumptions'!$B$16)-'2. The tape'!$C$5:$C$13*'2. The tape'!$I$5:$I$13*(1+$D$5)^($A85/4)))</f>
        <v>93658551.9452486</v>
      </c>
      <c r="F85" s="33" t="n">
        <f aca="false">'2. The tape'!$C$17*(1+MIN(MAX($F$5,'3. Assumptions'!$B$11),'3. Assumptions'!$B$10))^INT(($A85-1)/4)/4*(1-'3. Assumptions'!$B$13)</f>
        <v>3550652.75303542</v>
      </c>
      <c r="G85" s="33" t="n">
        <f aca="false">(1-'3. Assumptions'!$B$15)*SUMPRODUCT((('2. The tape'!$C$5:$C$13*'2. The tape'!$D$5:$D$13*(1-'2. The tape'!$J$5:$J$13)^($A85/4)*(1+$F$5)^($A85/4)*((1-'3. Assumptions'!$B$13)/($F$6)-'2. The tape'!$H$5:$H$13/12-'3. Assumptions'!$B$16)-'2. The tape'!$C$5:$C$13*'2. The tape'!$I$5:$I$13*(1+$F$5)^($A85/4))&gt;0)*('2. The tape'!$C$5:$C$13*'2. The tape'!$D$5:$D$13*(1-'2. The tape'!$J$5:$J$13)^($A85/4)*(1+$F$5)^($A85/4)*((1-'3. Assumptions'!$B$13)/($F$6)-'2. The tape'!$H$5:$H$13/12-'3. Assumptions'!$B$16)-'2. The tape'!$C$5:$C$13*'2. The tape'!$I$5:$I$13*(1+$F$5)^($A85/4)))</f>
        <v>61054173.8073971</v>
      </c>
      <c r="H85" s="33" t="n">
        <f aca="false">'2. The tape'!$C$17*(1+MIN(MAX($H$5,'3. Assumptions'!$B$11),'3. Assumptions'!$B$10))^INT(($A85-1)/4)/4*(1-'3. Assumptions'!$B$13)</f>
        <v>4955388.02389716</v>
      </c>
      <c r="I85" s="33" t="n">
        <f aca="false">(1-'3. Assumptions'!$B$15)*SUMPRODUCT((('2. The tape'!$C$5:$C$13*'2. The tape'!$D$5:$D$13*(1-'2. The tape'!$J$5:$J$13)^($A85/4)*(1+$H$5)^($A85/4)*((1-'3. Assumptions'!$B$13)/($H$6)-'2. The tape'!$H$5:$H$13/12-'3. Assumptions'!$B$16)-'2. The tape'!$C$5:$C$13*'2. The tape'!$I$5:$I$13*(1+$H$5)^($A85/4))&gt;0)*('2. The tape'!$C$5:$C$13*'2. The tape'!$D$5:$D$13*(1-'2. The tape'!$J$5:$J$13)^($A85/4)*(1+$H$5)^($A85/4)*((1-'3. Assumptions'!$B$13)/($H$6)-'2. The tape'!$H$5:$H$13/12-'3. Assumptions'!$B$16)-'2. The tape'!$C$5:$C$13*'2. The tape'!$I$5:$I$13*(1+$H$5)^($A85/4)))</f>
        <v>93658551.9452486</v>
      </c>
      <c r="J85" s="33" t="n">
        <f aca="false">'2. The tape'!$C$17*(1+MIN(MAX($J$5,'3. Assumptions'!$B$11),'3. Assumptions'!$B$10))^INT(($A85-1)/4)/4*(1-'3. Assumptions'!$B$13)</f>
        <v>4340203.32659558</v>
      </c>
      <c r="K85" s="33" t="n">
        <f aca="false">(1-'3. Assumptions'!$B$15)*SUMPRODUCT((('2. The tape'!$C$5:$C$13*'2. The tape'!$D$5:$D$13*(1-'2. The tape'!$J$5:$J$13)^($A85/4)*(1+$J$5)^($A85/4)*((1-'3. Assumptions'!$B$13)/($J$6)-'2. The tape'!$H$5:$H$13/12-'3. Assumptions'!$B$16)-'2. The tape'!$C$5:$C$13*'2. The tape'!$I$5:$I$13*(1+$J$5)^($A85/4))&gt;0)*('2. The tape'!$C$5:$C$13*'2. The tape'!$D$5:$D$13*(1-'2. The tape'!$J$5:$J$13)^($A85/4)*(1+$J$5)^($A85/4)*((1-'3. Assumptions'!$B$13)/($J$6)-'2. The tape'!$H$5:$H$13/12-'3. Assumptions'!$B$16)-'2. The tape'!$C$5:$C$13*'2. The tape'!$I$5:$I$13*(1+$J$5)^($A85/4)))</f>
        <v>61023372.2693272</v>
      </c>
      <c r="L85" s="33" t="n">
        <f aca="false">'2. The tape'!$C$17*(1+MIN(MAX($L$5,'3. Assumptions'!$B$11),'3. Assumptions'!$B$10))^INT(($A85-1)/4)/4*(1-'3. Assumptions'!$B$13)</f>
        <v>4955388.02389716</v>
      </c>
      <c r="M85" s="33" t="n">
        <f aca="false">(1-'3. Assumptions'!$B$15)*SUMPRODUCT((('2. The tape'!$C$5:$C$13*'2. The tape'!$D$5:$D$13*(1-'2. The tape'!$J$5:$J$13)^($A85/4)*(1+$L$5)^($A85/4)*((1-'3. Assumptions'!$B$13)/($L$6)-'2. The tape'!$H$5:$H$13/12-'3. Assumptions'!$B$16)-'2. The tape'!$C$5:$C$13*'2. The tape'!$I$5:$I$13*(1+$L$5)^($A85/4))&gt;0)*('2. The tape'!$C$5:$C$13*'2. The tape'!$D$5:$D$13*(1-'2. The tape'!$J$5:$J$13)^($A85/4)*(1+$L$5)^($A85/4)*((1-'3. Assumptions'!$B$13)/($L$6)-'2. The tape'!$H$5:$H$13/12-'3. Assumptions'!$B$16)-'2. The tape'!$C$5:$C$13*'2. The tape'!$I$5:$I$13*(1+$L$5)^($A85/4)))</f>
        <v>5059411258.83895</v>
      </c>
      <c r="N85" s="33" t="n">
        <f aca="false">'2. The tape'!$C$17*(1+MIN(MAX($N$5,'3. Assumptions'!$B$11),'3. Assumptions'!$B$10))^INT(($A85-1)/4)/4*(1-'3. Assumptions'!$B$13)</f>
        <v>2998091.25</v>
      </c>
      <c r="O85" s="33" t="n">
        <f aca="false">(1-'3. Assumptions'!$B$15)*SUMPRODUCT((('2. The tape'!$C$5:$C$13*'2. The tape'!$D$5:$D$13*(1-'2. The tape'!$J$5:$J$13)^($A85/4)*(1+$N$5)^($A85/4)*((1-'3. Assumptions'!$B$13)/($N$6)-'2. The tape'!$H$5:$H$13/12-'3. Assumptions'!$B$16)-'2. The tape'!$C$5:$C$13*'2. The tape'!$I$5:$I$13*(1+$N$5)^($A85/4))&gt;0)*('2. The tape'!$C$5:$C$13*'2. The tape'!$D$5:$D$13*(1-'2. The tape'!$J$5:$J$13)^($A85/4)*(1+$N$5)^($A85/4)*((1-'3. Assumptions'!$B$13)/($N$6)-'2. The tape'!$H$5:$H$13/12-'3. Assumptions'!$B$16)-'2. The tape'!$C$5:$C$13*'2. The tape'!$I$5:$I$13*(1+$N$5)^($A85/4)))</f>
        <v>30102091.1974678</v>
      </c>
      <c r="P85" s="33" t="n">
        <f aca="false">'2. The tape'!$C$17*(1+MIN(MAX($P$5,'3. Assumptions'!$B$11),'3. Assumptions'!$B$10))^INT(($A85-1)/4)/4*(1-'3. Assumptions'!$B$13)</f>
        <v>2998091.25</v>
      </c>
      <c r="Q85" s="33" t="n">
        <f aca="false">(1-'3. Assumptions'!$B$15)*SUMPRODUCT((('2. The tape'!$C$5:$C$13*'2. The tape'!$D$5:$D$13*(1-'2. The tape'!$J$5:$J$13)^($A85/4)*(1+$P$5)^($A85/4)*((1-'3. Assumptions'!$B$13)/($P$6)-'2. The tape'!$H$5:$H$13/12-'3. Assumptions'!$B$16)-'2. The tape'!$C$5:$C$13*'2. The tape'!$I$5:$I$13*(1+$P$5)^($A85/4))&gt;0)*('2. The tape'!$C$5:$C$13*'2. The tape'!$D$5:$D$13*(1-'2. The tape'!$J$5:$J$13)^($A85/4)*(1+$P$5)^($A85/4)*((1-'3. Assumptions'!$B$13)/($P$6)-'2. The tape'!$H$5:$H$13/12-'3. Assumptions'!$B$16)-'2. The tape'!$C$5:$C$13*'2. The tape'!$I$5:$I$13*(1+$P$5)^($A85/4)))</f>
        <v>36020326.2532933</v>
      </c>
      <c r="R85" s="33" t="n">
        <f aca="false">'2. The tape'!$C$17*(1+MIN(MAX($R$5,'3. Assumptions'!$B$11),'3. Assumptions'!$B$10))^INT(($A85-1)/4)/4*(1-'3. Assumptions'!$B$13)</f>
        <v>2998091.25</v>
      </c>
      <c r="S85" s="33" t="n">
        <f aca="false">(1-'3. Assumptions'!$B$15)*SUMPRODUCT((('2. The tape'!$C$5:$C$13*'2. The tape'!$D$5:$D$13*(1-'2. The tape'!$J$5:$J$13)^($A85/4)*(1+$R$5)^($A85/4)*((1-'3. Assumptions'!$B$13)/($R$6)-'2. The tape'!$H$5:$H$13/12-'3. Assumptions'!$B$16)-'2. The tape'!$C$5:$C$13*'2. The tape'!$I$5:$I$13*(1+$R$5)^($A85/4))&gt;0)*('2. The tape'!$C$5:$C$13*'2. The tape'!$D$5:$D$13*(1-'2. The tape'!$J$5:$J$13)^($A85/4)*(1+$R$5)^($A85/4)*((1-'3. Assumptions'!$B$13)/($R$6)-'2. The tape'!$H$5:$H$13/12-'3. Assumptions'!$B$16)-'2. The tape'!$C$5:$C$13*'2. The tape'!$I$5:$I$13*(1+$R$5)^($A85/4)))</f>
        <v>32318824.1069788</v>
      </c>
      <c r="T85" s="33" t="n">
        <f aca="false">'2. The tape'!$C$17*(1+MIN(MAX($T$5,'3. Assumptions'!$B$11),'3. Assumptions'!$B$10))^INT(($A85-1)/4)/4*(1-'3. Assumptions'!$B$13)</f>
        <v>2998091.25</v>
      </c>
      <c r="U85" s="33" t="n">
        <f aca="false">(1-'3. Assumptions'!$B$15)*SUMPRODUCT((('2. The tape'!$C$5:$C$13*'2. The tape'!$D$5:$D$13*(1-'2. The tape'!$J$5:$J$13)^($A85/4)*(1+$T$5)^($A85/4)*((1-'3. Assumptions'!$B$13)/($T$6)-'2. The tape'!$H$5:$H$13/12-'3. Assumptions'!$B$16)-'2. The tape'!$C$5:$C$13*'2. The tape'!$I$5:$I$13*(1+$T$5)^($A85/4))&gt;0)*('2. The tape'!$C$5:$C$13*'2. The tape'!$D$5:$D$13*(1-'2. The tape'!$J$5:$J$13)^($A85/4)*(1+$T$5)^($A85/4)*((1-'3. Assumptions'!$B$13)/($T$6)-'2. The tape'!$H$5:$H$13/12-'3. Assumptions'!$B$16)-'2. The tape'!$C$5:$C$13*'2. The tape'!$I$5:$I$13*(1+$T$5)^($A85/4)))</f>
        <v>32223606.9774879</v>
      </c>
      <c r="V85" s="33" t="n">
        <f aca="false">'2. The tape'!$C$17*(1+MIN(MAX($V$5,'3. Assumptions'!$B$11),'3. Assumptions'!$B$10))^INT(($A85-1)/4)/4*(1-'3. Assumptions'!$B$13)</f>
        <v>2998091.25</v>
      </c>
      <c r="W85" s="33" t="n">
        <f aca="false">(1-'3. Assumptions'!$B$15)*SUMPRODUCT((('2. The tape'!$C$5:$C$13*'2. The tape'!$D$5:$D$13*(1-'2. The tape'!$J$5:$J$13)^($A85/4)*(1+$V$5)^($A85/4)*((1-'3. Assumptions'!$B$13)/($V$6)-'2. The tape'!$H$5:$H$13/12-'3. Assumptions'!$B$16)-'2. The tape'!$C$5:$C$13*'2. The tape'!$I$5:$I$13*(1+$V$5)^($A85/4))&gt;0)*('2. The tape'!$C$5:$C$13*'2. The tape'!$D$5:$D$13*(1-'2. The tape'!$J$5:$J$13)^($A85/4)*(1+$V$5)^($A85/4)*((1-'3. Assumptions'!$B$13)/($V$6)-'2. The tape'!$H$5:$H$13/12-'3. Assumptions'!$B$16)-'2. The tape'!$C$5:$C$13*'2. The tape'!$I$5:$I$13*(1+$V$5)^($A85/4)))</f>
        <v>32227427.6046766</v>
      </c>
      <c r="X85" s="33" t="n">
        <f aca="false">'2. The tape'!$C$17*(1+MIN(MAX($X$5,'3. Assumptions'!$B$11),'3. Assumptions'!$B$10))^INT(($A85-1)/4)/4*(1-'3. Assumptions'!$B$13)</f>
        <v>2998091.25</v>
      </c>
      <c r="Y85" s="33" t="n">
        <f aca="false">(1-'3. Assumptions'!$B$15)*SUMPRODUCT((('2. The tape'!$C$5:$C$13*'2. The tape'!$D$5:$D$13*(1-'2. The tape'!$J$5:$J$13)^($A85/4)*(1+$X$5)^($A85/4)*((1-'3. Assumptions'!$B$13)/($X$6)-'2. The tape'!$H$5:$H$13/12-'3. Assumptions'!$B$16)-'2. The tape'!$C$5:$C$13*'2. The tape'!$I$5:$I$13*(1+$X$5)^($A85/4))&gt;0)*('2. The tape'!$C$5:$C$13*'2. The tape'!$D$5:$D$13*(1-'2. The tape'!$J$5:$J$13)^($A85/4)*(1+$X$5)^($A85/4)*((1-'3. Assumptions'!$B$13)/($X$6)-'2. The tape'!$H$5:$H$13/12-'3. Assumptions'!$B$16)-'2. The tape'!$C$5:$C$13*'2. The tape'!$I$5:$I$13*(1+$X$5)^($A85/4)))</f>
        <v>32227423.5868251</v>
      </c>
      <c r="Z85" s="33" t="n">
        <f aca="false">'2. The tape'!$C$17*(1+MIN(MAX($Z$5,'3. Assumptions'!$B$11),'3. Assumptions'!$B$10))^INT(($A85-1)/4)/4*(1-'3. Assumptions'!$B$13)</f>
        <v>2998091.25</v>
      </c>
      <c r="AA85" s="33" t="n">
        <f aca="false">(1-'3. Assumptions'!$B$15)*SUMPRODUCT((('2. The tape'!$C$5:$C$13*'2. The tape'!$D$5:$D$13*(1-'2. The tape'!$J$5:$J$13)^($A85/4)*(1+$Z$5)^($A85/4)*((1-'3. Assumptions'!$B$13)/($Z$6)-'2. The tape'!$H$5:$H$13/12-'3. Assumptions'!$B$16)-'2. The tape'!$C$5:$C$13*'2. The tape'!$I$5:$I$13*(1+$Z$5)^($A85/4))&gt;0)*('2. The tape'!$C$5:$C$13*'2. The tape'!$D$5:$D$13*(1-'2. The tape'!$J$5:$J$13)^($A85/4)*(1+$Z$5)^($A85/4)*((1-'3. Assumptions'!$B$13)/($Z$6)-'2. The tape'!$H$5:$H$13/12-'3. Assumptions'!$B$16)-'2. The tape'!$C$5:$C$13*'2. The tape'!$I$5:$I$13*(1+$Z$5)^($A85/4)))</f>
        <v>32227423.5866483</v>
      </c>
      <c r="AB85" s="33" t="n">
        <f aca="false">'2. The tape'!$C$17*(1+MIN(MAX($AB$5,'3. Assumptions'!$B$11),'3. Assumptions'!$B$10))^INT(($A85-1)/4)/4*(1-'3. Assumptions'!$B$13)</f>
        <v>2998091.25</v>
      </c>
      <c r="AC85" s="33" t="n">
        <f aca="false">(1-'3. Assumptions'!$B$15)*SUMPRODUCT((('2. The tape'!$C$5:$C$13*'2. The tape'!$D$5:$D$13*(1-'2. The tape'!$J$5:$J$13)^($A85/4)*(1+$AB$5)^($A85/4)*((1-'3. Assumptions'!$B$13)/($AB$6)-'2. The tape'!$H$5:$H$13/12-'3. Assumptions'!$B$16)-'2. The tape'!$C$5:$C$13*'2. The tape'!$I$5:$I$13*(1+$AB$5)^($A85/4))&gt;0)*('2. The tape'!$C$5:$C$13*'2. The tape'!$D$5:$D$13*(1-'2. The tape'!$J$5:$J$13)^($A85/4)*(1+$AB$5)^($A85/4)*((1-'3. Assumptions'!$B$13)/($AB$6)-'2. The tape'!$H$5:$H$13/12-'3. Assumptions'!$B$16)-'2. The tape'!$C$5:$C$13*'2. The tape'!$I$5:$I$13*(1+$AB$5)^($A85/4)))</f>
        <v>32227423.5866483</v>
      </c>
      <c r="AD85" s="33" t="n">
        <f aca="false">'2. The tape'!$C$17*(1+MIN(MAX($AD$5,'3. Assumptions'!$B$11),'3. Assumptions'!$B$10))^INT(($A85-1)/4)/4*(1-'3. Assumptions'!$B$13)</f>
        <v>2998091.25</v>
      </c>
      <c r="AE85" s="33" t="n">
        <f aca="false">(1-'3. Assumptions'!$B$15)*SUMPRODUCT((('2. The tape'!$C$5:$C$13*'2. The tape'!$D$5:$D$13*(1-'2. The tape'!$J$5:$J$13)^($A85/4)*(1+$AD$5)^($A85/4)*((1-'3. Assumptions'!$B$13)/($AD$6)-'2. The tape'!$H$5:$H$13/12-'3. Assumptions'!$B$16)-'2. The tape'!$C$5:$C$13*'2. The tape'!$I$5:$I$13*(1+$AD$5)^($A85/4))&gt;0)*('2. The tape'!$C$5:$C$13*'2. The tape'!$D$5:$D$13*(1-'2. The tape'!$J$5:$J$13)^($A85/4)*(1+$AD$5)^($A85/4)*((1-'3. Assumptions'!$B$13)/($AD$6)-'2. The tape'!$H$5:$H$13/12-'3. Assumptions'!$B$16)-'2. The tape'!$C$5:$C$13*'2. The tape'!$I$5:$I$13*(1+$AD$5)^($A85/4)))</f>
        <v>32227423.5866483</v>
      </c>
      <c r="AF85" s="33" t="n">
        <f aca="false">'2. The tape'!$C$17*(1+MIN(MAX($AF$5,'3. Assumptions'!$B$11),'3. Assumptions'!$B$10))^INT(($A85-1)/4)/4*(1-'3. Assumptions'!$B$13)</f>
        <v>2998091.25</v>
      </c>
      <c r="AG85" s="33" t="n">
        <f aca="false">(1-'3. Assumptions'!$B$15)*SUMPRODUCT((('2. The tape'!$C$5:$C$13*'2. The tape'!$D$5:$D$13*(1-'2. The tape'!$J$5:$J$13)^($A85/4)*(1+$AF$5)^($A85/4)*((1-'3. Assumptions'!$B$13)/($AF$6)-'2. The tape'!$H$5:$H$13/12-'3. Assumptions'!$B$16)-'2. The tape'!$C$5:$C$13*'2. The tape'!$I$5:$I$13*(1+$AF$5)^($A85/4))&gt;0)*('2. The tape'!$C$5:$C$13*'2. The tape'!$D$5:$D$13*(1-'2. The tape'!$J$5:$J$13)^($A85/4)*(1+$AF$5)^($A85/4)*((1-'3. Assumptions'!$B$13)/($AF$6)-'2. The tape'!$H$5:$H$13/12-'3. Assumptions'!$B$16)-'2. The tape'!$C$5:$C$13*'2. The tape'!$I$5:$I$13*(1+$AF$5)^($A85/4)))</f>
        <v>32227423.5866483</v>
      </c>
      <c r="AH85" s="33" t="n">
        <f aca="false">'2. The tape'!$C$17*(1+MIN(MAX($AH$5,'3. Assumptions'!$B$11),'3. Assumptions'!$B$10))^INT(($A85-1)/4)/4*(1-'3. Assumptions'!$B$13)</f>
        <v>4340203.32659558</v>
      </c>
      <c r="AI85" s="33" t="n">
        <f aca="false">(1-'3. Assumptions'!$B$15)*SUMPRODUCT((('2. The tape'!$C$5:$C$13*'2. The tape'!$D$5:$D$13*(1-'2. The tape'!$J$5:$J$13)^($A85/4)*(1+$AH$5)^($A85/4)*((1-'3. Assumptions'!$B$13)/($AH$6)-'2. The tape'!$H$5:$H$13/12-'3. Assumptions'!$B$16)-'2. The tape'!$C$5:$C$13*'2. The tape'!$I$5:$I$13*(1+$AH$5)^($A85/4))&gt;0)*('2. The tape'!$C$5:$C$13*'2. The tape'!$D$5:$D$13*(1-'2. The tape'!$J$5:$J$13)^($A85/4)*(1+$AH$5)^($A85/4)*((1-'3. Assumptions'!$B$13)/($AH$6)-'2. The tape'!$H$5:$H$13/12-'3. Assumptions'!$B$16)-'2. The tape'!$C$5:$C$13*'2. The tape'!$I$5:$I$13*(1+$AH$5)^($A85/4)))</f>
        <v>151781982.915383</v>
      </c>
      <c r="AJ85" s="33" t="n">
        <f aca="false">'2. The tape'!$C$17*(1+MIN(MAX($AJ$5,'3. Assumptions'!$B$11),'3. Assumptions'!$B$10))^INT(($A85-1)/4)/4*(1-'3. Assumptions'!$B$13)</f>
        <v>4340203.32659558</v>
      </c>
      <c r="AK85" s="33" t="n">
        <f aca="false">(1-'3. Assumptions'!$B$15)*SUMPRODUCT((('2. The tape'!$C$5:$C$13*'2. The tape'!$D$5:$D$13*(1-'2. The tape'!$J$5:$J$13)^($A85/4)*(1+$AJ$5)^($A85/4)*((1-'3. Assumptions'!$B$13)/($AJ$6)-'2. The tape'!$H$5:$H$13/12-'3. Assumptions'!$B$16)-'2. The tape'!$C$5:$C$13*'2. The tape'!$I$5:$I$13*(1+$AJ$5)^($A85/4))&gt;0)*('2. The tape'!$C$5:$C$13*'2. The tape'!$D$5:$D$13*(1-'2. The tape'!$J$5:$J$13)^($A85/4)*(1+$AJ$5)^($A85/4)*((1-'3. Assumptions'!$B$13)/($AJ$6)-'2. The tape'!$H$5:$H$13/12-'3. Assumptions'!$B$16)-'2. The tape'!$C$5:$C$13*'2. The tape'!$I$5:$I$13*(1+$AJ$5)^($A85/4)))</f>
        <v>108791062.083041</v>
      </c>
      <c r="AL85" s="33" t="n">
        <f aca="false">'2. The tape'!$C$17*(1+MIN(MAX($AL$5,'3. Assumptions'!$B$11),'3. Assumptions'!$B$10))^INT(($A85-1)/4)/4*(1-'3. Assumptions'!$B$13)</f>
        <v>4340203.32659558</v>
      </c>
      <c r="AM85" s="33" t="n">
        <f aca="false">(1-'3. Assumptions'!$B$15)*SUMPRODUCT((('2. The tape'!$C$5:$C$13*'2. The tape'!$D$5:$D$13*(1-'2. The tape'!$J$5:$J$13)^($A85/4)*(1+$AL$5)^($A85/4)*((1-'3. Assumptions'!$B$13)/($AL$6)-'2. The tape'!$H$5:$H$13/12-'3. Assumptions'!$B$16)-'2. The tape'!$C$5:$C$13*'2. The tape'!$I$5:$I$13*(1+$AL$5)^($A85/4))&gt;0)*('2. The tape'!$C$5:$C$13*'2. The tape'!$D$5:$D$13*(1-'2. The tape'!$J$5:$J$13)^($A85/4)*(1+$AL$5)^($A85/4)*((1-'3. Assumptions'!$B$13)/($AL$6)-'2. The tape'!$H$5:$H$13/12-'3. Assumptions'!$B$16)-'2. The tape'!$C$5:$C$13*'2. The tape'!$I$5:$I$13*(1+$AL$5)^($A85/4)))</f>
        <v>125464809.135216</v>
      </c>
      <c r="AN85" s="33" t="n">
        <f aca="false">'2. The tape'!$C$17*(1+MIN(MAX($AN$5,'3. Assumptions'!$B$11),'3. Assumptions'!$B$10))^INT(($A85-1)/4)/4*(1-'3. Assumptions'!$B$13)</f>
        <v>4340203.32659558</v>
      </c>
      <c r="AO85" s="33" t="n">
        <f aca="false">(1-'3. Assumptions'!$B$15)*SUMPRODUCT((('2. The tape'!$C$5:$C$13*'2. The tape'!$D$5:$D$13*(1-'2. The tape'!$J$5:$J$13)^($A85/4)*(1+$AN$5)^($A85/4)*((1-'3. Assumptions'!$B$13)/($AN$6)-'2. The tape'!$H$5:$H$13/12-'3. Assumptions'!$B$16)-'2. The tape'!$C$5:$C$13*'2. The tape'!$I$5:$I$13*(1+$AN$5)^($A85/4))&gt;0)*('2. The tape'!$C$5:$C$13*'2. The tape'!$D$5:$D$13*(1-'2. The tape'!$J$5:$J$13)^($A85/4)*(1+$AN$5)^($A85/4)*((1-'3. Assumptions'!$B$13)/($AN$6)-'2. The tape'!$H$5:$H$13/12-'3. Assumptions'!$B$16)-'2. The tape'!$C$5:$C$13*'2. The tape'!$I$5:$I$13*(1+$AN$5)^($A85/4)))</f>
        <v>128586646.620139</v>
      </c>
      <c r="AP85" s="33" t="n">
        <f aca="false">'2. The tape'!$C$17*(1+MIN(MAX($AP$5,'3. Assumptions'!$B$11),'3. Assumptions'!$B$10))^INT(($A85-1)/4)/4*(1-'3. Assumptions'!$B$13)</f>
        <v>4340203.32659558</v>
      </c>
      <c r="AQ85" s="33" t="n">
        <f aca="false">(1-'3. Assumptions'!$B$15)*SUMPRODUCT((('2. The tape'!$C$5:$C$13*'2. The tape'!$D$5:$D$13*(1-'2. The tape'!$J$5:$J$13)^($A85/4)*(1+$AP$5)^($A85/4)*((1-'3. Assumptions'!$B$13)/($AP$6)-'2. The tape'!$H$5:$H$13/12-'3. Assumptions'!$B$16)-'2. The tape'!$C$5:$C$13*'2. The tape'!$I$5:$I$13*(1+$AP$5)^($A85/4))&gt;0)*('2. The tape'!$C$5:$C$13*'2. The tape'!$D$5:$D$13*(1-'2. The tape'!$J$5:$J$13)^($A85/4)*(1+$AP$5)^($A85/4)*((1-'3. Assumptions'!$B$13)/($AP$6)-'2. The tape'!$H$5:$H$13/12-'3. Assumptions'!$B$16)-'2. The tape'!$C$5:$C$13*'2. The tape'!$I$5:$I$13*(1+$AP$5)^($A85/4)))</f>
        <v>128201262.188753</v>
      </c>
      <c r="AR85" s="33" t="n">
        <f aca="false">'2. The tape'!$C$17*(1+MIN(MAX($AR$5,'3. Assumptions'!$B$11),'3. Assumptions'!$B$10))^INT(($A85-1)/4)/4*(1-'3. Assumptions'!$B$13)</f>
        <v>4340203.32659558</v>
      </c>
      <c r="AS85" s="33" t="n">
        <f aca="false">(1-'3. Assumptions'!$B$15)*SUMPRODUCT((('2. The tape'!$C$5:$C$13*'2. The tape'!$D$5:$D$13*(1-'2. The tape'!$J$5:$J$13)^($A85/4)*(1+$AR$5)^($A85/4)*((1-'3. Assumptions'!$B$13)/($AR$6)-'2. The tape'!$H$5:$H$13/12-'3. Assumptions'!$B$16)-'2. The tape'!$C$5:$C$13*'2. The tape'!$I$5:$I$13*(1+$AR$5)^($A85/4))&gt;0)*('2. The tape'!$C$5:$C$13*'2. The tape'!$D$5:$D$13*(1-'2. The tape'!$J$5:$J$13)^($A85/4)*(1+$AR$5)^($A85/4)*((1-'3. Assumptions'!$B$13)/($AR$6)-'2. The tape'!$H$5:$H$13/12-'3. Assumptions'!$B$16)-'2. The tape'!$C$5:$C$13*'2. The tape'!$I$5:$I$13*(1+$AR$5)^($A85/4)))</f>
        <v>128207728.387507</v>
      </c>
      <c r="AT85" s="33" t="n">
        <f aca="false">'2. The tape'!$C$17*(1+MIN(MAX($AT$5,'3. Assumptions'!$B$11),'3. Assumptions'!$B$10))^INT(($A85-1)/4)/4*(1-'3. Assumptions'!$B$13)</f>
        <v>4340203.32659558</v>
      </c>
      <c r="AU85" s="33" t="n">
        <f aca="false">(1-'3. Assumptions'!$B$15)*SUMPRODUCT((('2. The tape'!$C$5:$C$13*'2. The tape'!$D$5:$D$13*(1-'2. The tape'!$J$5:$J$13)^($A85/4)*(1+$AT$5)^($A85/4)*((1-'3. Assumptions'!$B$13)/($AT$6)-'2. The tape'!$H$5:$H$13/12-'3. Assumptions'!$B$16)-'2. The tape'!$C$5:$C$13*'2. The tape'!$I$5:$I$13*(1+$AT$5)^($A85/4))&gt;0)*('2. The tape'!$C$5:$C$13*'2. The tape'!$D$5:$D$13*(1-'2. The tape'!$J$5:$J$13)^($A85/4)*(1+$AT$5)^($A85/4)*((1-'3. Assumptions'!$B$13)/($AT$6)-'2. The tape'!$H$5:$H$13/12-'3. Assumptions'!$B$16)-'2. The tape'!$C$5:$C$13*'2. The tape'!$I$5:$I$13*(1+$AT$5)^($A85/4)))</f>
        <v>128207743.445657</v>
      </c>
      <c r="AV85" s="33" t="n">
        <f aca="false">'2. The tape'!$C$17*(1+MIN(MAX($AV$5,'3. Assumptions'!$B$11),'3. Assumptions'!$B$10))^INT(($A85-1)/4)/4*(1-'3. Assumptions'!$B$13)</f>
        <v>4340203.32659558</v>
      </c>
      <c r="AW85" s="33" t="n">
        <f aca="false">(1-'3. Assumptions'!$B$15)*SUMPRODUCT((('2. The tape'!$C$5:$C$13*'2. The tape'!$D$5:$D$13*(1-'2. The tape'!$J$5:$J$13)^($A85/4)*(1+$AV$5)^($A85/4)*((1-'3. Assumptions'!$B$13)/($AV$6)-'2. The tape'!$H$5:$H$13/12-'3. Assumptions'!$B$16)-'2. The tape'!$C$5:$C$13*'2. The tape'!$I$5:$I$13*(1+$AV$5)^($A85/4))&gt;0)*('2. The tape'!$C$5:$C$13*'2. The tape'!$D$5:$D$13*(1-'2. The tape'!$J$5:$J$13)^($A85/4)*(1+$AV$5)^($A85/4)*((1-'3. Assumptions'!$B$13)/($AV$6)-'2. The tape'!$H$5:$H$13/12-'3. Assumptions'!$B$16)-'2. The tape'!$C$5:$C$13*'2. The tape'!$I$5:$I$13*(1+$AV$5)^($A85/4)))</f>
        <v>128207743.445057</v>
      </c>
      <c r="AX85" s="33" t="n">
        <f aca="false">'2. The tape'!$C$17*(1+MIN(MAX($AX$5,'3. Assumptions'!$B$11),'3. Assumptions'!$B$10))^INT(($A85-1)/4)/4*(1-'3. Assumptions'!$B$13)</f>
        <v>4340203.32659558</v>
      </c>
      <c r="AY85" s="33" t="n">
        <f aca="false">(1-'3. Assumptions'!$B$15)*SUMPRODUCT((('2. The tape'!$C$5:$C$13*'2. The tape'!$D$5:$D$13*(1-'2. The tape'!$J$5:$J$13)^($A85/4)*(1+$AX$5)^($A85/4)*((1-'3. Assumptions'!$B$13)/($AX$6)-'2. The tape'!$H$5:$H$13/12-'3. Assumptions'!$B$16)-'2. The tape'!$C$5:$C$13*'2. The tape'!$I$5:$I$13*(1+$AX$5)^($A85/4))&gt;0)*('2. The tape'!$C$5:$C$13*'2. The tape'!$D$5:$D$13*(1-'2. The tape'!$J$5:$J$13)^($A85/4)*(1+$AX$5)^($A85/4)*((1-'3. Assumptions'!$B$13)/($AX$6)-'2. The tape'!$H$5:$H$13/12-'3. Assumptions'!$B$16)-'2. The tape'!$C$5:$C$13*'2. The tape'!$I$5:$I$13*(1+$AX$5)^($A85/4)))</f>
        <v>128207743.445057</v>
      </c>
      <c r="AZ85" s="33" t="n">
        <f aca="false">'2. The tape'!$C$17*(1+MIN(MAX($AZ$5,'3. Assumptions'!$B$11),'3. Assumptions'!$B$10))^INT(($A85-1)/4)/4*(1-'3. Assumptions'!$B$13)</f>
        <v>4340203.32659558</v>
      </c>
      <c r="BA85" s="33" t="n">
        <f aca="false">(1-'3. Assumptions'!$B$15)*SUMPRODUCT((('2. The tape'!$C$5:$C$13*'2. The tape'!$D$5:$D$13*(1-'2. The tape'!$J$5:$J$13)^($A85/4)*(1+$AZ$5)^($A85/4)*((1-'3. Assumptions'!$B$13)/($AZ$6)-'2. The tape'!$H$5:$H$13/12-'3. Assumptions'!$B$16)-'2. The tape'!$C$5:$C$13*'2. The tape'!$I$5:$I$13*(1+$AZ$5)^($A85/4))&gt;0)*('2. The tape'!$C$5:$C$13*'2. The tape'!$D$5:$D$13*(1-'2. The tape'!$J$5:$J$13)^($A85/4)*(1+$AZ$5)^($A85/4)*((1-'3. Assumptions'!$B$13)/($AZ$6)-'2. The tape'!$H$5:$H$13/12-'3. Assumptions'!$B$16)-'2. The tape'!$C$5:$C$13*'2. The tape'!$I$5:$I$13*(1+$AZ$5)^($A85/4)))</f>
        <v>128207743.445057</v>
      </c>
    </row>
    <row r="86" customFormat="false" ht="15" hidden="false" customHeight="false" outlineLevel="0" collapsed="false">
      <c r="A86" s="20" t="n">
        <v>71</v>
      </c>
      <c r="B86" s="33" t="n">
        <f aca="false">'2. The tape'!$C$17*(1+MIN(MAX($B$5,'3. Assumptions'!$B$11),'3. Assumptions'!$B$10))^INT(($A86-1)/4)/4*(1-'3. Assumptions'!$B$13)</f>
        <v>4340203.32659558</v>
      </c>
      <c r="C86" s="33" t="n">
        <f aca="false">(1-'3. Assumptions'!$B$15)*SUMPRODUCT((('2. The tape'!$C$5:$C$13*'2. The tape'!$D$5:$D$13*(1-'2. The tape'!$J$5:$J$13)^($A86/4)*(1+$B$5)^($A86/4)*((1-'3. Assumptions'!$B$13)/($B$6)-'2. The tape'!$H$5:$H$13/12-'3. Assumptions'!$B$16)-'2. The tape'!$C$5:$C$13*'2. The tape'!$I$5:$I$13*(1+$B$5)^($A86/4))&gt;0)*('2. The tape'!$C$5:$C$13*'2. The tape'!$D$5:$D$13*(1-'2. The tape'!$J$5:$J$13)^($A86/4)*(1+$B$5)^($A86/4)*((1-'3. Assumptions'!$B$13)/($B$6)-'2. The tape'!$H$5:$H$13/12-'3. Assumptions'!$B$16)-'2. The tape'!$C$5:$C$13*'2. The tape'!$I$5:$I$13*(1+$B$5)^($A86/4)))</f>
        <v>74964444.7896638</v>
      </c>
      <c r="D86" s="33" t="n">
        <f aca="false">'2. The tape'!$C$17*(1+MIN(MAX($D$5,'3. Assumptions'!$B$11),'3. Assumptions'!$B$10))^INT(($A86-1)/4)/4*(1-'3. Assumptions'!$B$13)</f>
        <v>4955388.02389716</v>
      </c>
      <c r="E86" s="33" t="n">
        <f aca="false">(1-'3. Assumptions'!$B$15)*SUMPRODUCT((('2. The tape'!$C$5:$C$13*'2. The tape'!$D$5:$D$13*(1-'2. The tape'!$J$5:$J$13)^($A86/4)*(1+$D$5)^($A86/4)*((1-'3. Assumptions'!$B$13)/($D$6)-'2. The tape'!$H$5:$H$13/12-'3. Assumptions'!$B$16)-'2. The tape'!$C$5:$C$13*'2. The tape'!$I$5:$I$13*(1+$D$5)^($A86/4))&gt;0)*('2. The tape'!$C$5:$C$13*'2. The tape'!$D$5:$D$13*(1-'2. The tape'!$J$5:$J$13)^($A86/4)*(1+$D$5)^($A86/4)*((1-'3. Assumptions'!$B$13)/($D$6)-'2. The tape'!$H$5:$H$13/12-'3. Assumptions'!$B$16)-'2. The tape'!$C$5:$C$13*'2. The tape'!$I$5:$I$13*(1+$D$5)^($A86/4)))</f>
        <v>93819504.9947131</v>
      </c>
      <c r="F86" s="33" t="n">
        <f aca="false">'2. The tape'!$C$17*(1+MIN(MAX($F$5,'3. Assumptions'!$B$11),'3. Assumptions'!$B$10))^INT(($A86-1)/4)/4*(1-'3. Assumptions'!$B$13)</f>
        <v>3550652.75303542</v>
      </c>
      <c r="G86" s="33" t="n">
        <f aca="false">(1-'3. Assumptions'!$B$15)*SUMPRODUCT((('2. The tape'!$C$5:$C$13*'2. The tape'!$D$5:$D$13*(1-'2. The tape'!$J$5:$J$13)^($A86/4)*(1+$F$5)^($A86/4)*((1-'3. Assumptions'!$B$13)/($F$6)-'2. The tape'!$H$5:$H$13/12-'3. Assumptions'!$B$16)-'2. The tape'!$C$5:$C$13*'2. The tape'!$I$5:$I$13*(1+$F$5)^($A86/4))&gt;0)*('2. The tape'!$C$5:$C$13*'2. The tape'!$D$5:$D$13*(1-'2. The tape'!$J$5:$J$13)^($A86/4)*(1+$F$5)^($A86/4)*((1-'3. Assumptions'!$B$13)/($F$6)-'2. The tape'!$H$5:$H$13/12-'3. Assumptions'!$B$16)-'2. The tape'!$C$5:$C$13*'2. The tape'!$I$5:$I$13*(1+$F$5)^($A86/4)))</f>
        <v>60786384.5262181</v>
      </c>
      <c r="H86" s="33" t="n">
        <f aca="false">'2. The tape'!$C$17*(1+MIN(MAX($H$5,'3. Assumptions'!$B$11),'3. Assumptions'!$B$10))^INT(($A86-1)/4)/4*(1-'3. Assumptions'!$B$13)</f>
        <v>4955388.02389716</v>
      </c>
      <c r="I86" s="33" t="n">
        <f aca="false">(1-'3. Assumptions'!$B$15)*SUMPRODUCT((('2. The tape'!$C$5:$C$13*'2. The tape'!$D$5:$D$13*(1-'2. The tape'!$J$5:$J$13)^($A86/4)*(1+$H$5)^($A86/4)*((1-'3. Assumptions'!$B$13)/($H$6)-'2. The tape'!$H$5:$H$13/12-'3. Assumptions'!$B$16)-'2. The tape'!$C$5:$C$13*'2. The tape'!$I$5:$I$13*(1+$H$5)^($A86/4))&gt;0)*('2. The tape'!$C$5:$C$13*'2. The tape'!$D$5:$D$13*(1-'2. The tape'!$J$5:$J$13)^($A86/4)*(1+$H$5)^($A86/4)*((1-'3. Assumptions'!$B$13)/($H$6)-'2. The tape'!$H$5:$H$13/12-'3. Assumptions'!$B$16)-'2. The tape'!$C$5:$C$13*'2. The tape'!$I$5:$I$13*(1+$H$5)^($A86/4)))</f>
        <v>93819504.9947131</v>
      </c>
      <c r="J86" s="33" t="n">
        <f aca="false">'2. The tape'!$C$17*(1+MIN(MAX($J$5,'3. Assumptions'!$B$11),'3. Assumptions'!$B$10))^INT(($A86-1)/4)/4*(1-'3. Assumptions'!$B$13)</f>
        <v>4340203.32659558</v>
      </c>
      <c r="K86" s="33" t="n">
        <f aca="false">(1-'3. Assumptions'!$B$15)*SUMPRODUCT((('2. The tape'!$C$5:$C$13*'2. The tape'!$D$5:$D$13*(1-'2. The tape'!$J$5:$J$13)^($A86/4)*(1+$J$5)^($A86/4)*((1-'3. Assumptions'!$B$13)/($J$6)-'2. The tape'!$H$5:$H$13/12-'3. Assumptions'!$B$16)-'2. The tape'!$C$5:$C$13*'2. The tape'!$I$5:$I$13*(1+$J$5)^($A86/4))&gt;0)*('2. The tape'!$C$5:$C$13*'2. The tape'!$D$5:$D$13*(1-'2. The tape'!$J$5:$J$13)^($A86/4)*(1+$J$5)^($A86/4)*((1-'3. Assumptions'!$B$13)/($J$6)-'2. The tape'!$H$5:$H$13/12-'3. Assumptions'!$B$16)-'2. The tape'!$C$5:$C$13*'2. The tape'!$I$5:$I$13*(1+$J$5)^($A86/4)))</f>
        <v>60914838.3108626</v>
      </c>
      <c r="L86" s="33" t="n">
        <f aca="false">'2. The tape'!$C$17*(1+MIN(MAX($L$5,'3. Assumptions'!$B$11),'3. Assumptions'!$B$10))^INT(($A86-1)/4)/4*(1-'3. Assumptions'!$B$13)</f>
        <v>4955388.02389716</v>
      </c>
      <c r="M86" s="33" t="n">
        <f aca="false">(1-'3. Assumptions'!$B$15)*SUMPRODUCT((('2. The tape'!$C$5:$C$13*'2. The tape'!$D$5:$D$13*(1-'2. The tape'!$J$5:$J$13)^($A86/4)*(1+$L$5)^($A86/4)*((1-'3. Assumptions'!$B$13)/($L$6)-'2. The tape'!$H$5:$H$13/12-'3. Assumptions'!$B$16)-'2. The tape'!$C$5:$C$13*'2. The tape'!$I$5:$I$13*(1+$L$5)^($A86/4))&gt;0)*('2. The tape'!$C$5:$C$13*'2. The tape'!$D$5:$D$13*(1-'2. The tape'!$J$5:$J$13)^($A86/4)*(1+$L$5)^($A86/4)*((1-'3. Assumptions'!$B$13)/($L$6)-'2. The tape'!$H$5:$H$13/12-'3. Assumptions'!$B$16)-'2. The tape'!$C$5:$C$13*'2. The tape'!$I$5:$I$13*(1+$L$5)^($A86/4)))</f>
        <v>5365329913.48954</v>
      </c>
      <c r="N86" s="33" t="n">
        <f aca="false">'2. The tape'!$C$17*(1+MIN(MAX($N$5,'3. Assumptions'!$B$11),'3. Assumptions'!$B$10))^INT(($A86-1)/4)/4*(1-'3. Assumptions'!$B$13)</f>
        <v>2998091.25</v>
      </c>
      <c r="O86" s="33" t="n">
        <f aca="false">(1-'3. Assumptions'!$B$15)*SUMPRODUCT((('2. The tape'!$C$5:$C$13*'2. The tape'!$D$5:$D$13*(1-'2. The tape'!$J$5:$J$13)^($A86/4)*(1+$N$5)^($A86/4)*((1-'3. Assumptions'!$B$13)/($N$6)-'2. The tape'!$H$5:$H$13/12-'3. Assumptions'!$B$16)-'2. The tape'!$C$5:$C$13*'2. The tape'!$I$5:$I$13*(1+$N$5)^($A86/4))&gt;0)*('2. The tape'!$C$5:$C$13*'2. The tape'!$D$5:$D$13*(1-'2. The tape'!$J$5:$J$13)^($A86/4)*(1+$N$5)^($A86/4)*((1-'3. Assumptions'!$B$13)/($N$6)-'2. The tape'!$H$5:$H$13/12-'3. Assumptions'!$B$16)-'2. The tape'!$C$5:$C$13*'2. The tape'!$I$5:$I$13*(1+$N$5)^($A86/4)))</f>
        <v>29668815.7568752</v>
      </c>
      <c r="P86" s="33" t="n">
        <f aca="false">'2. The tape'!$C$17*(1+MIN(MAX($P$5,'3. Assumptions'!$B$11),'3. Assumptions'!$B$10))^INT(($A86-1)/4)/4*(1-'3. Assumptions'!$B$13)</f>
        <v>2998091.25</v>
      </c>
      <c r="Q86" s="33" t="n">
        <f aca="false">(1-'3. Assumptions'!$B$15)*SUMPRODUCT((('2. The tape'!$C$5:$C$13*'2. The tape'!$D$5:$D$13*(1-'2. The tape'!$J$5:$J$13)^($A86/4)*(1+$P$5)^($A86/4)*((1-'3. Assumptions'!$B$13)/($P$6)-'2. The tape'!$H$5:$H$13/12-'3. Assumptions'!$B$16)-'2. The tape'!$C$5:$C$13*'2. The tape'!$I$5:$I$13*(1+$P$5)^($A86/4))&gt;0)*('2. The tape'!$C$5:$C$13*'2. The tape'!$D$5:$D$13*(1-'2. The tape'!$J$5:$J$13)^($A86/4)*(1+$P$5)^($A86/4)*((1-'3. Assumptions'!$B$13)/($P$6)-'2. The tape'!$H$5:$H$13/12-'3. Assumptions'!$B$16)-'2. The tape'!$C$5:$C$13*'2. The tape'!$I$5:$I$13*(1+$P$5)^($A86/4)))</f>
        <v>35593014.5340642</v>
      </c>
      <c r="R86" s="33" t="n">
        <f aca="false">'2. The tape'!$C$17*(1+MIN(MAX($R$5,'3. Assumptions'!$B$11),'3. Assumptions'!$B$10))^INT(($A86-1)/4)/4*(1-'3. Assumptions'!$B$13)</f>
        <v>2998091.25</v>
      </c>
      <c r="S86" s="33" t="n">
        <f aca="false">(1-'3. Assumptions'!$B$15)*SUMPRODUCT((('2. The tape'!$C$5:$C$13*'2. The tape'!$D$5:$D$13*(1-'2. The tape'!$J$5:$J$13)^($A86/4)*(1+$R$5)^($A86/4)*((1-'3. Assumptions'!$B$13)/($R$6)-'2. The tape'!$H$5:$H$13/12-'3. Assumptions'!$B$16)-'2. The tape'!$C$5:$C$13*'2. The tape'!$I$5:$I$13*(1+$R$5)^($A86/4))&gt;0)*('2. The tape'!$C$5:$C$13*'2. The tape'!$D$5:$D$13*(1-'2. The tape'!$J$5:$J$13)^($A86/4)*(1+$R$5)^($A86/4)*((1-'3. Assumptions'!$B$13)/($R$6)-'2. The tape'!$H$5:$H$13/12-'3. Assumptions'!$B$16)-'2. The tape'!$C$5:$C$13*'2. The tape'!$I$5:$I$13*(1+$R$5)^($A86/4)))</f>
        <v>31885992.2800464</v>
      </c>
      <c r="T86" s="33" t="n">
        <f aca="false">'2. The tape'!$C$17*(1+MIN(MAX($T$5,'3. Assumptions'!$B$11),'3. Assumptions'!$B$10))^INT(($A86-1)/4)/4*(1-'3. Assumptions'!$B$13)</f>
        <v>2998091.25</v>
      </c>
      <c r="U86" s="33" t="n">
        <f aca="false">(1-'3. Assumptions'!$B$15)*SUMPRODUCT((('2. The tape'!$C$5:$C$13*'2. The tape'!$D$5:$D$13*(1-'2. The tape'!$J$5:$J$13)^($A86/4)*(1+$T$5)^($A86/4)*((1-'3. Assumptions'!$B$13)/($T$6)-'2. The tape'!$H$5:$H$13/12-'3. Assumptions'!$B$16)-'2. The tape'!$C$5:$C$13*'2. The tape'!$I$5:$I$13*(1+$T$5)^($A86/4))&gt;0)*('2. The tape'!$C$5:$C$13*'2. The tape'!$D$5:$D$13*(1-'2. The tape'!$J$5:$J$13)^($A86/4)*(1+$T$5)^($A86/4)*((1-'3. Assumptions'!$B$13)/($T$6)-'2. The tape'!$H$5:$H$13/12-'3. Assumptions'!$B$16)-'2. The tape'!$C$5:$C$13*'2. The tape'!$I$5:$I$13*(1+$T$5)^($A86/4)))</f>
        <v>31790710.3313487</v>
      </c>
      <c r="V86" s="33" t="n">
        <f aca="false">'2. The tape'!$C$17*(1+MIN(MAX($V$5,'3. Assumptions'!$B$11),'3. Assumptions'!$B$10))^INT(($A86-1)/4)/4*(1-'3. Assumptions'!$B$13)</f>
        <v>2998091.25</v>
      </c>
      <c r="W86" s="33" t="n">
        <f aca="false">(1-'3. Assumptions'!$B$15)*SUMPRODUCT((('2. The tape'!$C$5:$C$13*'2. The tape'!$D$5:$D$13*(1-'2. The tape'!$J$5:$J$13)^($A86/4)*(1+$V$5)^($A86/4)*((1-'3. Assumptions'!$B$13)/($V$6)-'2. The tape'!$H$5:$H$13/12-'3. Assumptions'!$B$16)-'2. The tape'!$C$5:$C$13*'2. The tape'!$I$5:$I$13*(1+$V$5)^($A86/4))&gt;0)*('2. The tape'!$C$5:$C$13*'2. The tape'!$D$5:$D$13*(1-'2. The tape'!$J$5:$J$13)^($A86/4)*(1+$V$5)^($A86/4)*((1-'3. Assumptions'!$B$13)/($V$6)-'2. The tape'!$H$5:$H$13/12-'3. Assumptions'!$B$16)-'2. The tape'!$C$5:$C$13*'2. The tape'!$I$5:$I$13*(1+$V$5)^($A86/4)))</f>
        <v>31794533.4820585</v>
      </c>
      <c r="X86" s="33" t="n">
        <f aca="false">'2. The tape'!$C$17*(1+MIN(MAX($X$5,'3. Assumptions'!$B$11),'3. Assumptions'!$B$10))^INT(($A86-1)/4)/4*(1-'3. Assumptions'!$B$13)</f>
        <v>2998091.25</v>
      </c>
      <c r="Y86" s="33" t="n">
        <f aca="false">(1-'3. Assumptions'!$B$15)*SUMPRODUCT((('2. The tape'!$C$5:$C$13*'2. The tape'!$D$5:$D$13*(1-'2. The tape'!$J$5:$J$13)^($A86/4)*(1+$X$5)^($A86/4)*((1-'3. Assumptions'!$B$13)/($X$6)-'2. The tape'!$H$5:$H$13/12-'3. Assumptions'!$B$16)-'2. The tape'!$C$5:$C$13*'2. The tape'!$I$5:$I$13*(1+$X$5)^($A86/4))&gt;0)*('2. The tape'!$C$5:$C$13*'2. The tape'!$D$5:$D$13*(1-'2. The tape'!$J$5:$J$13)^($A86/4)*(1+$X$5)^($A86/4)*((1-'3. Assumptions'!$B$13)/($X$6)-'2. The tape'!$H$5:$H$13/12-'3. Assumptions'!$B$16)-'2. The tape'!$C$5:$C$13*'2. The tape'!$I$5:$I$13*(1+$X$5)^($A86/4)))</f>
        <v>31794529.4615498</v>
      </c>
      <c r="Z86" s="33" t="n">
        <f aca="false">'2. The tape'!$C$17*(1+MIN(MAX($Z$5,'3. Assumptions'!$B$11),'3. Assumptions'!$B$10))^INT(($A86-1)/4)/4*(1-'3. Assumptions'!$B$13)</f>
        <v>2998091.25</v>
      </c>
      <c r="AA86" s="33" t="n">
        <f aca="false">(1-'3. Assumptions'!$B$15)*SUMPRODUCT((('2. The tape'!$C$5:$C$13*'2. The tape'!$D$5:$D$13*(1-'2. The tape'!$J$5:$J$13)^($A86/4)*(1+$Z$5)^($A86/4)*((1-'3. Assumptions'!$B$13)/($Z$6)-'2. The tape'!$H$5:$H$13/12-'3. Assumptions'!$B$16)-'2. The tape'!$C$5:$C$13*'2. The tape'!$I$5:$I$13*(1+$Z$5)^($A86/4))&gt;0)*('2. The tape'!$C$5:$C$13*'2. The tape'!$D$5:$D$13*(1-'2. The tape'!$J$5:$J$13)^($A86/4)*(1+$Z$5)^($A86/4)*((1-'3. Assumptions'!$B$13)/($Z$6)-'2. The tape'!$H$5:$H$13/12-'3. Assumptions'!$B$16)-'2. The tape'!$C$5:$C$13*'2. The tape'!$I$5:$I$13*(1+$Z$5)^($A86/4)))</f>
        <v>31794529.4613729</v>
      </c>
      <c r="AB86" s="33" t="n">
        <f aca="false">'2. The tape'!$C$17*(1+MIN(MAX($AB$5,'3. Assumptions'!$B$11),'3. Assumptions'!$B$10))^INT(($A86-1)/4)/4*(1-'3. Assumptions'!$B$13)</f>
        <v>2998091.25</v>
      </c>
      <c r="AC86" s="33" t="n">
        <f aca="false">(1-'3. Assumptions'!$B$15)*SUMPRODUCT((('2. The tape'!$C$5:$C$13*'2. The tape'!$D$5:$D$13*(1-'2. The tape'!$J$5:$J$13)^($A86/4)*(1+$AB$5)^($A86/4)*((1-'3. Assumptions'!$B$13)/($AB$6)-'2. The tape'!$H$5:$H$13/12-'3. Assumptions'!$B$16)-'2. The tape'!$C$5:$C$13*'2. The tape'!$I$5:$I$13*(1+$AB$5)^($A86/4))&gt;0)*('2. The tape'!$C$5:$C$13*'2. The tape'!$D$5:$D$13*(1-'2. The tape'!$J$5:$J$13)^($A86/4)*(1+$AB$5)^($A86/4)*((1-'3. Assumptions'!$B$13)/($AB$6)-'2. The tape'!$H$5:$H$13/12-'3. Assumptions'!$B$16)-'2. The tape'!$C$5:$C$13*'2. The tape'!$I$5:$I$13*(1+$AB$5)^($A86/4)))</f>
        <v>31794529.4613729</v>
      </c>
      <c r="AD86" s="33" t="n">
        <f aca="false">'2. The tape'!$C$17*(1+MIN(MAX($AD$5,'3. Assumptions'!$B$11),'3. Assumptions'!$B$10))^INT(($A86-1)/4)/4*(1-'3. Assumptions'!$B$13)</f>
        <v>2998091.25</v>
      </c>
      <c r="AE86" s="33" t="n">
        <f aca="false">(1-'3. Assumptions'!$B$15)*SUMPRODUCT((('2. The tape'!$C$5:$C$13*'2. The tape'!$D$5:$D$13*(1-'2. The tape'!$J$5:$J$13)^($A86/4)*(1+$AD$5)^($A86/4)*((1-'3. Assumptions'!$B$13)/($AD$6)-'2. The tape'!$H$5:$H$13/12-'3. Assumptions'!$B$16)-'2. The tape'!$C$5:$C$13*'2. The tape'!$I$5:$I$13*(1+$AD$5)^($A86/4))&gt;0)*('2. The tape'!$C$5:$C$13*'2. The tape'!$D$5:$D$13*(1-'2. The tape'!$J$5:$J$13)^($A86/4)*(1+$AD$5)^($A86/4)*((1-'3. Assumptions'!$B$13)/($AD$6)-'2. The tape'!$H$5:$H$13/12-'3. Assumptions'!$B$16)-'2. The tape'!$C$5:$C$13*'2. The tape'!$I$5:$I$13*(1+$AD$5)^($A86/4)))</f>
        <v>31794529.4613729</v>
      </c>
      <c r="AF86" s="33" t="n">
        <f aca="false">'2. The tape'!$C$17*(1+MIN(MAX($AF$5,'3. Assumptions'!$B$11),'3. Assumptions'!$B$10))^INT(($A86-1)/4)/4*(1-'3. Assumptions'!$B$13)</f>
        <v>2998091.25</v>
      </c>
      <c r="AG86" s="33" t="n">
        <f aca="false">(1-'3. Assumptions'!$B$15)*SUMPRODUCT((('2. The tape'!$C$5:$C$13*'2. The tape'!$D$5:$D$13*(1-'2. The tape'!$J$5:$J$13)^($A86/4)*(1+$AF$5)^($A86/4)*((1-'3. Assumptions'!$B$13)/($AF$6)-'2. The tape'!$H$5:$H$13/12-'3. Assumptions'!$B$16)-'2. The tape'!$C$5:$C$13*'2. The tape'!$I$5:$I$13*(1+$AF$5)^($A86/4))&gt;0)*('2. The tape'!$C$5:$C$13*'2. The tape'!$D$5:$D$13*(1-'2. The tape'!$J$5:$J$13)^($A86/4)*(1+$AF$5)^($A86/4)*((1-'3. Assumptions'!$B$13)/($AF$6)-'2. The tape'!$H$5:$H$13/12-'3. Assumptions'!$B$16)-'2. The tape'!$C$5:$C$13*'2. The tape'!$I$5:$I$13*(1+$AF$5)^($A86/4)))</f>
        <v>31794529.4613729</v>
      </c>
      <c r="AH86" s="33" t="n">
        <f aca="false">'2. The tape'!$C$17*(1+MIN(MAX($AH$5,'3. Assumptions'!$B$11),'3. Assumptions'!$B$10))^INT(($A86-1)/4)/4*(1-'3. Assumptions'!$B$13)</f>
        <v>4340203.32659558</v>
      </c>
      <c r="AI86" s="33" t="n">
        <f aca="false">(1-'3. Assumptions'!$B$15)*SUMPRODUCT((('2. The tape'!$C$5:$C$13*'2. The tape'!$D$5:$D$13*(1-'2. The tape'!$J$5:$J$13)^($A86/4)*(1+$AH$5)^($A86/4)*((1-'3. Assumptions'!$B$13)/($AH$6)-'2. The tape'!$H$5:$H$13/12-'3. Assumptions'!$B$16)-'2. The tape'!$C$5:$C$13*'2. The tape'!$I$5:$I$13*(1+$AH$5)^($A86/4))&gt;0)*('2. The tape'!$C$5:$C$13*'2. The tape'!$D$5:$D$13*(1-'2. The tape'!$J$5:$J$13)^($A86/4)*(1+$AH$5)^($A86/4)*((1-'3. Assumptions'!$B$13)/($AH$6)-'2. The tape'!$H$5:$H$13/12-'3. Assumptions'!$B$16)-'2. The tape'!$C$5:$C$13*'2. The tape'!$I$5:$I$13*(1+$AH$5)^($A86/4)))</f>
        <v>151675296.163918</v>
      </c>
      <c r="AJ86" s="33" t="n">
        <f aca="false">'2. The tape'!$C$17*(1+MIN(MAX($AJ$5,'3. Assumptions'!$B$11),'3. Assumptions'!$B$10))^INT(($A86-1)/4)/4*(1-'3. Assumptions'!$B$13)</f>
        <v>4340203.32659558</v>
      </c>
      <c r="AK86" s="33" t="n">
        <f aca="false">(1-'3. Assumptions'!$B$15)*SUMPRODUCT((('2. The tape'!$C$5:$C$13*'2. The tape'!$D$5:$D$13*(1-'2. The tape'!$J$5:$J$13)^($A86/4)*(1+$AJ$5)^($A86/4)*((1-'3. Assumptions'!$B$13)/($AJ$6)-'2. The tape'!$H$5:$H$13/12-'3. Assumptions'!$B$16)-'2. The tape'!$C$5:$C$13*'2. The tape'!$I$5:$I$13*(1+$AJ$5)^($A86/4))&gt;0)*('2. The tape'!$C$5:$C$13*'2. The tape'!$D$5:$D$13*(1-'2. The tape'!$J$5:$J$13)^($A86/4)*(1+$AJ$5)^($A86/4)*((1-'3. Assumptions'!$B$13)/($AJ$6)-'2. The tape'!$H$5:$H$13/12-'3. Assumptions'!$B$16)-'2. The tape'!$C$5:$C$13*'2. The tape'!$I$5:$I$13*(1+$AJ$5)^($A86/4)))</f>
        <v>108683500.338787</v>
      </c>
      <c r="AL86" s="33" t="n">
        <f aca="false">'2. The tape'!$C$17*(1+MIN(MAX($AL$5,'3. Assumptions'!$B$11),'3. Assumptions'!$B$10))^INT(($A86-1)/4)/4*(1-'3. Assumptions'!$B$13)</f>
        <v>4340203.32659558</v>
      </c>
      <c r="AM86" s="33" t="n">
        <f aca="false">(1-'3. Assumptions'!$B$15)*SUMPRODUCT((('2. The tape'!$C$5:$C$13*'2. The tape'!$D$5:$D$13*(1-'2. The tape'!$J$5:$J$13)^($A86/4)*(1+$AL$5)^($A86/4)*((1-'3. Assumptions'!$B$13)/($AL$6)-'2. The tape'!$H$5:$H$13/12-'3. Assumptions'!$B$16)-'2. The tape'!$C$5:$C$13*'2. The tape'!$I$5:$I$13*(1+$AL$5)^($A86/4))&gt;0)*('2. The tape'!$C$5:$C$13*'2. The tape'!$D$5:$D$13*(1-'2. The tape'!$J$5:$J$13)^($A86/4)*(1+$AL$5)^($A86/4)*((1-'3. Assumptions'!$B$13)/($AL$6)-'2. The tape'!$H$5:$H$13/12-'3. Assumptions'!$B$16)-'2. The tape'!$C$5:$C$13*'2. The tape'!$I$5:$I$13*(1+$AL$5)^($A86/4)))</f>
        <v>125357586.751184</v>
      </c>
      <c r="AN86" s="33" t="n">
        <f aca="false">'2. The tape'!$C$17*(1+MIN(MAX($AN$5,'3. Assumptions'!$B$11),'3. Assumptions'!$B$10))^INT(($A86-1)/4)/4*(1-'3. Assumptions'!$B$13)</f>
        <v>4340203.32659558</v>
      </c>
      <c r="AO86" s="33" t="n">
        <f aca="false">(1-'3. Assumptions'!$B$15)*SUMPRODUCT((('2. The tape'!$C$5:$C$13*'2. The tape'!$D$5:$D$13*(1-'2. The tape'!$J$5:$J$13)^($A86/4)*(1+$AN$5)^($A86/4)*((1-'3. Assumptions'!$B$13)/($AN$6)-'2. The tape'!$H$5:$H$13/12-'3. Assumptions'!$B$16)-'2. The tape'!$C$5:$C$13*'2. The tape'!$I$5:$I$13*(1+$AN$5)^($A86/4))&gt;0)*('2. The tape'!$C$5:$C$13*'2. The tape'!$D$5:$D$13*(1-'2. The tape'!$J$5:$J$13)^($A86/4)*(1+$AN$5)^($A86/4)*((1-'3. Assumptions'!$B$13)/($AN$6)-'2. The tape'!$H$5:$H$13/12-'3. Assumptions'!$B$16)-'2. The tape'!$C$5:$C$13*'2. The tape'!$I$5:$I$13*(1+$AN$5)^($A86/4)))</f>
        <v>128479487.774762</v>
      </c>
      <c r="AP86" s="33" t="n">
        <f aca="false">'2. The tape'!$C$17*(1+MIN(MAX($AP$5,'3. Assumptions'!$B$11),'3. Assumptions'!$B$10))^INT(($A86-1)/4)/4*(1-'3. Assumptions'!$B$13)</f>
        <v>4340203.32659558</v>
      </c>
      <c r="AQ86" s="33" t="n">
        <f aca="false">(1-'3. Assumptions'!$B$15)*SUMPRODUCT((('2. The tape'!$C$5:$C$13*'2. The tape'!$D$5:$D$13*(1-'2. The tape'!$J$5:$J$13)^($A86/4)*(1+$AP$5)^($A86/4)*((1-'3. Assumptions'!$B$13)/($AP$6)-'2. The tape'!$H$5:$H$13/12-'3. Assumptions'!$B$16)-'2. The tape'!$C$5:$C$13*'2. The tape'!$I$5:$I$13*(1+$AP$5)^($A86/4))&gt;0)*('2. The tape'!$C$5:$C$13*'2. The tape'!$D$5:$D$13*(1-'2. The tape'!$J$5:$J$13)^($A86/4)*(1+$AP$5)^($A86/4)*((1-'3. Assumptions'!$B$13)/($AP$6)-'2. The tape'!$H$5:$H$13/12-'3. Assumptions'!$B$16)-'2. The tape'!$C$5:$C$13*'2. The tape'!$I$5:$I$13*(1+$AP$5)^($A86/4)))</f>
        <v>128094095.499659</v>
      </c>
      <c r="AR86" s="33" t="n">
        <f aca="false">'2. The tape'!$C$17*(1+MIN(MAX($AR$5,'3. Assumptions'!$B$11),'3. Assumptions'!$B$10))^INT(($A86-1)/4)/4*(1-'3. Assumptions'!$B$13)</f>
        <v>4340203.32659558</v>
      </c>
      <c r="AS86" s="33" t="n">
        <f aca="false">(1-'3. Assumptions'!$B$15)*SUMPRODUCT((('2. The tape'!$C$5:$C$13*'2. The tape'!$D$5:$D$13*(1-'2. The tape'!$J$5:$J$13)^($A86/4)*(1+$AR$5)^($A86/4)*((1-'3. Assumptions'!$B$13)/($AR$6)-'2. The tape'!$H$5:$H$13/12-'3. Assumptions'!$B$16)-'2. The tape'!$C$5:$C$13*'2. The tape'!$I$5:$I$13*(1+$AR$5)^($A86/4))&gt;0)*('2. The tape'!$C$5:$C$13*'2. The tape'!$D$5:$D$13*(1-'2. The tape'!$J$5:$J$13)^($A86/4)*(1+$AR$5)^($A86/4)*((1-'3. Assumptions'!$B$13)/($AR$6)-'2. The tape'!$H$5:$H$13/12-'3. Assumptions'!$B$16)-'2. The tape'!$C$5:$C$13*'2. The tape'!$I$5:$I$13*(1+$AR$5)^($A86/4)))</f>
        <v>128100561.83002</v>
      </c>
      <c r="AT86" s="33" t="n">
        <f aca="false">'2. The tape'!$C$17*(1+MIN(MAX($AT$5,'3. Assumptions'!$B$11),'3. Assumptions'!$B$10))^INT(($A86-1)/4)/4*(1-'3. Assumptions'!$B$13)</f>
        <v>4340203.32659558</v>
      </c>
      <c r="AU86" s="33" t="n">
        <f aca="false">(1-'3. Assumptions'!$B$15)*SUMPRODUCT((('2. The tape'!$C$5:$C$13*'2. The tape'!$D$5:$D$13*(1-'2. The tape'!$J$5:$J$13)^($A86/4)*(1+$AT$5)^($A86/4)*((1-'3. Assumptions'!$B$13)/($AT$6)-'2. The tape'!$H$5:$H$13/12-'3. Assumptions'!$B$16)-'2. The tape'!$C$5:$C$13*'2. The tape'!$I$5:$I$13*(1+$AT$5)^($A86/4))&gt;0)*('2. The tape'!$C$5:$C$13*'2. The tape'!$D$5:$D$13*(1-'2. The tape'!$J$5:$J$13)^($A86/4)*(1+$AT$5)^($A86/4)*((1-'3. Assumptions'!$B$13)/($AT$6)-'2. The tape'!$H$5:$H$13/12-'3. Assumptions'!$B$16)-'2. The tape'!$C$5:$C$13*'2. The tape'!$I$5:$I$13*(1+$AT$5)^($A86/4)))</f>
        <v>128100576.888476</v>
      </c>
      <c r="AV86" s="33" t="n">
        <f aca="false">'2. The tape'!$C$17*(1+MIN(MAX($AV$5,'3. Assumptions'!$B$11),'3. Assumptions'!$B$10))^INT(($A86-1)/4)/4*(1-'3. Assumptions'!$B$13)</f>
        <v>4340203.32659558</v>
      </c>
      <c r="AW86" s="33" t="n">
        <f aca="false">(1-'3. Assumptions'!$B$15)*SUMPRODUCT((('2. The tape'!$C$5:$C$13*'2. The tape'!$D$5:$D$13*(1-'2. The tape'!$J$5:$J$13)^($A86/4)*(1+$AV$5)^($A86/4)*((1-'3. Assumptions'!$B$13)/($AV$6)-'2. The tape'!$H$5:$H$13/12-'3. Assumptions'!$B$16)-'2. The tape'!$C$5:$C$13*'2. The tape'!$I$5:$I$13*(1+$AV$5)^($A86/4))&gt;0)*('2. The tape'!$C$5:$C$13*'2. The tape'!$D$5:$D$13*(1-'2. The tape'!$J$5:$J$13)^($A86/4)*(1+$AV$5)^($A86/4)*((1-'3. Assumptions'!$B$13)/($AV$6)-'2. The tape'!$H$5:$H$13/12-'3. Assumptions'!$B$16)-'2. The tape'!$C$5:$C$13*'2. The tape'!$I$5:$I$13*(1+$AV$5)^($A86/4)))</f>
        <v>128100576.887877</v>
      </c>
      <c r="AX86" s="33" t="n">
        <f aca="false">'2. The tape'!$C$17*(1+MIN(MAX($AX$5,'3. Assumptions'!$B$11),'3. Assumptions'!$B$10))^INT(($A86-1)/4)/4*(1-'3. Assumptions'!$B$13)</f>
        <v>4340203.32659558</v>
      </c>
      <c r="AY86" s="33" t="n">
        <f aca="false">(1-'3. Assumptions'!$B$15)*SUMPRODUCT((('2. The tape'!$C$5:$C$13*'2. The tape'!$D$5:$D$13*(1-'2. The tape'!$J$5:$J$13)^($A86/4)*(1+$AX$5)^($A86/4)*((1-'3. Assumptions'!$B$13)/($AX$6)-'2. The tape'!$H$5:$H$13/12-'3. Assumptions'!$B$16)-'2. The tape'!$C$5:$C$13*'2. The tape'!$I$5:$I$13*(1+$AX$5)^($A86/4))&gt;0)*('2. The tape'!$C$5:$C$13*'2. The tape'!$D$5:$D$13*(1-'2. The tape'!$J$5:$J$13)^($A86/4)*(1+$AX$5)^($A86/4)*((1-'3. Assumptions'!$B$13)/($AX$6)-'2. The tape'!$H$5:$H$13/12-'3. Assumptions'!$B$16)-'2. The tape'!$C$5:$C$13*'2. The tape'!$I$5:$I$13*(1+$AX$5)^($A86/4)))</f>
        <v>128100576.887877</v>
      </c>
      <c r="AZ86" s="33" t="n">
        <f aca="false">'2. The tape'!$C$17*(1+MIN(MAX($AZ$5,'3. Assumptions'!$B$11),'3. Assumptions'!$B$10))^INT(($A86-1)/4)/4*(1-'3. Assumptions'!$B$13)</f>
        <v>4340203.32659558</v>
      </c>
      <c r="BA86" s="33" t="n">
        <f aca="false">(1-'3. Assumptions'!$B$15)*SUMPRODUCT((('2. The tape'!$C$5:$C$13*'2. The tape'!$D$5:$D$13*(1-'2. The tape'!$J$5:$J$13)^($A86/4)*(1+$AZ$5)^($A86/4)*((1-'3. Assumptions'!$B$13)/($AZ$6)-'2. The tape'!$H$5:$H$13/12-'3. Assumptions'!$B$16)-'2. The tape'!$C$5:$C$13*'2. The tape'!$I$5:$I$13*(1+$AZ$5)^($A86/4))&gt;0)*('2. The tape'!$C$5:$C$13*'2. The tape'!$D$5:$D$13*(1-'2. The tape'!$J$5:$J$13)^($A86/4)*(1+$AZ$5)^($A86/4)*((1-'3. Assumptions'!$B$13)/($AZ$6)-'2. The tape'!$H$5:$H$13/12-'3. Assumptions'!$B$16)-'2. The tape'!$C$5:$C$13*'2. The tape'!$I$5:$I$13*(1+$AZ$5)^($A86/4)))</f>
        <v>128100576.887877</v>
      </c>
    </row>
    <row r="87" customFormat="false" ht="15" hidden="false" customHeight="false" outlineLevel="0" collapsed="false">
      <c r="A87" s="20" t="n">
        <v>72</v>
      </c>
      <c r="B87" s="33" t="n">
        <f aca="false">'2. The tape'!$C$17*(1+MIN(MAX($B$5,'3. Assumptions'!$B$11),'3. Assumptions'!$B$10))^INT(($A87-1)/4)/4*(1-'3. Assumptions'!$B$13)</f>
        <v>4340203.32659558</v>
      </c>
      <c r="C87" s="33" t="n">
        <f aca="false">(1-'3. Assumptions'!$B$15)*SUMPRODUCT((('2. The tape'!$C$5:$C$13*'2. The tape'!$D$5:$D$13*(1-'2. The tape'!$J$5:$J$13)^($A87/4)*(1+$B$5)^($A87/4)*((1-'3. Assumptions'!$B$13)/($B$6)-'2. The tape'!$H$5:$H$13/12-'3. Assumptions'!$B$16)-'2. The tape'!$C$5:$C$13*'2. The tape'!$I$5:$I$13*(1+$B$5)^($A87/4))&gt;0)*('2. The tape'!$C$5:$C$13*'2. The tape'!$D$5:$D$13*(1-'2. The tape'!$J$5:$J$13)^($A87/4)*(1+$B$5)^($A87/4)*((1-'3. Assumptions'!$B$13)/($B$6)-'2. The tape'!$H$5:$H$13/12-'3. Assumptions'!$B$16)-'2. The tape'!$C$5:$C$13*'2. The tape'!$I$5:$I$13*(1+$B$5)^($A87/4)))</f>
        <v>74855817.6041566</v>
      </c>
      <c r="D87" s="33" t="n">
        <f aca="false">'2. The tape'!$C$17*(1+MIN(MAX($D$5,'3. Assumptions'!$B$11),'3. Assumptions'!$B$10))^INT(($A87-1)/4)/4*(1-'3. Assumptions'!$B$13)</f>
        <v>4955388.02389716</v>
      </c>
      <c r="E87" s="33" t="n">
        <f aca="false">(1-'3. Assumptions'!$B$15)*SUMPRODUCT((('2. The tape'!$C$5:$C$13*'2. The tape'!$D$5:$D$13*(1-'2. The tape'!$J$5:$J$13)^($A87/4)*(1+$D$5)^($A87/4)*((1-'3. Assumptions'!$B$13)/($D$6)-'2. The tape'!$H$5:$H$13/12-'3. Assumptions'!$B$16)-'2. The tape'!$C$5:$C$13*'2. The tape'!$I$5:$I$13*(1+$D$5)^($A87/4))&gt;0)*('2. The tape'!$C$5:$C$13*'2. The tape'!$D$5:$D$13*(1-'2. The tape'!$J$5:$J$13)^($A87/4)*(1+$D$5)^($A87/4)*((1-'3. Assumptions'!$B$13)/($D$6)-'2. The tape'!$H$5:$H$13/12-'3. Assumptions'!$B$16)-'2. The tape'!$C$5:$C$13*'2. The tape'!$I$5:$I$13*(1+$D$5)^($A87/4)))</f>
        <v>93980062.6393667</v>
      </c>
      <c r="F87" s="33" t="n">
        <f aca="false">'2. The tape'!$C$17*(1+MIN(MAX($F$5,'3. Assumptions'!$B$11),'3. Assumptions'!$B$10))^INT(($A87-1)/4)/4*(1-'3. Assumptions'!$B$13)</f>
        <v>3550652.75303542</v>
      </c>
      <c r="G87" s="33" t="n">
        <f aca="false">(1-'3. Assumptions'!$B$15)*SUMPRODUCT((('2. The tape'!$C$5:$C$13*'2. The tape'!$D$5:$D$13*(1-'2. The tape'!$J$5:$J$13)^($A87/4)*(1+$F$5)^($A87/4)*((1-'3. Assumptions'!$B$13)/($F$6)-'2. The tape'!$H$5:$H$13/12-'3. Assumptions'!$B$16)-'2. The tape'!$C$5:$C$13*'2. The tape'!$I$5:$I$13*(1+$F$5)^($A87/4))&gt;0)*('2. The tape'!$C$5:$C$13*'2. The tape'!$D$5:$D$13*(1-'2. The tape'!$J$5:$J$13)^($A87/4)*(1+$F$5)^($A87/4)*((1-'3. Assumptions'!$B$13)/($F$6)-'2. The tape'!$H$5:$H$13/12-'3. Assumptions'!$B$16)-'2. The tape'!$C$5:$C$13*'2. The tape'!$I$5:$I$13*(1+$F$5)^($A87/4)))</f>
        <v>60519337.0504475</v>
      </c>
      <c r="H87" s="33" t="n">
        <f aca="false">'2. The tape'!$C$17*(1+MIN(MAX($H$5,'3. Assumptions'!$B$11),'3. Assumptions'!$B$10))^INT(($A87-1)/4)/4*(1-'3. Assumptions'!$B$13)</f>
        <v>4955388.02389716</v>
      </c>
      <c r="I87" s="33" t="n">
        <f aca="false">(1-'3. Assumptions'!$B$15)*SUMPRODUCT((('2. The tape'!$C$5:$C$13*'2. The tape'!$D$5:$D$13*(1-'2. The tape'!$J$5:$J$13)^($A87/4)*(1+$H$5)^($A87/4)*((1-'3. Assumptions'!$B$13)/($H$6)-'2. The tape'!$H$5:$H$13/12-'3. Assumptions'!$B$16)-'2. The tape'!$C$5:$C$13*'2. The tape'!$I$5:$I$13*(1+$H$5)^($A87/4))&gt;0)*('2. The tape'!$C$5:$C$13*'2. The tape'!$D$5:$D$13*(1-'2. The tape'!$J$5:$J$13)^($A87/4)*(1+$H$5)^($A87/4)*((1-'3. Assumptions'!$B$13)/($H$6)-'2. The tape'!$H$5:$H$13/12-'3. Assumptions'!$B$16)-'2. The tape'!$C$5:$C$13*'2. The tape'!$I$5:$I$13*(1+$H$5)^($A87/4)))</f>
        <v>93980062.6393667</v>
      </c>
      <c r="J87" s="33" t="n">
        <f aca="false">'2. The tape'!$C$17*(1+MIN(MAX($J$5,'3. Assumptions'!$B$11),'3. Assumptions'!$B$10))^INT(($A87-1)/4)/4*(1-'3. Assumptions'!$B$13)</f>
        <v>4340203.32659558</v>
      </c>
      <c r="K87" s="33" t="n">
        <f aca="false">(1-'3. Assumptions'!$B$15)*SUMPRODUCT((('2. The tape'!$C$5:$C$13*'2. The tape'!$D$5:$D$13*(1-'2. The tape'!$J$5:$J$13)^($A87/4)*(1+$J$5)^($A87/4)*((1-'3. Assumptions'!$B$13)/($J$6)-'2. The tape'!$H$5:$H$13/12-'3. Assumptions'!$B$16)-'2. The tape'!$C$5:$C$13*'2. The tape'!$I$5:$I$13*(1+$J$5)^($A87/4))&gt;0)*('2. The tape'!$C$5:$C$13*'2. The tape'!$D$5:$D$13*(1-'2. The tape'!$J$5:$J$13)^($A87/4)*(1+$J$5)^($A87/4)*((1-'3. Assumptions'!$B$13)/($J$6)-'2. The tape'!$H$5:$H$13/12-'3. Assumptions'!$B$16)-'2. The tape'!$C$5:$C$13*'2. The tape'!$I$5:$I$13*(1+$J$5)^($A87/4)))</f>
        <v>60805885.6317371</v>
      </c>
      <c r="L87" s="33" t="n">
        <f aca="false">'2. The tape'!$C$17*(1+MIN(MAX($L$5,'3. Assumptions'!$B$11),'3. Assumptions'!$B$10))^INT(($A87-1)/4)/4*(1-'3. Assumptions'!$B$13)</f>
        <v>4955388.02389716</v>
      </c>
      <c r="M87" s="33" t="n">
        <f aca="false">(1-'3. Assumptions'!$B$15)*SUMPRODUCT((('2. The tape'!$C$5:$C$13*'2. The tape'!$D$5:$D$13*(1-'2. The tape'!$J$5:$J$13)^($A87/4)*(1+$L$5)^($A87/4)*((1-'3. Assumptions'!$B$13)/($L$6)-'2. The tape'!$H$5:$H$13/12-'3. Assumptions'!$B$16)-'2. The tape'!$C$5:$C$13*'2. The tape'!$I$5:$I$13*(1+$L$5)^($A87/4))&gt;0)*('2. The tape'!$C$5:$C$13*'2. The tape'!$D$5:$D$13*(1-'2. The tape'!$J$5:$J$13)^($A87/4)*(1+$L$5)^($A87/4)*((1-'3. Assumptions'!$B$13)/($L$6)-'2. The tape'!$H$5:$H$13/12-'3. Assumptions'!$B$16)-'2. The tape'!$C$5:$C$13*'2. The tape'!$I$5:$I$13*(1+$L$5)^($A87/4)))</f>
        <v>5689705337.18163</v>
      </c>
      <c r="N87" s="33" t="n">
        <f aca="false">'2. The tape'!$C$17*(1+MIN(MAX($N$5,'3. Assumptions'!$B$11),'3. Assumptions'!$B$10))^INT(($A87-1)/4)/4*(1-'3. Assumptions'!$B$13)</f>
        <v>2998091.25</v>
      </c>
      <c r="O87" s="33" t="n">
        <f aca="false">(1-'3. Assumptions'!$B$15)*SUMPRODUCT((('2. The tape'!$C$5:$C$13*'2. The tape'!$D$5:$D$13*(1-'2. The tape'!$J$5:$J$13)^($A87/4)*(1+$N$5)^($A87/4)*((1-'3. Assumptions'!$B$13)/($N$6)-'2. The tape'!$H$5:$H$13/12-'3. Assumptions'!$B$16)-'2. The tape'!$C$5:$C$13*'2. The tape'!$I$5:$I$13*(1+$N$5)^($A87/4))&gt;0)*('2. The tape'!$C$5:$C$13*'2. The tape'!$D$5:$D$13*(1-'2. The tape'!$J$5:$J$13)^($A87/4)*(1+$N$5)^($A87/4)*((1-'3. Assumptions'!$B$13)/($N$6)-'2. The tape'!$H$5:$H$13/12-'3. Assumptions'!$B$16)-'2. The tape'!$C$5:$C$13*'2. The tape'!$I$5:$I$13*(1+$N$5)^($A87/4)))</f>
        <v>29241567.5888918</v>
      </c>
      <c r="P87" s="33" t="n">
        <f aca="false">'2. The tape'!$C$17*(1+MIN(MAX($P$5,'3. Assumptions'!$B$11),'3. Assumptions'!$B$10))^INT(($A87-1)/4)/4*(1-'3. Assumptions'!$B$13)</f>
        <v>2998091.25</v>
      </c>
      <c r="Q87" s="33" t="n">
        <f aca="false">(1-'3. Assumptions'!$B$15)*SUMPRODUCT((('2. The tape'!$C$5:$C$13*'2. The tape'!$D$5:$D$13*(1-'2. The tape'!$J$5:$J$13)^($A87/4)*(1+$P$5)^($A87/4)*((1-'3. Assumptions'!$B$13)/($P$6)-'2. The tape'!$H$5:$H$13/12-'3. Assumptions'!$B$16)-'2. The tape'!$C$5:$C$13*'2. The tape'!$I$5:$I$13*(1+$P$5)^($A87/4))&gt;0)*('2. The tape'!$C$5:$C$13*'2. The tape'!$D$5:$D$13*(1-'2. The tape'!$J$5:$J$13)^($A87/4)*(1+$P$5)^($A87/4)*((1-'3. Assumptions'!$B$13)/($P$6)-'2. The tape'!$H$5:$H$13/12-'3. Assumptions'!$B$16)-'2. The tape'!$C$5:$C$13*'2. The tape'!$I$5:$I$13*(1+$P$5)^($A87/4)))</f>
        <v>35170520.5578106</v>
      </c>
      <c r="R87" s="33" t="n">
        <f aca="false">'2. The tape'!$C$17*(1+MIN(MAX($R$5,'3. Assumptions'!$B$11),'3. Assumptions'!$B$10))^INT(($A87-1)/4)/4*(1-'3. Assumptions'!$B$13)</f>
        <v>2998091.25</v>
      </c>
      <c r="S87" s="33" t="n">
        <f aca="false">(1-'3. Assumptions'!$B$15)*SUMPRODUCT((('2. The tape'!$C$5:$C$13*'2. The tape'!$D$5:$D$13*(1-'2. The tape'!$J$5:$J$13)^($A87/4)*(1+$R$5)^($A87/4)*((1-'3. Assumptions'!$B$13)/($R$6)-'2. The tape'!$H$5:$H$13/12-'3. Assumptions'!$B$16)-'2. The tape'!$C$5:$C$13*'2. The tape'!$I$5:$I$13*(1+$R$5)^($A87/4))&gt;0)*('2. The tape'!$C$5:$C$13*'2. The tape'!$D$5:$D$13*(1-'2. The tape'!$J$5:$J$13)^($A87/4)*(1+$R$5)^($A87/4)*((1-'3. Assumptions'!$B$13)/($R$6)-'2. The tape'!$H$5:$H$13/12-'3. Assumptions'!$B$16)-'2. The tape'!$C$5:$C$13*'2. The tape'!$I$5:$I$13*(1+$R$5)^($A87/4)))</f>
        <v>31458732.2342727</v>
      </c>
      <c r="T87" s="33" t="n">
        <f aca="false">'2. The tape'!$C$17*(1+MIN(MAX($T$5,'3. Assumptions'!$B$11),'3. Assumptions'!$B$10))^INT(($A87-1)/4)/4*(1-'3. Assumptions'!$B$13)</f>
        <v>2998091.25</v>
      </c>
      <c r="U87" s="33" t="n">
        <f aca="false">(1-'3. Assumptions'!$B$15)*SUMPRODUCT((('2. The tape'!$C$5:$C$13*'2. The tape'!$D$5:$D$13*(1-'2. The tape'!$J$5:$J$13)^($A87/4)*(1+$T$5)^($A87/4)*((1-'3. Assumptions'!$B$13)/($T$6)-'2. The tape'!$H$5:$H$13/12-'3. Assumptions'!$B$16)-'2. The tape'!$C$5:$C$13*'2. The tape'!$I$5:$I$13*(1+$T$5)^($A87/4))&gt;0)*('2. The tape'!$C$5:$C$13*'2. The tape'!$D$5:$D$13*(1-'2. The tape'!$J$5:$J$13)^($A87/4)*(1+$T$5)^($A87/4)*((1-'3. Assumptions'!$B$13)/($T$6)-'2. The tape'!$H$5:$H$13/12-'3. Assumptions'!$B$16)-'2. The tape'!$C$5:$C$13*'2. The tape'!$I$5:$I$13*(1+$T$5)^($A87/4)))</f>
        <v>31363405.0181308</v>
      </c>
      <c r="V87" s="33" t="n">
        <f aca="false">'2. The tape'!$C$17*(1+MIN(MAX($V$5,'3. Assumptions'!$B$11),'3. Assumptions'!$B$10))^INT(($A87-1)/4)/4*(1-'3. Assumptions'!$B$13)</f>
        <v>2998091.25</v>
      </c>
      <c r="W87" s="33" t="n">
        <f aca="false">(1-'3. Assumptions'!$B$15)*SUMPRODUCT((('2. The tape'!$C$5:$C$13*'2. The tape'!$D$5:$D$13*(1-'2. The tape'!$J$5:$J$13)^($A87/4)*(1+$V$5)^($A87/4)*((1-'3. Assumptions'!$B$13)/($V$6)-'2. The tape'!$H$5:$H$13/12-'3. Assumptions'!$B$16)-'2. The tape'!$C$5:$C$13*'2. The tape'!$I$5:$I$13*(1+$V$5)^($A87/4))&gt;0)*('2. The tape'!$C$5:$C$13*'2. The tape'!$D$5:$D$13*(1-'2. The tape'!$J$5:$J$13)^($A87/4)*(1+$V$5)^($A87/4)*((1-'3. Assumptions'!$B$13)/($V$6)-'2. The tape'!$H$5:$H$13/12-'3. Assumptions'!$B$16)-'2. The tape'!$C$5:$C$13*'2. The tape'!$I$5:$I$13*(1+$V$5)^($A87/4)))</f>
        <v>31367229.9077665</v>
      </c>
      <c r="X87" s="33" t="n">
        <f aca="false">'2. The tape'!$C$17*(1+MIN(MAX($X$5,'3. Assumptions'!$B$11),'3. Assumptions'!$B$10))^INT(($A87-1)/4)/4*(1-'3. Assumptions'!$B$13)</f>
        <v>2998091.25</v>
      </c>
      <c r="Y87" s="33" t="n">
        <f aca="false">(1-'3. Assumptions'!$B$15)*SUMPRODUCT((('2. The tape'!$C$5:$C$13*'2. The tape'!$D$5:$D$13*(1-'2. The tape'!$J$5:$J$13)^($A87/4)*(1+$X$5)^($A87/4)*((1-'3. Assumptions'!$B$13)/($X$6)-'2. The tape'!$H$5:$H$13/12-'3. Assumptions'!$B$16)-'2. The tape'!$C$5:$C$13*'2. The tape'!$I$5:$I$13*(1+$X$5)^($A87/4))&gt;0)*('2. The tape'!$C$5:$C$13*'2. The tape'!$D$5:$D$13*(1-'2. The tape'!$J$5:$J$13)^($A87/4)*(1+$X$5)^($A87/4)*((1-'3. Assumptions'!$B$13)/($X$6)-'2. The tape'!$H$5:$H$13/12-'3. Assumptions'!$B$16)-'2. The tape'!$C$5:$C$13*'2. The tape'!$I$5:$I$13*(1+$X$5)^($A87/4)))</f>
        <v>31367225.8854257</v>
      </c>
      <c r="Z87" s="33" t="n">
        <f aca="false">'2. The tape'!$C$17*(1+MIN(MAX($Z$5,'3. Assumptions'!$B$11),'3. Assumptions'!$B$10))^INT(($A87-1)/4)/4*(1-'3. Assumptions'!$B$13)</f>
        <v>2998091.25</v>
      </c>
      <c r="AA87" s="33" t="n">
        <f aca="false">(1-'3. Assumptions'!$B$15)*SUMPRODUCT((('2. The tape'!$C$5:$C$13*'2. The tape'!$D$5:$D$13*(1-'2. The tape'!$J$5:$J$13)^($A87/4)*(1+$Z$5)^($A87/4)*((1-'3. Assumptions'!$B$13)/($Z$6)-'2. The tape'!$H$5:$H$13/12-'3. Assumptions'!$B$16)-'2. The tape'!$C$5:$C$13*'2. The tape'!$I$5:$I$13*(1+$Z$5)^($A87/4))&gt;0)*('2. The tape'!$C$5:$C$13*'2. The tape'!$D$5:$D$13*(1-'2. The tape'!$J$5:$J$13)^($A87/4)*(1+$Z$5)^($A87/4)*((1-'3. Assumptions'!$B$13)/($Z$6)-'2. The tape'!$H$5:$H$13/12-'3. Assumptions'!$B$16)-'2. The tape'!$C$5:$C$13*'2. The tape'!$I$5:$I$13*(1+$Z$5)^($A87/4)))</f>
        <v>31367225.8852487</v>
      </c>
      <c r="AB87" s="33" t="n">
        <f aca="false">'2. The tape'!$C$17*(1+MIN(MAX($AB$5,'3. Assumptions'!$B$11),'3. Assumptions'!$B$10))^INT(($A87-1)/4)/4*(1-'3. Assumptions'!$B$13)</f>
        <v>2998091.25</v>
      </c>
      <c r="AC87" s="33" t="n">
        <f aca="false">(1-'3. Assumptions'!$B$15)*SUMPRODUCT((('2. The tape'!$C$5:$C$13*'2. The tape'!$D$5:$D$13*(1-'2. The tape'!$J$5:$J$13)^($A87/4)*(1+$AB$5)^($A87/4)*((1-'3. Assumptions'!$B$13)/($AB$6)-'2. The tape'!$H$5:$H$13/12-'3. Assumptions'!$B$16)-'2. The tape'!$C$5:$C$13*'2. The tape'!$I$5:$I$13*(1+$AB$5)^($A87/4))&gt;0)*('2. The tape'!$C$5:$C$13*'2. The tape'!$D$5:$D$13*(1-'2. The tape'!$J$5:$J$13)^($A87/4)*(1+$AB$5)^($A87/4)*((1-'3. Assumptions'!$B$13)/($AB$6)-'2. The tape'!$H$5:$H$13/12-'3. Assumptions'!$B$16)-'2. The tape'!$C$5:$C$13*'2. The tape'!$I$5:$I$13*(1+$AB$5)^($A87/4)))</f>
        <v>31367225.8852487</v>
      </c>
      <c r="AD87" s="33" t="n">
        <f aca="false">'2. The tape'!$C$17*(1+MIN(MAX($AD$5,'3. Assumptions'!$B$11),'3. Assumptions'!$B$10))^INT(($A87-1)/4)/4*(1-'3. Assumptions'!$B$13)</f>
        <v>2998091.25</v>
      </c>
      <c r="AE87" s="33" t="n">
        <f aca="false">(1-'3. Assumptions'!$B$15)*SUMPRODUCT((('2. The tape'!$C$5:$C$13*'2. The tape'!$D$5:$D$13*(1-'2. The tape'!$J$5:$J$13)^($A87/4)*(1+$AD$5)^($A87/4)*((1-'3. Assumptions'!$B$13)/($AD$6)-'2. The tape'!$H$5:$H$13/12-'3. Assumptions'!$B$16)-'2. The tape'!$C$5:$C$13*'2. The tape'!$I$5:$I$13*(1+$AD$5)^($A87/4))&gt;0)*('2. The tape'!$C$5:$C$13*'2. The tape'!$D$5:$D$13*(1-'2. The tape'!$J$5:$J$13)^($A87/4)*(1+$AD$5)^($A87/4)*((1-'3. Assumptions'!$B$13)/($AD$6)-'2. The tape'!$H$5:$H$13/12-'3. Assumptions'!$B$16)-'2. The tape'!$C$5:$C$13*'2. The tape'!$I$5:$I$13*(1+$AD$5)^($A87/4)))</f>
        <v>31367225.8852487</v>
      </c>
      <c r="AF87" s="33" t="n">
        <f aca="false">'2. The tape'!$C$17*(1+MIN(MAX($AF$5,'3. Assumptions'!$B$11),'3. Assumptions'!$B$10))^INT(($A87-1)/4)/4*(1-'3. Assumptions'!$B$13)</f>
        <v>2998091.25</v>
      </c>
      <c r="AG87" s="33" t="n">
        <f aca="false">(1-'3. Assumptions'!$B$15)*SUMPRODUCT((('2. The tape'!$C$5:$C$13*'2. The tape'!$D$5:$D$13*(1-'2. The tape'!$J$5:$J$13)^($A87/4)*(1+$AF$5)^($A87/4)*((1-'3. Assumptions'!$B$13)/($AF$6)-'2. The tape'!$H$5:$H$13/12-'3. Assumptions'!$B$16)-'2. The tape'!$C$5:$C$13*'2. The tape'!$I$5:$I$13*(1+$AF$5)^($A87/4))&gt;0)*('2. The tape'!$C$5:$C$13*'2. The tape'!$D$5:$D$13*(1-'2. The tape'!$J$5:$J$13)^($A87/4)*(1+$AF$5)^($A87/4)*((1-'3. Assumptions'!$B$13)/($AF$6)-'2. The tape'!$H$5:$H$13/12-'3. Assumptions'!$B$16)-'2. The tape'!$C$5:$C$13*'2. The tape'!$I$5:$I$13*(1+$AF$5)^($A87/4)))</f>
        <v>31367225.8852487</v>
      </c>
      <c r="AH87" s="33" t="n">
        <f aca="false">'2. The tape'!$C$17*(1+MIN(MAX($AH$5,'3. Assumptions'!$B$11),'3. Assumptions'!$B$10))^INT(($A87-1)/4)/4*(1-'3. Assumptions'!$B$13)</f>
        <v>4340203.32659558</v>
      </c>
      <c r="AI87" s="33" t="n">
        <f aca="false">(1-'3. Assumptions'!$B$15)*SUMPRODUCT((('2. The tape'!$C$5:$C$13*'2. The tape'!$D$5:$D$13*(1-'2. The tape'!$J$5:$J$13)^($A87/4)*(1+$AH$5)^($A87/4)*((1-'3. Assumptions'!$B$13)/($AH$6)-'2. The tape'!$H$5:$H$13/12-'3. Assumptions'!$B$16)-'2. The tape'!$C$5:$C$13*'2. The tape'!$I$5:$I$13*(1+$AH$5)^($A87/4))&gt;0)*('2. The tape'!$C$5:$C$13*'2. The tape'!$D$5:$D$13*(1-'2. The tape'!$J$5:$J$13)^($A87/4)*(1+$AH$5)^($A87/4)*((1-'3. Assumptions'!$B$13)/($AH$6)-'2. The tape'!$H$5:$H$13/12-'3. Assumptions'!$B$16)-'2. The tape'!$C$5:$C$13*'2. The tape'!$I$5:$I$13*(1+$AH$5)^($A87/4)))</f>
        <v>151568446.173567</v>
      </c>
      <c r="AJ87" s="33" t="n">
        <f aca="false">'2. The tape'!$C$17*(1+MIN(MAX($AJ$5,'3. Assumptions'!$B$11),'3. Assumptions'!$B$10))^INT(($A87-1)/4)/4*(1-'3. Assumptions'!$B$13)</f>
        <v>4340203.32659558</v>
      </c>
      <c r="AK87" s="33" t="n">
        <f aca="false">(1-'3. Assumptions'!$B$15)*SUMPRODUCT((('2. The tape'!$C$5:$C$13*'2. The tape'!$D$5:$D$13*(1-'2. The tape'!$J$5:$J$13)^($A87/4)*(1+$AJ$5)^($A87/4)*((1-'3. Assumptions'!$B$13)/($AJ$6)-'2. The tape'!$H$5:$H$13/12-'3. Assumptions'!$B$16)-'2. The tape'!$C$5:$C$13*'2. The tape'!$I$5:$I$13*(1+$AJ$5)^($A87/4))&gt;0)*('2. The tape'!$C$5:$C$13*'2. The tape'!$D$5:$D$13*(1-'2. The tape'!$J$5:$J$13)^($A87/4)*(1+$AJ$5)^($A87/4)*((1-'3. Assumptions'!$B$13)/($AJ$6)-'2. The tape'!$H$5:$H$13/12-'3. Assumptions'!$B$16)-'2. The tape'!$C$5:$C$13*'2. The tape'!$I$5:$I$13*(1+$AJ$5)^($A87/4)))</f>
        <v>108575654.337963</v>
      </c>
      <c r="AL87" s="33" t="n">
        <f aca="false">'2. The tape'!$C$17*(1+MIN(MAX($AL$5,'3. Assumptions'!$B$11),'3. Assumptions'!$B$10))^INT(($A87-1)/4)/4*(1-'3. Assumptions'!$B$13)</f>
        <v>4340203.32659558</v>
      </c>
      <c r="AM87" s="33" t="n">
        <f aca="false">(1-'3. Assumptions'!$B$15)*SUMPRODUCT((('2. The tape'!$C$5:$C$13*'2. The tape'!$D$5:$D$13*(1-'2. The tape'!$J$5:$J$13)^($A87/4)*(1+$AL$5)^($A87/4)*((1-'3. Assumptions'!$B$13)/($AL$6)-'2. The tape'!$H$5:$H$13/12-'3. Assumptions'!$B$16)-'2. The tape'!$C$5:$C$13*'2. The tape'!$I$5:$I$13*(1+$AL$5)^($A87/4))&gt;0)*('2. The tape'!$C$5:$C$13*'2. The tape'!$D$5:$D$13*(1-'2. The tape'!$J$5:$J$13)^($A87/4)*(1+$AL$5)^($A87/4)*((1-'3. Assumptions'!$B$13)/($AL$6)-'2. The tape'!$H$5:$H$13/12-'3. Assumptions'!$B$16)-'2. The tape'!$C$5:$C$13*'2. The tape'!$I$5:$I$13*(1+$AL$5)^($A87/4)))</f>
        <v>125250127.046499</v>
      </c>
      <c r="AN87" s="33" t="n">
        <f aca="false">'2. The tape'!$C$17*(1+MIN(MAX($AN$5,'3. Assumptions'!$B$11),'3. Assumptions'!$B$10))^INT(($A87-1)/4)/4*(1-'3. Assumptions'!$B$13)</f>
        <v>4340203.32659558</v>
      </c>
      <c r="AO87" s="33" t="n">
        <f aca="false">(1-'3. Assumptions'!$B$15)*SUMPRODUCT((('2. The tape'!$C$5:$C$13*'2. The tape'!$D$5:$D$13*(1-'2. The tape'!$J$5:$J$13)^($A87/4)*(1+$AN$5)^($A87/4)*((1-'3. Assumptions'!$B$13)/($AN$6)-'2. The tape'!$H$5:$H$13/12-'3. Assumptions'!$B$16)-'2. The tape'!$C$5:$C$13*'2. The tape'!$I$5:$I$13*(1+$AN$5)^($A87/4))&gt;0)*('2. The tape'!$C$5:$C$13*'2. The tape'!$D$5:$D$13*(1-'2. The tape'!$J$5:$J$13)^($A87/4)*(1+$AN$5)^($A87/4)*((1-'3. Assumptions'!$B$13)/($AN$6)-'2. The tape'!$H$5:$H$13/12-'3. Assumptions'!$B$16)-'2. The tape'!$C$5:$C$13*'2. The tape'!$I$5:$I$13*(1+$AN$5)^($A87/4)))</f>
        <v>128372100.396576</v>
      </c>
      <c r="AP87" s="33" t="n">
        <f aca="false">'2. The tape'!$C$17*(1+MIN(MAX($AP$5,'3. Assumptions'!$B$11),'3. Assumptions'!$B$10))^INT(($A87-1)/4)/4*(1-'3. Assumptions'!$B$13)</f>
        <v>4340203.32659558</v>
      </c>
      <c r="AQ87" s="33" t="n">
        <f aca="false">(1-'3. Assumptions'!$B$15)*SUMPRODUCT((('2. The tape'!$C$5:$C$13*'2. The tape'!$D$5:$D$13*(1-'2. The tape'!$J$5:$J$13)^($A87/4)*(1+$AP$5)^($A87/4)*((1-'3. Assumptions'!$B$13)/($AP$6)-'2. The tape'!$H$5:$H$13/12-'3. Assumptions'!$B$16)-'2. The tape'!$C$5:$C$13*'2. The tape'!$I$5:$I$13*(1+$AP$5)^($A87/4))&gt;0)*('2. The tape'!$C$5:$C$13*'2. The tape'!$D$5:$D$13*(1-'2. The tape'!$J$5:$J$13)^($A87/4)*(1+$AP$5)^($A87/4)*((1-'3. Assumptions'!$B$13)/($AP$6)-'2. The tape'!$H$5:$H$13/12-'3. Assumptions'!$B$16)-'2. The tape'!$C$5:$C$13*'2. The tape'!$I$5:$I$13*(1+$AP$5)^($A87/4)))</f>
        <v>127986699.192915</v>
      </c>
      <c r="AR87" s="33" t="n">
        <f aca="false">'2. The tape'!$C$17*(1+MIN(MAX($AR$5,'3. Assumptions'!$B$11),'3. Assumptions'!$B$10))^INT(($A87-1)/4)/4*(1-'3. Assumptions'!$B$13)</f>
        <v>4340203.32659558</v>
      </c>
      <c r="AS87" s="33" t="n">
        <f aca="false">(1-'3. Assumptions'!$B$15)*SUMPRODUCT((('2. The tape'!$C$5:$C$13*'2. The tape'!$D$5:$D$13*(1-'2. The tape'!$J$5:$J$13)^($A87/4)*(1+$AR$5)^($A87/4)*((1-'3. Assumptions'!$B$13)/($AR$6)-'2. The tape'!$H$5:$H$13/12-'3. Assumptions'!$B$16)-'2. The tape'!$C$5:$C$13*'2. The tape'!$I$5:$I$13*(1+$AR$5)^($A87/4))&gt;0)*('2. The tape'!$C$5:$C$13*'2. The tape'!$D$5:$D$13*(1-'2. The tape'!$J$5:$J$13)^($A87/4)*(1+$AR$5)^($A87/4)*((1-'3. Assumptions'!$B$13)/($AR$6)-'2. The tape'!$H$5:$H$13/12-'3. Assumptions'!$B$16)-'2. The tape'!$C$5:$C$13*'2. The tape'!$I$5:$I$13*(1+$AR$5)^($A87/4)))</f>
        <v>127993165.673084</v>
      </c>
      <c r="AT87" s="33" t="n">
        <f aca="false">'2. The tape'!$C$17*(1+MIN(MAX($AT$5,'3. Assumptions'!$B$11),'3. Assumptions'!$B$10))^INT(($A87-1)/4)/4*(1-'3. Assumptions'!$B$13)</f>
        <v>4340203.32659558</v>
      </c>
      <c r="AU87" s="33" t="n">
        <f aca="false">(1-'3. Assumptions'!$B$15)*SUMPRODUCT((('2. The tape'!$C$5:$C$13*'2. The tape'!$D$5:$D$13*(1-'2. The tape'!$J$5:$J$13)^($A87/4)*(1+$AT$5)^($A87/4)*((1-'3. Assumptions'!$B$13)/($AT$6)-'2. The tape'!$H$5:$H$13/12-'3. Assumptions'!$B$16)-'2. The tape'!$C$5:$C$13*'2. The tape'!$I$5:$I$13*(1+$AT$5)^($A87/4))&gt;0)*('2. The tape'!$C$5:$C$13*'2. The tape'!$D$5:$D$13*(1-'2. The tape'!$J$5:$J$13)^($A87/4)*(1+$AT$5)^($A87/4)*((1-'3. Assumptions'!$B$13)/($AT$6)-'2. The tape'!$H$5:$H$13/12-'3. Assumptions'!$B$16)-'2. The tape'!$C$5:$C$13*'2. The tape'!$I$5:$I$13*(1+$AT$5)^($A87/4)))</f>
        <v>127993180.73189</v>
      </c>
      <c r="AV87" s="33" t="n">
        <f aca="false">'2. The tape'!$C$17*(1+MIN(MAX($AV$5,'3. Assumptions'!$B$11),'3. Assumptions'!$B$10))^INT(($A87-1)/4)/4*(1-'3. Assumptions'!$B$13)</f>
        <v>4340203.32659558</v>
      </c>
      <c r="AW87" s="33" t="n">
        <f aca="false">(1-'3. Assumptions'!$B$15)*SUMPRODUCT((('2. The tape'!$C$5:$C$13*'2. The tape'!$D$5:$D$13*(1-'2. The tape'!$J$5:$J$13)^($A87/4)*(1+$AV$5)^($A87/4)*((1-'3. Assumptions'!$B$13)/($AV$6)-'2. The tape'!$H$5:$H$13/12-'3. Assumptions'!$B$16)-'2. The tape'!$C$5:$C$13*'2. The tape'!$I$5:$I$13*(1+$AV$5)^($A87/4))&gt;0)*('2. The tape'!$C$5:$C$13*'2. The tape'!$D$5:$D$13*(1-'2. The tape'!$J$5:$J$13)^($A87/4)*(1+$AV$5)^($A87/4)*((1-'3. Assumptions'!$B$13)/($AV$6)-'2. The tape'!$H$5:$H$13/12-'3. Assumptions'!$B$16)-'2. The tape'!$C$5:$C$13*'2. The tape'!$I$5:$I$13*(1+$AV$5)^($A87/4)))</f>
        <v>127993180.73129</v>
      </c>
      <c r="AX87" s="33" t="n">
        <f aca="false">'2. The tape'!$C$17*(1+MIN(MAX($AX$5,'3. Assumptions'!$B$11),'3. Assumptions'!$B$10))^INT(($A87-1)/4)/4*(1-'3. Assumptions'!$B$13)</f>
        <v>4340203.32659558</v>
      </c>
      <c r="AY87" s="33" t="n">
        <f aca="false">(1-'3. Assumptions'!$B$15)*SUMPRODUCT((('2. The tape'!$C$5:$C$13*'2. The tape'!$D$5:$D$13*(1-'2. The tape'!$J$5:$J$13)^($A87/4)*(1+$AX$5)^($A87/4)*((1-'3. Assumptions'!$B$13)/($AX$6)-'2. The tape'!$H$5:$H$13/12-'3. Assumptions'!$B$16)-'2. The tape'!$C$5:$C$13*'2. The tape'!$I$5:$I$13*(1+$AX$5)^($A87/4))&gt;0)*('2. The tape'!$C$5:$C$13*'2. The tape'!$D$5:$D$13*(1-'2. The tape'!$J$5:$J$13)^($A87/4)*(1+$AX$5)^($A87/4)*((1-'3. Assumptions'!$B$13)/($AX$6)-'2. The tape'!$H$5:$H$13/12-'3. Assumptions'!$B$16)-'2. The tape'!$C$5:$C$13*'2. The tape'!$I$5:$I$13*(1+$AX$5)^($A87/4)))</f>
        <v>127993180.73129</v>
      </c>
      <c r="AZ87" s="33" t="n">
        <f aca="false">'2. The tape'!$C$17*(1+MIN(MAX($AZ$5,'3. Assumptions'!$B$11),'3. Assumptions'!$B$10))^INT(($A87-1)/4)/4*(1-'3. Assumptions'!$B$13)</f>
        <v>4340203.32659558</v>
      </c>
      <c r="BA87" s="33" t="n">
        <f aca="false">(1-'3. Assumptions'!$B$15)*SUMPRODUCT((('2. The tape'!$C$5:$C$13*'2. The tape'!$D$5:$D$13*(1-'2. The tape'!$J$5:$J$13)^($A87/4)*(1+$AZ$5)^($A87/4)*((1-'3. Assumptions'!$B$13)/($AZ$6)-'2. The tape'!$H$5:$H$13/12-'3. Assumptions'!$B$16)-'2. The tape'!$C$5:$C$13*'2. The tape'!$I$5:$I$13*(1+$AZ$5)^($A87/4))&gt;0)*('2. The tape'!$C$5:$C$13*'2. The tape'!$D$5:$D$13*(1-'2. The tape'!$J$5:$J$13)^($A87/4)*(1+$AZ$5)^($A87/4)*((1-'3. Assumptions'!$B$13)/($AZ$6)-'2. The tape'!$H$5:$H$13/12-'3. Assumptions'!$B$16)-'2. The tape'!$C$5:$C$13*'2. The tape'!$I$5:$I$13*(1+$AZ$5)^($A87/4)))</f>
        <v>127993180.73129</v>
      </c>
    </row>
    <row r="88" customFormat="false" ht="15" hidden="false" customHeight="false" outlineLevel="0" collapsed="false">
      <c r="A88" s="20" t="n">
        <v>73</v>
      </c>
      <c r="B88" s="33" t="n">
        <f aca="false">'2. The tape'!$C$17*(1+MIN(MAX($B$5,'3. Assumptions'!$B$11),'3. Assumptions'!$B$10))^INT(($A88-1)/4)/4*(1-'3. Assumptions'!$B$13)</f>
        <v>4435687.79978068</v>
      </c>
      <c r="C88" s="33" t="n">
        <f aca="false">(1-'3. Assumptions'!$B$15)*SUMPRODUCT((('2. The tape'!$C$5:$C$13*'2. The tape'!$D$5:$D$13*(1-'2. The tape'!$J$5:$J$13)^($A88/4)*(1+$B$5)^($A88/4)*((1-'3. Assumptions'!$B$13)/($B$6)-'2. The tape'!$H$5:$H$13/12-'3. Assumptions'!$B$16)-'2. The tape'!$C$5:$C$13*'2. The tape'!$I$5:$I$13*(1+$B$5)^($A88/4))&gt;0)*('2. The tape'!$C$5:$C$13*'2. The tape'!$D$5:$D$13*(1-'2. The tape'!$J$5:$J$13)^($A88/4)*(1+$B$5)^($A88/4)*((1-'3. Assumptions'!$B$13)/($B$6)-'2. The tape'!$H$5:$H$13/12-'3. Assumptions'!$B$16)-'2. The tape'!$C$5:$C$13*'2. The tape'!$I$5:$I$13*(1+$B$5)^($A88/4)))</f>
        <v>74746807.639857</v>
      </c>
      <c r="D88" s="33" t="n">
        <f aca="false">'2. The tape'!$C$17*(1+MIN(MAX($D$5,'3. Assumptions'!$B$11),'3. Assumptions'!$B$10))^INT(($A88-1)/4)/4*(1-'3. Assumptions'!$B$13)</f>
        <v>5104049.66461407</v>
      </c>
      <c r="E88" s="33" t="n">
        <f aca="false">(1-'3. Assumptions'!$B$15)*SUMPRODUCT((('2. The tape'!$C$5:$C$13*'2. The tape'!$D$5:$D$13*(1-'2. The tape'!$J$5:$J$13)^($A88/4)*(1+$D$5)^($A88/4)*((1-'3. Assumptions'!$B$13)/($D$6)-'2. The tape'!$H$5:$H$13/12-'3. Assumptions'!$B$16)-'2. The tape'!$C$5:$C$13*'2. The tape'!$I$5:$I$13*(1+$D$5)^($A88/4))&gt;0)*('2. The tape'!$C$5:$C$13*'2. The tape'!$D$5:$D$13*(1-'2. The tape'!$J$5:$J$13)^($A88/4)*(1+$D$5)^($A88/4)*((1-'3. Assumptions'!$B$13)/($D$6)-'2. The tape'!$H$5:$H$13/12-'3. Assumptions'!$B$16)-'2. The tape'!$C$5:$C$13*'2. The tape'!$I$5:$I$13*(1+$D$5)^($A88/4)))</f>
        <v>94140214.7152678</v>
      </c>
      <c r="F88" s="33" t="n">
        <f aca="false">'2. The tape'!$C$17*(1+MIN(MAX($F$5,'3. Assumptions'!$B$11),'3. Assumptions'!$B$10))^INT(($A88-1)/4)/4*(1-'3. Assumptions'!$B$13)</f>
        <v>3586159.28056578</v>
      </c>
      <c r="G88" s="33" t="n">
        <f aca="false">(1-'3. Assumptions'!$B$15)*SUMPRODUCT((('2. The tape'!$C$5:$C$13*'2. The tape'!$D$5:$D$13*(1-'2. The tape'!$J$5:$J$13)^($A88/4)*(1+$F$5)^($A88/4)*((1-'3. Assumptions'!$B$13)/($F$6)-'2. The tape'!$H$5:$H$13/12-'3. Assumptions'!$B$16)-'2. The tape'!$C$5:$C$13*'2. The tape'!$I$5:$I$13*(1+$F$5)^($A88/4))&gt;0)*('2. The tape'!$C$5:$C$13*'2. The tape'!$D$5:$D$13*(1-'2. The tape'!$J$5:$J$13)^($A88/4)*(1+$F$5)^($A88/4)*((1-'3. Assumptions'!$B$13)/($F$6)-'2. The tape'!$H$5:$H$13/12-'3. Assumptions'!$B$16)-'2. The tape'!$C$5:$C$13*'2. The tape'!$I$5:$I$13*(1+$F$5)^($A88/4)))</f>
        <v>60253027.3304747</v>
      </c>
      <c r="H88" s="33" t="n">
        <f aca="false">'2. The tape'!$C$17*(1+MIN(MAX($H$5,'3. Assumptions'!$B$11),'3. Assumptions'!$B$10))^INT(($A88-1)/4)/4*(1-'3. Assumptions'!$B$13)</f>
        <v>5104049.66461407</v>
      </c>
      <c r="I88" s="33" t="n">
        <f aca="false">(1-'3. Assumptions'!$B$15)*SUMPRODUCT((('2. The tape'!$C$5:$C$13*'2. The tape'!$D$5:$D$13*(1-'2. The tape'!$J$5:$J$13)^($A88/4)*(1+$H$5)^($A88/4)*((1-'3. Assumptions'!$B$13)/($H$6)-'2. The tape'!$H$5:$H$13/12-'3. Assumptions'!$B$16)-'2. The tape'!$C$5:$C$13*'2. The tape'!$I$5:$I$13*(1+$H$5)^($A88/4))&gt;0)*('2. The tape'!$C$5:$C$13*'2. The tape'!$D$5:$D$13*(1-'2. The tape'!$J$5:$J$13)^($A88/4)*(1+$H$5)^($A88/4)*((1-'3. Assumptions'!$B$13)/($H$6)-'2. The tape'!$H$5:$H$13/12-'3. Assumptions'!$B$16)-'2. The tape'!$C$5:$C$13*'2. The tape'!$I$5:$I$13*(1+$H$5)^($A88/4)))</f>
        <v>94140214.7152678</v>
      </c>
      <c r="J88" s="33" t="n">
        <f aca="false">'2. The tape'!$C$17*(1+MIN(MAX($J$5,'3. Assumptions'!$B$11),'3. Assumptions'!$B$10))^INT(($A88-1)/4)/4*(1-'3. Assumptions'!$B$13)</f>
        <v>4435687.79978068</v>
      </c>
      <c r="K88" s="33" t="n">
        <f aca="false">(1-'3. Assumptions'!$B$15)*SUMPRODUCT((('2. The tape'!$C$5:$C$13*'2. The tape'!$D$5:$D$13*(1-'2. The tape'!$J$5:$J$13)^($A88/4)*(1+$J$5)^($A88/4)*((1-'3. Assumptions'!$B$13)/($J$6)-'2. The tape'!$H$5:$H$13/12-'3. Assumptions'!$B$16)-'2. The tape'!$C$5:$C$13*'2. The tape'!$I$5:$I$13*(1+$J$5)^($A88/4))&gt;0)*('2. The tape'!$C$5:$C$13*'2. The tape'!$D$5:$D$13*(1-'2. The tape'!$J$5:$J$13)^($A88/4)*(1+$J$5)^($A88/4)*((1-'3. Assumptions'!$B$13)/($J$6)-'2. The tape'!$H$5:$H$13/12-'3. Assumptions'!$B$16)-'2. The tape'!$C$5:$C$13*'2. The tape'!$I$5:$I$13*(1+$J$5)^($A88/4)))</f>
        <v>60696510.6407182</v>
      </c>
      <c r="L88" s="33" t="n">
        <f aca="false">'2. The tape'!$C$17*(1+MIN(MAX($L$5,'3. Assumptions'!$B$11),'3. Assumptions'!$B$10))^INT(($A88-1)/4)/4*(1-'3. Assumptions'!$B$13)</f>
        <v>5104049.66461407</v>
      </c>
      <c r="M88" s="33" t="n">
        <f aca="false">(1-'3. Assumptions'!$B$15)*SUMPRODUCT((('2. The tape'!$C$5:$C$13*'2. The tape'!$D$5:$D$13*(1-'2. The tape'!$J$5:$J$13)^($A88/4)*(1+$L$5)^($A88/4)*((1-'3. Assumptions'!$B$13)/($L$6)-'2. The tape'!$H$5:$H$13/12-'3. Assumptions'!$B$16)-'2. The tape'!$C$5:$C$13*'2. The tape'!$I$5:$I$13*(1+$L$5)^($A88/4))&gt;0)*('2. The tape'!$C$5:$C$13*'2. The tape'!$D$5:$D$13*(1-'2. The tape'!$J$5:$J$13)^($A88/4)*(1+$L$5)^($A88/4)*((1-'3. Assumptions'!$B$13)/($L$6)-'2. The tape'!$H$5:$H$13/12-'3. Assumptions'!$B$16)-'2. The tape'!$C$5:$C$13*'2. The tape'!$I$5:$I$13*(1+$L$5)^($A88/4)))</f>
        <v>6033648143.58206</v>
      </c>
      <c r="N88" s="33" t="n">
        <f aca="false">'2. The tape'!$C$17*(1+MIN(MAX($N$5,'3. Assumptions'!$B$11),'3. Assumptions'!$B$10))^INT(($A88-1)/4)/4*(1-'3. Assumptions'!$B$13)</f>
        <v>2998091.25</v>
      </c>
      <c r="O88" s="33" t="n">
        <f aca="false">(1-'3. Assumptions'!$B$15)*SUMPRODUCT((('2. The tape'!$C$5:$C$13*'2. The tape'!$D$5:$D$13*(1-'2. The tape'!$J$5:$J$13)^($A88/4)*(1+$N$5)^($A88/4)*((1-'3. Assumptions'!$B$13)/($N$6)-'2. The tape'!$H$5:$H$13/12-'3. Assumptions'!$B$16)-'2. The tape'!$C$5:$C$13*'2. The tape'!$I$5:$I$13*(1+$N$5)^($A88/4))&gt;0)*('2. The tape'!$C$5:$C$13*'2. The tape'!$D$5:$D$13*(1-'2. The tape'!$J$5:$J$13)^($A88/4)*(1+$N$5)^($A88/4)*((1-'3. Assumptions'!$B$13)/($N$6)-'2. The tape'!$H$5:$H$13/12-'3. Assumptions'!$B$16)-'2. The tape'!$C$5:$C$13*'2. The tape'!$I$5:$I$13*(1+$N$5)^($A88/4)))</f>
        <v>28820263.7624176</v>
      </c>
      <c r="P88" s="33" t="n">
        <f aca="false">'2. The tape'!$C$17*(1+MIN(MAX($P$5,'3. Assumptions'!$B$11),'3. Assumptions'!$B$10))^INT(($A88-1)/4)/4*(1-'3. Assumptions'!$B$13)</f>
        <v>2998091.25</v>
      </c>
      <c r="Q88" s="33" t="n">
        <f aca="false">(1-'3. Assumptions'!$B$15)*SUMPRODUCT((('2. The tape'!$C$5:$C$13*'2. The tape'!$D$5:$D$13*(1-'2. The tape'!$J$5:$J$13)^($A88/4)*(1+$P$5)^($A88/4)*((1-'3. Assumptions'!$B$13)/($P$6)-'2. The tape'!$H$5:$H$13/12-'3. Assumptions'!$B$16)-'2. The tape'!$C$5:$C$13*'2. The tape'!$I$5:$I$13*(1+$P$5)^($A88/4))&gt;0)*('2. The tape'!$C$5:$C$13*'2. The tape'!$D$5:$D$13*(1-'2. The tape'!$J$5:$J$13)^($A88/4)*(1+$P$5)^($A88/4)*((1-'3. Assumptions'!$B$13)/($P$6)-'2. The tape'!$H$5:$H$13/12-'3. Assumptions'!$B$16)-'2. The tape'!$C$5:$C$13*'2. The tape'!$I$5:$I$13*(1+$P$5)^($A88/4)))</f>
        <v>34752790.4894821</v>
      </c>
      <c r="R88" s="33" t="n">
        <f aca="false">'2. The tape'!$C$17*(1+MIN(MAX($R$5,'3. Assumptions'!$B$11),'3. Assumptions'!$B$10))^INT(($A88-1)/4)/4*(1-'3. Assumptions'!$B$13)</f>
        <v>2998091.25</v>
      </c>
      <c r="S88" s="33" t="n">
        <f aca="false">(1-'3. Assumptions'!$B$15)*SUMPRODUCT((('2. The tape'!$C$5:$C$13*'2. The tape'!$D$5:$D$13*(1-'2. The tape'!$J$5:$J$13)^($A88/4)*(1+$R$5)^($A88/4)*((1-'3. Assumptions'!$B$13)/($R$6)-'2. The tape'!$H$5:$H$13/12-'3. Assumptions'!$B$16)-'2. The tape'!$C$5:$C$13*'2. The tape'!$I$5:$I$13*(1+$R$5)^($A88/4))&gt;0)*('2. The tape'!$C$5:$C$13*'2. The tape'!$D$5:$D$13*(1-'2. The tape'!$J$5:$J$13)^($A88/4)*(1+$R$5)^($A88/4)*((1-'3. Assumptions'!$B$13)/($R$6)-'2. The tape'!$H$5:$H$13/12-'3. Assumptions'!$B$16)-'2. The tape'!$C$5:$C$13*'2. The tape'!$I$5:$I$13*(1+$R$5)^($A88/4)))</f>
        <v>31036973.0089989</v>
      </c>
      <c r="T88" s="33" t="n">
        <f aca="false">'2. The tape'!$C$17*(1+MIN(MAX($T$5,'3. Assumptions'!$B$11),'3. Assumptions'!$B$10))^INT(($A88-1)/4)/4*(1-'3. Assumptions'!$B$13)</f>
        <v>2998091.25</v>
      </c>
      <c r="U88" s="33" t="n">
        <f aca="false">(1-'3. Assumptions'!$B$15)*SUMPRODUCT((('2. The tape'!$C$5:$C$13*'2. The tape'!$D$5:$D$13*(1-'2. The tape'!$J$5:$J$13)^($A88/4)*(1+$T$5)^($A88/4)*((1-'3. Assumptions'!$B$13)/($T$6)-'2. The tape'!$H$5:$H$13/12-'3. Assumptions'!$B$16)-'2. The tape'!$C$5:$C$13*'2. The tape'!$I$5:$I$13*(1+$T$5)^($A88/4))&gt;0)*('2. The tape'!$C$5:$C$13*'2. The tape'!$D$5:$D$13*(1-'2. The tape'!$J$5:$J$13)^($A88/4)*(1+$T$5)^($A88/4)*((1-'3. Assumptions'!$B$13)/($T$6)-'2. The tape'!$H$5:$H$13/12-'3. Assumptions'!$B$16)-'2. The tape'!$C$5:$C$13*'2. The tape'!$I$5:$I$13*(1+$T$5)^($A88/4)))</f>
        <v>30941619.5904725</v>
      </c>
      <c r="V88" s="33" t="n">
        <f aca="false">'2. The tape'!$C$17*(1+MIN(MAX($V$5,'3. Assumptions'!$B$11),'3. Assumptions'!$B$10))^INT(($A88-1)/4)/4*(1-'3. Assumptions'!$B$13)</f>
        <v>2998091.25</v>
      </c>
      <c r="W88" s="33" t="n">
        <f aca="false">(1-'3. Assumptions'!$B$15)*SUMPRODUCT((('2. The tape'!$C$5:$C$13*'2. The tape'!$D$5:$D$13*(1-'2. The tape'!$J$5:$J$13)^($A88/4)*(1+$V$5)^($A88/4)*((1-'3. Assumptions'!$B$13)/($V$6)-'2. The tape'!$H$5:$H$13/12-'3. Assumptions'!$B$16)-'2. The tape'!$C$5:$C$13*'2. The tape'!$I$5:$I$13*(1+$V$5)^($A88/4))&gt;0)*('2. The tape'!$C$5:$C$13*'2. The tape'!$D$5:$D$13*(1-'2. The tape'!$J$5:$J$13)^($A88/4)*(1+$V$5)^($A88/4)*((1-'3. Assumptions'!$B$13)/($V$6)-'2. The tape'!$H$5:$H$13/12-'3. Assumptions'!$B$16)-'2. The tape'!$C$5:$C$13*'2. The tape'!$I$5:$I$13*(1+$V$5)^($A88/4)))</f>
        <v>30945445.4540146</v>
      </c>
      <c r="X88" s="33" t="n">
        <f aca="false">'2. The tape'!$C$17*(1+MIN(MAX($X$5,'3. Assumptions'!$B$11),'3. Assumptions'!$B$10))^INT(($A88-1)/4)/4*(1-'3. Assumptions'!$B$13)</f>
        <v>2998091.25</v>
      </c>
      <c r="Y88" s="33" t="n">
        <f aca="false">(1-'3. Assumptions'!$B$15)*SUMPRODUCT((('2. The tape'!$C$5:$C$13*'2. The tape'!$D$5:$D$13*(1-'2. The tape'!$J$5:$J$13)^($A88/4)*(1+$X$5)^($A88/4)*((1-'3. Assumptions'!$B$13)/($X$6)-'2. The tape'!$H$5:$H$13/12-'3. Assumptions'!$B$16)-'2. The tape'!$C$5:$C$13*'2. The tape'!$I$5:$I$13*(1+$X$5)^($A88/4))&gt;0)*('2. The tape'!$C$5:$C$13*'2. The tape'!$D$5:$D$13*(1-'2. The tape'!$J$5:$J$13)^($A88/4)*(1+$X$5)^($A88/4)*((1-'3. Assumptions'!$B$13)/($X$6)-'2. The tape'!$H$5:$H$13/12-'3. Assumptions'!$B$16)-'2. The tape'!$C$5:$C$13*'2. The tape'!$I$5:$I$13*(1+$X$5)^($A88/4)))</f>
        <v>30945441.4306462</v>
      </c>
      <c r="Z88" s="33" t="n">
        <f aca="false">'2. The tape'!$C$17*(1+MIN(MAX($Z$5,'3. Assumptions'!$B$11),'3. Assumptions'!$B$10))^INT(($A88-1)/4)/4*(1-'3. Assumptions'!$B$13)</f>
        <v>2998091.25</v>
      </c>
      <c r="AA88" s="33" t="n">
        <f aca="false">(1-'3. Assumptions'!$B$15)*SUMPRODUCT((('2. The tape'!$C$5:$C$13*'2. The tape'!$D$5:$D$13*(1-'2. The tape'!$J$5:$J$13)^($A88/4)*(1+$Z$5)^($A88/4)*((1-'3. Assumptions'!$B$13)/($Z$6)-'2. The tape'!$H$5:$H$13/12-'3. Assumptions'!$B$16)-'2. The tape'!$C$5:$C$13*'2. The tape'!$I$5:$I$13*(1+$Z$5)^($A88/4))&gt;0)*('2. The tape'!$C$5:$C$13*'2. The tape'!$D$5:$D$13*(1-'2. The tape'!$J$5:$J$13)^($A88/4)*(1+$Z$5)^($A88/4)*((1-'3. Assumptions'!$B$13)/($Z$6)-'2. The tape'!$H$5:$H$13/12-'3. Assumptions'!$B$16)-'2. The tape'!$C$5:$C$13*'2. The tape'!$I$5:$I$13*(1+$Z$5)^($A88/4)))</f>
        <v>30945441.4304692</v>
      </c>
      <c r="AB88" s="33" t="n">
        <f aca="false">'2. The tape'!$C$17*(1+MIN(MAX($AB$5,'3. Assumptions'!$B$11),'3. Assumptions'!$B$10))^INT(($A88-1)/4)/4*(1-'3. Assumptions'!$B$13)</f>
        <v>2998091.25</v>
      </c>
      <c r="AC88" s="33" t="n">
        <f aca="false">(1-'3. Assumptions'!$B$15)*SUMPRODUCT((('2. The tape'!$C$5:$C$13*'2. The tape'!$D$5:$D$13*(1-'2. The tape'!$J$5:$J$13)^($A88/4)*(1+$AB$5)^($A88/4)*((1-'3. Assumptions'!$B$13)/($AB$6)-'2. The tape'!$H$5:$H$13/12-'3. Assumptions'!$B$16)-'2. The tape'!$C$5:$C$13*'2. The tape'!$I$5:$I$13*(1+$AB$5)^($A88/4))&gt;0)*('2. The tape'!$C$5:$C$13*'2. The tape'!$D$5:$D$13*(1-'2. The tape'!$J$5:$J$13)^($A88/4)*(1+$AB$5)^($A88/4)*((1-'3. Assumptions'!$B$13)/($AB$6)-'2. The tape'!$H$5:$H$13/12-'3. Assumptions'!$B$16)-'2. The tape'!$C$5:$C$13*'2. The tape'!$I$5:$I$13*(1+$AB$5)^($A88/4)))</f>
        <v>30945441.4304692</v>
      </c>
      <c r="AD88" s="33" t="n">
        <f aca="false">'2. The tape'!$C$17*(1+MIN(MAX($AD$5,'3. Assumptions'!$B$11),'3. Assumptions'!$B$10))^INT(($A88-1)/4)/4*(1-'3. Assumptions'!$B$13)</f>
        <v>2998091.25</v>
      </c>
      <c r="AE88" s="33" t="n">
        <f aca="false">(1-'3. Assumptions'!$B$15)*SUMPRODUCT((('2. The tape'!$C$5:$C$13*'2. The tape'!$D$5:$D$13*(1-'2. The tape'!$J$5:$J$13)^($A88/4)*(1+$AD$5)^($A88/4)*((1-'3. Assumptions'!$B$13)/($AD$6)-'2. The tape'!$H$5:$H$13/12-'3. Assumptions'!$B$16)-'2. The tape'!$C$5:$C$13*'2. The tape'!$I$5:$I$13*(1+$AD$5)^($A88/4))&gt;0)*('2. The tape'!$C$5:$C$13*'2. The tape'!$D$5:$D$13*(1-'2. The tape'!$J$5:$J$13)^($A88/4)*(1+$AD$5)^($A88/4)*((1-'3. Assumptions'!$B$13)/($AD$6)-'2. The tape'!$H$5:$H$13/12-'3. Assumptions'!$B$16)-'2. The tape'!$C$5:$C$13*'2. The tape'!$I$5:$I$13*(1+$AD$5)^($A88/4)))</f>
        <v>30945441.4304692</v>
      </c>
      <c r="AF88" s="33" t="n">
        <f aca="false">'2. The tape'!$C$17*(1+MIN(MAX($AF$5,'3. Assumptions'!$B$11),'3. Assumptions'!$B$10))^INT(($A88-1)/4)/4*(1-'3. Assumptions'!$B$13)</f>
        <v>2998091.25</v>
      </c>
      <c r="AG88" s="33" t="n">
        <f aca="false">(1-'3. Assumptions'!$B$15)*SUMPRODUCT((('2. The tape'!$C$5:$C$13*'2. The tape'!$D$5:$D$13*(1-'2. The tape'!$J$5:$J$13)^($A88/4)*(1+$AF$5)^($A88/4)*((1-'3. Assumptions'!$B$13)/($AF$6)-'2. The tape'!$H$5:$H$13/12-'3. Assumptions'!$B$16)-'2. The tape'!$C$5:$C$13*'2. The tape'!$I$5:$I$13*(1+$AF$5)^($A88/4))&gt;0)*('2. The tape'!$C$5:$C$13*'2. The tape'!$D$5:$D$13*(1-'2. The tape'!$J$5:$J$13)^($A88/4)*(1+$AF$5)^($A88/4)*((1-'3. Assumptions'!$B$13)/($AF$6)-'2. The tape'!$H$5:$H$13/12-'3. Assumptions'!$B$16)-'2. The tape'!$C$5:$C$13*'2. The tape'!$I$5:$I$13*(1+$AF$5)^($A88/4)))</f>
        <v>30945441.4304692</v>
      </c>
      <c r="AH88" s="33" t="n">
        <f aca="false">'2. The tape'!$C$17*(1+MIN(MAX($AH$5,'3. Assumptions'!$B$11),'3. Assumptions'!$B$10))^INT(($A88-1)/4)/4*(1-'3. Assumptions'!$B$13)</f>
        <v>4435687.79978068</v>
      </c>
      <c r="AI88" s="33" t="n">
        <f aca="false">(1-'3. Assumptions'!$B$15)*SUMPRODUCT((('2. The tape'!$C$5:$C$13*'2. The tape'!$D$5:$D$13*(1-'2. The tape'!$J$5:$J$13)^($A88/4)*(1+$AH$5)^($A88/4)*((1-'3. Assumptions'!$B$13)/($AH$6)-'2. The tape'!$H$5:$H$13/12-'3. Assumptions'!$B$16)-'2. The tape'!$C$5:$C$13*'2. The tape'!$I$5:$I$13*(1+$AH$5)^($A88/4))&gt;0)*('2. The tape'!$C$5:$C$13*'2. The tape'!$D$5:$D$13*(1-'2. The tape'!$J$5:$J$13)^($A88/4)*(1+$AH$5)^($A88/4)*((1-'3. Assumptions'!$B$13)/($AH$6)-'2. The tape'!$H$5:$H$13/12-'3. Assumptions'!$B$16)-'2. The tape'!$C$5:$C$13*'2. The tape'!$I$5:$I$13*(1+$AH$5)^($A88/4)))</f>
        <v>151461429.255155</v>
      </c>
      <c r="AJ88" s="33" t="n">
        <f aca="false">'2. The tape'!$C$17*(1+MIN(MAX($AJ$5,'3. Assumptions'!$B$11),'3. Assumptions'!$B$10))^INT(($A88-1)/4)/4*(1-'3. Assumptions'!$B$13)</f>
        <v>4435687.79978068</v>
      </c>
      <c r="AK88" s="33" t="n">
        <f aca="false">(1-'3. Assumptions'!$B$15)*SUMPRODUCT((('2. The tape'!$C$5:$C$13*'2. The tape'!$D$5:$D$13*(1-'2. The tape'!$J$5:$J$13)^($A88/4)*(1+$AJ$5)^($A88/4)*((1-'3. Assumptions'!$B$13)/($AJ$6)-'2. The tape'!$H$5:$H$13/12-'3. Assumptions'!$B$16)-'2. The tape'!$C$5:$C$13*'2. The tape'!$I$5:$I$13*(1+$AJ$5)^($A88/4))&gt;0)*('2. The tape'!$C$5:$C$13*'2. The tape'!$D$5:$D$13*(1-'2. The tape'!$J$5:$J$13)^($A88/4)*(1+$AJ$5)^($A88/4)*((1-'3. Assumptions'!$B$13)/($AJ$6)-'2. The tape'!$H$5:$H$13/12-'3. Assumptions'!$B$16)-'2. The tape'!$C$5:$C$13*'2. The tape'!$I$5:$I$13*(1+$AJ$5)^($A88/4)))</f>
        <v>108467520.43779</v>
      </c>
      <c r="AL88" s="33" t="n">
        <f aca="false">'2. The tape'!$C$17*(1+MIN(MAX($AL$5,'3. Assumptions'!$B$11),'3. Assumptions'!$B$10))^INT(($A88-1)/4)/4*(1-'3. Assumptions'!$B$13)</f>
        <v>4435687.79978068</v>
      </c>
      <c r="AM88" s="33" t="n">
        <f aca="false">(1-'3. Assumptions'!$B$15)*SUMPRODUCT((('2. The tape'!$C$5:$C$13*'2. The tape'!$D$5:$D$13*(1-'2. The tape'!$J$5:$J$13)^($A88/4)*(1+$AL$5)^($A88/4)*((1-'3. Assumptions'!$B$13)/($AL$6)-'2. The tape'!$H$5:$H$13/12-'3. Assumptions'!$B$16)-'2. The tape'!$C$5:$C$13*'2. The tape'!$I$5:$I$13*(1+$AL$5)^($A88/4))&gt;0)*('2. The tape'!$C$5:$C$13*'2. The tape'!$D$5:$D$13*(1-'2. The tape'!$J$5:$J$13)^($A88/4)*(1+$AL$5)^($A88/4)*((1-'3. Assumptions'!$B$13)/($AL$6)-'2. The tape'!$H$5:$H$13/12-'3. Assumptions'!$B$16)-'2. The tape'!$C$5:$C$13*'2. The tape'!$I$5:$I$13*(1+$AL$5)^($A88/4)))</f>
        <v>125142426.360385</v>
      </c>
      <c r="AN88" s="33" t="n">
        <f aca="false">'2. The tape'!$C$17*(1+MIN(MAX($AN$5,'3. Assumptions'!$B$11),'3. Assumptions'!$B$10))^INT(($A88-1)/4)/4*(1-'3. Assumptions'!$B$13)</f>
        <v>4435687.79978068</v>
      </c>
      <c r="AO88" s="33" t="n">
        <f aca="false">(1-'3. Assumptions'!$B$15)*SUMPRODUCT((('2. The tape'!$C$5:$C$13*'2. The tape'!$D$5:$D$13*(1-'2. The tape'!$J$5:$J$13)^($A88/4)*(1+$AN$5)^($A88/4)*((1-'3. Assumptions'!$B$13)/($AN$6)-'2. The tape'!$H$5:$H$13/12-'3. Assumptions'!$B$16)-'2. The tape'!$C$5:$C$13*'2. The tape'!$I$5:$I$13*(1+$AN$5)^($A88/4))&gt;0)*('2. The tape'!$C$5:$C$13*'2. The tape'!$D$5:$D$13*(1-'2. The tape'!$J$5:$J$13)^($A88/4)*(1+$AN$5)^($A88/4)*((1-'3. Assumptions'!$B$13)/($AN$6)-'2. The tape'!$H$5:$H$13/12-'3. Assumptions'!$B$16)-'2. The tape'!$C$5:$C$13*'2. The tape'!$I$5:$I$13*(1+$AN$5)^($A88/4)))</f>
        <v>128264480.821438</v>
      </c>
      <c r="AP88" s="33" t="n">
        <f aca="false">'2. The tape'!$C$17*(1+MIN(MAX($AP$5,'3. Assumptions'!$B$11),'3. Assumptions'!$B$10))^INT(($A88-1)/4)/4*(1-'3. Assumptions'!$B$13)</f>
        <v>4435687.79978068</v>
      </c>
      <c r="AQ88" s="33" t="n">
        <f aca="false">(1-'3. Assumptions'!$B$15)*SUMPRODUCT((('2. The tape'!$C$5:$C$13*'2. The tape'!$D$5:$D$13*(1-'2. The tape'!$J$5:$J$13)^($A88/4)*(1+$AP$5)^($A88/4)*((1-'3. Assumptions'!$B$13)/($AP$6)-'2. The tape'!$H$5:$H$13/12-'3. Assumptions'!$B$16)-'2. The tape'!$C$5:$C$13*'2. The tape'!$I$5:$I$13*(1+$AP$5)^($A88/4))&gt;0)*('2. The tape'!$C$5:$C$13*'2. The tape'!$D$5:$D$13*(1-'2. The tape'!$J$5:$J$13)^($A88/4)*(1+$AP$5)^($A88/4)*((1-'3. Assumptions'!$B$13)/($AP$6)-'2. The tape'!$H$5:$H$13/12-'3. Assumptions'!$B$16)-'2. The tape'!$C$5:$C$13*'2. The tape'!$I$5:$I$13*(1+$AP$5)^($A88/4)))</f>
        <v>127879069.604794</v>
      </c>
      <c r="AR88" s="33" t="n">
        <f aca="false">'2. The tape'!$C$17*(1+MIN(MAX($AR$5,'3. Assumptions'!$B$11),'3. Assumptions'!$B$10))^INT(($A88-1)/4)/4*(1-'3. Assumptions'!$B$13)</f>
        <v>4435687.79978068</v>
      </c>
      <c r="AS88" s="33" t="n">
        <f aca="false">(1-'3. Assumptions'!$B$15)*SUMPRODUCT((('2. The tape'!$C$5:$C$13*'2. The tape'!$D$5:$D$13*(1-'2. The tape'!$J$5:$J$13)^($A88/4)*(1+$AR$5)^($A88/4)*((1-'3. Assumptions'!$B$13)/($AR$6)-'2. The tape'!$H$5:$H$13/12-'3. Assumptions'!$B$16)-'2. The tape'!$C$5:$C$13*'2. The tape'!$I$5:$I$13*(1+$AR$5)^($A88/4))&gt;0)*('2. The tape'!$C$5:$C$13*'2. The tape'!$D$5:$D$13*(1-'2. The tape'!$J$5:$J$13)^($A88/4)*(1+$AR$5)^($A88/4)*((1-'3. Assumptions'!$B$13)/($AR$6)-'2. The tape'!$H$5:$H$13/12-'3. Assumptions'!$B$16)-'2. The tape'!$C$5:$C$13*'2. The tape'!$I$5:$I$13*(1+$AR$5)^($A88/4)))</f>
        <v>127885536.252966</v>
      </c>
      <c r="AT88" s="33" t="n">
        <f aca="false">'2. The tape'!$C$17*(1+MIN(MAX($AT$5,'3. Assumptions'!$B$11),'3. Assumptions'!$B$10))^INT(($A88-1)/4)/4*(1-'3. Assumptions'!$B$13)</f>
        <v>4435687.79978068</v>
      </c>
      <c r="AU88" s="33" t="n">
        <f aca="false">(1-'3. Assumptions'!$B$15)*SUMPRODUCT((('2. The tape'!$C$5:$C$13*'2. The tape'!$D$5:$D$13*(1-'2. The tape'!$J$5:$J$13)^($A88/4)*(1+$AT$5)^($A88/4)*((1-'3. Assumptions'!$B$13)/($AT$6)-'2. The tape'!$H$5:$H$13/12-'3. Assumptions'!$B$16)-'2. The tape'!$C$5:$C$13*'2. The tape'!$I$5:$I$13*(1+$AT$5)^($A88/4))&gt;0)*('2. The tape'!$C$5:$C$13*'2. The tape'!$D$5:$D$13*(1-'2. The tape'!$J$5:$J$13)^($A88/4)*(1+$AT$5)^($A88/4)*((1-'3. Assumptions'!$B$13)/($AT$6)-'2. The tape'!$H$5:$H$13/12-'3. Assumptions'!$B$16)-'2. The tape'!$C$5:$C$13*'2. The tape'!$I$5:$I$13*(1+$AT$5)^($A88/4)))</f>
        <v>127885551.312163</v>
      </c>
      <c r="AV88" s="33" t="n">
        <f aca="false">'2. The tape'!$C$17*(1+MIN(MAX($AV$5,'3. Assumptions'!$B$11),'3. Assumptions'!$B$10))^INT(($A88-1)/4)/4*(1-'3. Assumptions'!$B$13)</f>
        <v>4435687.79978068</v>
      </c>
      <c r="AW88" s="33" t="n">
        <f aca="false">(1-'3. Assumptions'!$B$15)*SUMPRODUCT((('2. The tape'!$C$5:$C$13*'2. The tape'!$D$5:$D$13*(1-'2. The tape'!$J$5:$J$13)^($A88/4)*(1+$AV$5)^($A88/4)*((1-'3. Assumptions'!$B$13)/($AV$6)-'2. The tape'!$H$5:$H$13/12-'3. Assumptions'!$B$16)-'2. The tape'!$C$5:$C$13*'2. The tape'!$I$5:$I$13*(1+$AV$5)^($A88/4))&gt;0)*('2. The tape'!$C$5:$C$13*'2. The tape'!$D$5:$D$13*(1-'2. The tape'!$J$5:$J$13)^($A88/4)*(1+$AV$5)^($A88/4)*((1-'3. Assumptions'!$B$13)/($AV$6)-'2. The tape'!$H$5:$H$13/12-'3. Assumptions'!$B$16)-'2. The tape'!$C$5:$C$13*'2. The tape'!$I$5:$I$13*(1+$AV$5)^($A88/4)))</f>
        <v>127885551.311563</v>
      </c>
      <c r="AX88" s="33" t="n">
        <f aca="false">'2. The tape'!$C$17*(1+MIN(MAX($AX$5,'3. Assumptions'!$B$11),'3. Assumptions'!$B$10))^INT(($A88-1)/4)/4*(1-'3. Assumptions'!$B$13)</f>
        <v>4435687.79978068</v>
      </c>
      <c r="AY88" s="33" t="n">
        <f aca="false">(1-'3. Assumptions'!$B$15)*SUMPRODUCT((('2. The tape'!$C$5:$C$13*'2. The tape'!$D$5:$D$13*(1-'2. The tape'!$J$5:$J$13)^($A88/4)*(1+$AX$5)^($A88/4)*((1-'3. Assumptions'!$B$13)/($AX$6)-'2. The tape'!$H$5:$H$13/12-'3. Assumptions'!$B$16)-'2. The tape'!$C$5:$C$13*'2. The tape'!$I$5:$I$13*(1+$AX$5)^($A88/4))&gt;0)*('2. The tape'!$C$5:$C$13*'2. The tape'!$D$5:$D$13*(1-'2. The tape'!$J$5:$J$13)^($A88/4)*(1+$AX$5)^($A88/4)*((1-'3. Assumptions'!$B$13)/($AX$6)-'2. The tape'!$H$5:$H$13/12-'3. Assumptions'!$B$16)-'2. The tape'!$C$5:$C$13*'2. The tape'!$I$5:$I$13*(1+$AX$5)^($A88/4)))</f>
        <v>127885551.311563</v>
      </c>
      <c r="AZ88" s="33" t="n">
        <f aca="false">'2. The tape'!$C$17*(1+MIN(MAX($AZ$5,'3. Assumptions'!$B$11),'3. Assumptions'!$B$10))^INT(($A88-1)/4)/4*(1-'3. Assumptions'!$B$13)</f>
        <v>4435687.79978068</v>
      </c>
      <c r="BA88" s="33" t="n">
        <f aca="false">(1-'3. Assumptions'!$B$15)*SUMPRODUCT((('2. The tape'!$C$5:$C$13*'2. The tape'!$D$5:$D$13*(1-'2. The tape'!$J$5:$J$13)^($A88/4)*(1+$AZ$5)^($A88/4)*((1-'3. Assumptions'!$B$13)/($AZ$6)-'2. The tape'!$H$5:$H$13/12-'3. Assumptions'!$B$16)-'2. The tape'!$C$5:$C$13*'2. The tape'!$I$5:$I$13*(1+$AZ$5)^($A88/4))&gt;0)*('2. The tape'!$C$5:$C$13*'2. The tape'!$D$5:$D$13*(1-'2. The tape'!$J$5:$J$13)^($A88/4)*(1+$AZ$5)^($A88/4)*((1-'3. Assumptions'!$B$13)/($AZ$6)-'2. The tape'!$H$5:$H$13/12-'3. Assumptions'!$B$16)-'2. The tape'!$C$5:$C$13*'2. The tape'!$I$5:$I$13*(1+$AZ$5)^($A88/4)))</f>
        <v>127885551.311563</v>
      </c>
    </row>
    <row r="89" customFormat="false" ht="15" hidden="false" customHeight="false" outlineLevel="0" collapsed="false">
      <c r="A89" s="20" t="n">
        <v>74</v>
      </c>
      <c r="B89" s="33" t="n">
        <f aca="false">'2. The tape'!$C$17*(1+MIN(MAX($B$5,'3. Assumptions'!$B$11),'3. Assumptions'!$B$10))^INT(($A89-1)/4)/4*(1-'3. Assumptions'!$B$13)</f>
        <v>4435687.79978068</v>
      </c>
      <c r="C89" s="33" t="n">
        <f aca="false">(1-'3. Assumptions'!$B$15)*SUMPRODUCT((('2. The tape'!$C$5:$C$13*'2. The tape'!$D$5:$D$13*(1-'2. The tape'!$J$5:$J$13)^($A89/4)*(1+$B$5)^($A89/4)*((1-'3. Assumptions'!$B$13)/($B$6)-'2. The tape'!$H$5:$H$13/12-'3. Assumptions'!$B$16)-'2. The tape'!$C$5:$C$13*'2. The tape'!$I$5:$I$13*(1+$B$5)^($A89/4))&gt;0)*('2. The tape'!$C$5:$C$13*'2. The tape'!$D$5:$D$13*(1-'2. The tape'!$J$5:$J$13)^($A89/4)*(1+$B$5)^($A89/4)*((1-'3. Assumptions'!$B$13)/($B$6)-'2. The tape'!$H$5:$H$13/12-'3. Assumptions'!$B$16)-'2. The tape'!$C$5:$C$13*'2. The tape'!$I$5:$I$13*(1+$B$5)^($A89/4)))</f>
        <v>74637411.2720519</v>
      </c>
      <c r="D89" s="33" t="n">
        <f aca="false">'2. The tape'!$C$17*(1+MIN(MAX($D$5,'3. Assumptions'!$B$11),'3. Assumptions'!$B$10))^INT(($A89-1)/4)/4*(1-'3. Assumptions'!$B$13)</f>
        <v>5104049.66461407</v>
      </c>
      <c r="E89" s="33" t="n">
        <f aca="false">(1-'3. Assumptions'!$B$15)*SUMPRODUCT((('2. The tape'!$C$5:$C$13*'2. The tape'!$D$5:$D$13*(1-'2. The tape'!$J$5:$J$13)^($A89/4)*(1+$D$5)^($A89/4)*((1-'3. Assumptions'!$B$13)/($D$6)-'2. The tape'!$H$5:$H$13/12-'3. Assumptions'!$B$16)-'2. The tape'!$C$5:$C$13*'2. The tape'!$I$5:$I$13*(1+$D$5)^($A89/4))&gt;0)*('2. The tape'!$C$5:$C$13*'2. The tape'!$D$5:$D$13*(1-'2. The tape'!$J$5:$J$13)^($A89/4)*(1+$D$5)^($A89/4)*((1-'3. Assumptions'!$B$13)/($D$6)-'2. The tape'!$H$5:$H$13/12-'3. Assumptions'!$B$16)-'2. The tape'!$C$5:$C$13*'2. The tape'!$I$5:$I$13*(1+$D$5)^($A89/4)))</f>
        <v>94299950.9414329</v>
      </c>
      <c r="F89" s="33" t="n">
        <f aca="false">'2. The tape'!$C$17*(1+MIN(MAX($F$5,'3. Assumptions'!$B$11),'3. Assumptions'!$B$10))^INT(($A89-1)/4)/4*(1-'3. Assumptions'!$B$13)</f>
        <v>3586159.28056578</v>
      </c>
      <c r="G89" s="33" t="n">
        <f aca="false">(1-'3. Assumptions'!$B$15)*SUMPRODUCT((('2. The tape'!$C$5:$C$13*'2. The tape'!$D$5:$D$13*(1-'2. The tape'!$J$5:$J$13)^($A89/4)*(1+$F$5)^($A89/4)*((1-'3. Assumptions'!$B$13)/($F$6)-'2. The tape'!$H$5:$H$13/12-'3. Assumptions'!$B$16)-'2. The tape'!$C$5:$C$13*'2. The tape'!$I$5:$I$13*(1+$F$5)^($A89/4))&gt;0)*('2. The tape'!$C$5:$C$13*'2. The tape'!$D$5:$D$13*(1-'2. The tape'!$J$5:$J$13)^($A89/4)*(1+$F$5)^($A89/4)*((1-'3. Assumptions'!$B$13)/($F$6)-'2. The tape'!$H$5:$H$13/12-'3. Assumptions'!$B$16)-'2. The tape'!$C$5:$C$13*'2. The tape'!$I$5:$I$13*(1+$F$5)^($A89/4)))</f>
        <v>59987451.3338744</v>
      </c>
      <c r="H89" s="33" t="n">
        <f aca="false">'2. The tape'!$C$17*(1+MIN(MAX($H$5,'3. Assumptions'!$B$11),'3. Assumptions'!$B$10))^INT(($A89-1)/4)/4*(1-'3. Assumptions'!$B$13)</f>
        <v>5104049.66461407</v>
      </c>
      <c r="I89" s="33" t="n">
        <f aca="false">(1-'3. Assumptions'!$B$15)*SUMPRODUCT((('2. The tape'!$C$5:$C$13*'2. The tape'!$D$5:$D$13*(1-'2. The tape'!$J$5:$J$13)^($A89/4)*(1+$H$5)^($A89/4)*((1-'3. Assumptions'!$B$13)/($H$6)-'2. The tape'!$H$5:$H$13/12-'3. Assumptions'!$B$16)-'2. The tape'!$C$5:$C$13*'2. The tape'!$I$5:$I$13*(1+$H$5)^($A89/4))&gt;0)*('2. The tape'!$C$5:$C$13*'2. The tape'!$D$5:$D$13*(1-'2. The tape'!$J$5:$J$13)^($A89/4)*(1+$H$5)^($A89/4)*((1-'3. Assumptions'!$B$13)/($H$6)-'2. The tape'!$H$5:$H$13/12-'3. Assumptions'!$B$16)-'2. The tape'!$C$5:$C$13*'2. The tape'!$I$5:$I$13*(1+$H$5)^($A89/4)))</f>
        <v>94299950.9414329</v>
      </c>
      <c r="J89" s="33" t="n">
        <f aca="false">'2. The tape'!$C$17*(1+MIN(MAX($J$5,'3. Assumptions'!$B$11),'3. Assumptions'!$B$10))^INT(($A89-1)/4)/4*(1-'3. Assumptions'!$B$13)</f>
        <v>4435687.79978068</v>
      </c>
      <c r="K89" s="33" t="n">
        <f aca="false">(1-'3. Assumptions'!$B$15)*SUMPRODUCT((('2. The tape'!$C$5:$C$13*'2. The tape'!$D$5:$D$13*(1-'2. The tape'!$J$5:$J$13)^($A89/4)*(1+$J$5)^($A89/4)*((1-'3. Assumptions'!$B$13)/($J$6)-'2. The tape'!$H$5:$H$13/12-'3. Assumptions'!$B$16)-'2. The tape'!$C$5:$C$13*'2. The tape'!$I$5:$I$13*(1+$J$5)^($A89/4))&gt;0)*('2. The tape'!$C$5:$C$13*'2. The tape'!$D$5:$D$13*(1-'2. The tape'!$J$5:$J$13)^($A89/4)*(1+$J$5)^($A89/4)*((1-'3. Assumptions'!$B$13)/($J$6)-'2. The tape'!$H$5:$H$13/12-'3. Assumptions'!$B$16)-'2. The tape'!$C$5:$C$13*'2. The tape'!$I$5:$I$13*(1+$J$5)^($A89/4)))</f>
        <v>60586709.7281107</v>
      </c>
      <c r="L89" s="33" t="n">
        <f aca="false">'2. The tape'!$C$17*(1+MIN(MAX($L$5,'3. Assumptions'!$B$11),'3. Assumptions'!$B$10))^INT(($A89-1)/4)/4*(1-'3. Assumptions'!$B$13)</f>
        <v>5104049.66461407</v>
      </c>
      <c r="M89" s="33" t="n">
        <f aca="false">(1-'3. Assumptions'!$B$15)*SUMPRODUCT((('2. The tape'!$C$5:$C$13*'2. The tape'!$D$5:$D$13*(1-'2. The tape'!$J$5:$J$13)^($A89/4)*(1+$L$5)^($A89/4)*((1-'3. Assumptions'!$B$13)/($L$6)-'2. The tape'!$H$5:$H$13/12-'3. Assumptions'!$B$16)-'2. The tape'!$C$5:$C$13*'2. The tape'!$I$5:$I$13*(1+$L$5)^($A89/4))&gt;0)*('2. The tape'!$C$5:$C$13*'2. The tape'!$D$5:$D$13*(1-'2. The tape'!$J$5:$J$13)^($A89/4)*(1+$L$5)^($A89/4)*((1-'3. Assumptions'!$B$13)/($L$6)-'2. The tape'!$H$5:$H$13/12-'3. Assumptions'!$B$16)-'2. The tape'!$C$5:$C$13*'2. The tape'!$I$5:$I$13*(1+$L$5)^($A89/4)))</f>
        <v>6398335566.42316</v>
      </c>
      <c r="N89" s="33" t="n">
        <f aca="false">'2. The tape'!$C$17*(1+MIN(MAX($N$5,'3. Assumptions'!$B$11),'3. Assumptions'!$B$10))^INT(($A89-1)/4)/4*(1-'3. Assumptions'!$B$13)</f>
        <v>2998091.25</v>
      </c>
      <c r="O89" s="33" t="n">
        <f aca="false">(1-'3. Assumptions'!$B$15)*SUMPRODUCT((('2. The tape'!$C$5:$C$13*'2. The tape'!$D$5:$D$13*(1-'2. The tape'!$J$5:$J$13)^($A89/4)*(1+$N$5)^($A89/4)*((1-'3. Assumptions'!$B$13)/($N$6)-'2. The tape'!$H$5:$H$13/12-'3. Assumptions'!$B$16)-'2. The tape'!$C$5:$C$13*'2. The tape'!$I$5:$I$13*(1+$N$5)^($A89/4))&gt;0)*('2. The tape'!$C$5:$C$13*'2. The tape'!$D$5:$D$13*(1-'2. The tape'!$J$5:$J$13)^($A89/4)*(1+$N$5)^($A89/4)*((1-'3. Assumptions'!$B$13)/($N$6)-'2. The tape'!$H$5:$H$13/12-'3. Assumptions'!$B$16)-'2. The tape'!$C$5:$C$13*'2. The tape'!$I$5:$I$13*(1+$N$5)^($A89/4)))</f>
        <v>28404822.4878565</v>
      </c>
      <c r="P89" s="33" t="n">
        <f aca="false">'2. The tape'!$C$17*(1+MIN(MAX($P$5,'3. Assumptions'!$B$11),'3. Assumptions'!$B$10))^INT(($A89-1)/4)/4*(1-'3. Assumptions'!$B$13)</f>
        <v>2998091.25</v>
      </c>
      <c r="Q89" s="33" t="n">
        <f aca="false">(1-'3. Assumptions'!$B$15)*SUMPRODUCT((('2. The tape'!$C$5:$C$13*'2. The tape'!$D$5:$D$13*(1-'2. The tape'!$J$5:$J$13)^($A89/4)*(1+$P$5)^($A89/4)*((1-'3. Assumptions'!$B$13)/($P$6)-'2. The tape'!$H$5:$H$13/12-'3. Assumptions'!$B$16)-'2. The tape'!$C$5:$C$13*'2. The tape'!$I$5:$I$13*(1+$P$5)^($A89/4))&gt;0)*('2. The tape'!$C$5:$C$13*'2. The tape'!$D$5:$D$13*(1-'2. The tape'!$J$5:$J$13)^($A89/4)*(1+$P$5)^($A89/4)*((1-'3. Assumptions'!$B$13)/($P$6)-'2. The tape'!$H$5:$H$13/12-'3. Assumptions'!$B$16)-'2. The tape'!$C$5:$C$13*'2. The tape'!$I$5:$I$13*(1+$P$5)^($A89/4)))</f>
        <v>34339771.1001399</v>
      </c>
      <c r="R89" s="33" t="n">
        <f aca="false">'2. The tape'!$C$17*(1+MIN(MAX($R$5,'3. Assumptions'!$B$11),'3. Assumptions'!$B$10))^INT(($A89-1)/4)/4*(1-'3. Assumptions'!$B$13)</f>
        <v>2998091.25</v>
      </c>
      <c r="S89" s="33" t="n">
        <f aca="false">(1-'3. Assumptions'!$B$15)*SUMPRODUCT((('2. The tape'!$C$5:$C$13*'2. The tape'!$D$5:$D$13*(1-'2. The tape'!$J$5:$J$13)^($A89/4)*(1+$R$5)^($A89/4)*((1-'3. Assumptions'!$B$13)/($R$6)-'2. The tape'!$H$5:$H$13/12-'3. Assumptions'!$B$16)-'2. The tape'!$C$5:$C$13*'2. The tape'!$I$5:$I$13*(1+$R$5)^($A89/4))&gt;0)*('2. The tape'!$C$5:$C$13*'2. The tape'!$D$5:$D$13*(1-'2. The tape'!$J$5:$J$13)^($A89/4)*(1+$R$5)^($A89/4)*((1-'3. Assumptions'!$B$13)/($R$6)-'2. The tape'!$H$5:$H$13/12-'3. Assumptions'!$B$16)-'2. The tape'!$C$5:$C$13*'2. The tape'!$I$5:$I$13*(1+$R$5)^($A89/4)))</f>
        <v>30620644.5495201</v>
      </c>
      <c r="T89" s="33" t="n">
        <f aca="false">'2. The tape'!$C$17*(1+MIN(MAX($T$5,'3. Assumptions'!$B$11),'3. Assumptions'!$B$10))^INT(($A89-1)/4)/4*(1-'3. Assumptions'!$B$13)</f>
        <v>2998091.25</v>
      </c>
      <c r="U89" s="33" t="n">
        <f aca="false">(1-'3. Assumptions'!$B$15)*SUMPRODUCT((('2. The tape'!$C$5:$C$13*'2. The tape'!$D$5:$D$13*(1-'2. The tape'!$J$5:$J$13)^($A89/4)*(1+$T$5)^($A89/4)*((1-'3. Assumptions'!$B$13)/($T$6)-'2. The tape'!$H$5:$H$13/12-'3. Assumptions'!$B$16)-'2. The tape'!$C$5:$C$13*'2. The tape'!$I$5:$I$13*(1+$T$5)^($A89/4))&gt;0)*('2. The tape'!$C$5:$C$13*'2. The tape'!$D$5:$D$13*(1-'2. The tape'!$J$5:$J$13)^($A89/4)*(1+$T$5)^($A89/4)*((1-'3. Assumptions'!$B$13)/($T$6)-'2. The tape'!$H$5:$H$13/12-'3. Assumptions'!$B$16)-'2. The tape'!$C$5:$C$13*'2. The tape'!$I$5:$I$13*(1+$T$5)^($A89/4)))</f>
        <v>30525283.5161317</v>
      </c>
      <c r="V89" s="33" t="n">
        <f aca="false">'2. The tape'!$C$17*(1+MIN(MAX($V$5,'3. Assumptions'!$B$11),'3. Assumptions'!$B$10))^INT(($A89-1)/4)/4*(1-'3. Assumptions'!$B$13)</f>
        <v>2998091.25</v>
      </c>
      <c r="W89" s="33" t="n">
        <f aca="false">(1-'3. Assumptions'!$B$15)*SUMPRODUCT((('2. The tape'!$C$5:$C$13*'2. The tape'!$D$5:$D$13*(1-'2. The tape'!$J$5:$J$13)^($A89/4)*(1+$V$5)^($A89/4)*((1-'3. Assumptions'!$B$13)/($V$6)-'2. The tape'!$H$5:$H$13/12-'3. Assumptions'!$B$16)-'2. The tape'!$C$5:$C$13*'2. The tape'!$I$5:$I$13*(1+$V$5)^($A89/4))&gt;0)*('2. The tape'!$C$5:$C$13*'2. The tape'!$D$5:$D$13*(1-'2. The tape'!$J$5:$J$13)^($A89/4)*(1+$V$5)^($A89/4)*((1-'3. Assumptions'!$B$13)/($V$6)-'2. The tape'!$H$5:$H$13/12-'3. Assumptions'!$B$16)-'2. The tape'!$C$5:$C$13*'2. The tape'!$I$5:$I$13*(1+$V$5)^($A89/4)))</f>
        <v>30529109.6077668</v>
      </c>
      <c r="X89" s="33" t="n">
        <f aca="false">'2. The tape'!$C$17*(1+MIN(MAX($X$5,'3. Assumptions'!$B$11),'3. Assumptions'!$B$10))^INT(($A89-1)/4)/4*(1-'3. Assumptions'!$B$13)</f>
        <v>2998091.25</v>
      </c>
      <c r="Y89" s="33" t="n">
        <f aca="false">(1-'3. Assumptions'!$B$15)*SUMPRODUCT((('2. The tape'!$C$5:$C$13*'2. The tape'!$D$5:$D$13*(1-'2. The tape'!$J$5:$J$13)^($A89/4)*(1+$X$5)^($A89/4)*((1-'3. Assumptions'!$B$13)/($X$6)-'2. The tape'!$H$5:$H$13/12-'3. Assumptions'!$B$16)-'2. The tape'!$C$5:$C$13*'2. The tape'!$I$5:$I$13*(1+$X$5)^($A89/4))&gt;0)*('2. The tape'!$C$5:$C$13*'2. The tape'!$D$5:$D$13*(1-'2. The tape'!$J$5:$J$13)^($A89/4)*(1+$X$5)^($A89/4)*((1-'3. Assumptions'!$B$13)/($X$6)-'2. The tape'!$H$5:$H$13/12-'3. Assumptions'!$B$16)-'2. The tape'!$C$5:$C$13*'2. The tape'!$I$5:$I$13*(1+$X$5)^($A89/4)))</f>
        <v>30529105.5841552</v>
      </c>
      <c r="Z89" s="33" t="n">
        <f aca="false">'2. The tape'!$C$17*(1+MIN(MAX($Z$5,'3. Assumptions'!$B$11),'3. Assumptions'!$B$10))^INT(($A89-1)/4)/4*(1-'3. Assumptions'!$B$13)</f>
        <v>2998091.25</v>
      </c>
      <c r="AA89" s="33" t="n">
        <f aca="false">(1-'3. Assumptions'!$B$15)*SUMPRODUCT((('2. The tape'!$C$5:$C$13*'2. The tape'!$D$5:$D$13*(1-'2. The tape'!$J$5:$J$13)^($A89/4)*(1+$Z$5)^($A89/4)*((1-'3. Assumptions'!$B$13)/($Z$6)-'2. The tape'!$H$5:$H$13/12-'3. Assumptions'!$B$16)-'2. The tape'!$C$5:$C$13*'2. The tape'!$I$5:$I$13*(1+$Z$5)^($A89/4))&gt;0)*('2. The tape'!$C$5:$C$13*'2. The tape'!$D$5:$D$13*(1-'2. The tape'!$J$5:$J$13)^($A89/4)*(1+$Z$5)^($A89/4)*((1-'3. Assumptions'!$B$13)/($Z$6)-'2. The tape'!$H$5:$H$13/12-'3. Assumptions'!$B$16)-'2. The tape'!$C$5:$C$13*'2. The tape'!$I$5:$I$13*(1+$Z$5)^($A89/4)))</f>
        <v>30529105.5839781</v>
      </c>
      <c r="AB89" s="33" t="n">
        <f aca="false">'2. The tape'!$C$17*(1+MIN(MAX($AB$5,'3. Assumptions'!$B$11),'3. Assumptions'!$B$10))^INT(($A89-1)/4)/4*(1-'3. Assumptions'!$B$13)</f>
        <v>2998091.25</v>
      </c>
      <c r="AC89" s="33" t="n">
        <f aca="false">(1-'3. Assumptions'!$B$15)*SUMPRODUCT((('2. The tape'!$C$5:$C$13*'2. The tape'!$D$5:$D$13*(1-'2. The tape'!$J$5:$J$13)^($A89/4)*(1+$AB$5)^($A89/4)*((1-'3. Assumptions'!$B$13)/($AB$6)-'2. The tape'!$H$5:$H$13/12-'3. Assumptions'!$B$16)-'2. The tape'!$C$5:$C$13*'2. The tape'!$I$5:$I$13*(1+$AB$5)^($A89/4))&gt;0)*('2. The tape'!$C$5:$C$13*'2. The tape'!$D$5:$D$13*(1-'2. The tape'!$J$5:$J$13)^($A89/4)*(1+$AB$5)^($A89/4)*((1-'3. Assumptions'!$B$13)/($AB$6)-'2. The tape'!$H$5:$H$13/12-'3. Assumptions'!$B$16)-'2. The tape'!$C$5:$C$13*'2. The tape'!$I$5:$I$13*(1+$AB$5)^($A89/4)))</f>
        <v>30529105.5839781</v>
      </c>
      <c r="AD89" s="33" t="n">
        <f aca="false">'2. The tape'!$C$17*(1+MIN(MAX($AD$5,'3. Assumptions'!$B$11),'3. Assumptions'!$B$10))^INT(($A89-1)/4)/4*(1-'3. Assumptions'!$B$13)</f>
        <v>2998091.25</v>
      </c>
      <c r="AE89" s="33" t="n">
        <f aca="false">(1-'3. Assumptions'!$B$15)*SUMPRODUCT((('2. The tape'!$C$5:$C$13*'2. The tape'!$D$5:$D$13*(1-'2. The tape'!$J$5:$J$13)^($A89/4)*(1+$AD$5)^($A89/4)*((1-'3. Assumptions'!$B$13)/($AD$6)-'2. The tape'!$H$5:$H$13/12-'3. Assumptions'!$B$16)-'2. The tape'!$C$5:$C$13*'2. The tape'!$I$5:$I$13*(1+$AD$5)^($A89/4))&gt;0)*('2. The tape'!$C$5:$C$13*'2. The tape'!$D$5:$D$13*(1-'2. The tape'!$J$5:$J$13)^($A89/4)*(1+$AD$5)^($A89/4)*((1-'3. Assumptions'!$B$13)/($AD$6)-'2. The tape'!$H$5:$H$13/12-'3. Assumptions'!$B$16)-'2. The tape'!$C$5:$C$13*'2. The tape'!$I$5:$I$13*(1+$AD$5)^($A89/4)))</f>
        <v>30529105.5839781</v>
      </c>
      <c r="AF89" s="33" t="n">
        <f aca="false">'2. The tape'!$C$17*(1+MIN(MAX($AF$5,'3. Assumptions'!$B$11),'3. Assumptions'!$B$10))^INT(($A89-1)/4)/4*(1-'3. Assumptions'!$B$13)</f>
        <v>2998091.25</v>
      </c>
      <c r="AG89" s="33" t="n">
        <f aca="false">(1-'3. Assumptions'!$B$15)*SUMPRODUCT((('2. The tape'!$C$5:$C$13*'2. The tape'!$D$5:$D$13*(1-'2. The tape'!$J$5:$J$13)^($A89/4)*(1+$AF$5)^($A89/4)*((1-'3. Assumptions'!$B$13)/($AF$6)-'2. The tape'!$H$5:$H$13/12-'3. Assumptions'!$B$16)-'2. The tape'!$C$5:$C$13*'2. The tape'!$I$5:$I$13*(1+$AF$5)^($A89/4))&gt;0)*('2. The tape'!$C$5:$C$13*'2. The tape'!$D$5:$D$13*(1-'2. The tape'!$J$5:$J$13)^($A89/4)*(1+$AF$5)^($A89/4)*((1-'3. Assumptions'!$B$13)/($AF$6)-'2. The tape'!$H$5:$H$13/12-'3. Assumptions'!$B$16)-'2. The tape'!$C$5:$C$13*'2. The tape'!$I$5:$I$13*(1+$AF$5)^($A89/4)))</f>
        <v>30529105.5839781</v>
      </c>
      <c r="AH89" s="33" t="n">
        <f aca="false">'2. The tape'!$C$17*(1+MIN(MAX($AH$5,'3. Assumptions'!$B$11),'3. Assumptions'!$B$10))^INT(($A89-1)/4)/4*(1-'3. Assumptions'!$B$13)</f>
        <v>4435687.79978068</v>
      </c>
      <c r="AI89" s="33" t="n">
        <f aca="false">(1-'3. Assumptions'!$B$15)*SUMPRODUCT((('2. The tape'!$C$5:$C$13*'2. The tape'!$D$5:$D$13*(1-'2. The tape'!$J$5:$J$13)^($A89/4)*(1+$AH$5)^($A89/4)*((1-'3. Assumptions'!$B$13)/($AH$6)-'2. The tape'!$H$5:$H$13/12-'3. Assumptions'!$B$16)-'2. The tape'!$C$5:$C$13*'2. The tape'!$I$5:$I$13*(1+$AH$5)^($A89/4))&gt;0)*('2. The tape'!$C$5:$C$13*'2. The tape'!$D$5:$D$13*(1-'2. The tape'!$J$5:$J$13)^($A89/4)*(1+$AH$5)^($A89/4)*((1-'3. Assumptions'!$B$13)/($AH$6)-'2. The tape'!$H$5:$H$13/12-'3. Assumptions'!$B$16)-'2. The tape'!$C$5:$C$13*'2. The tape'!$I$5:$I$13*(1+$AH$5)^($A89/4)))</f>
        <v>151354241.701971</v>
      </c>
      <c r="AJ89" s="33" t="n">
        <f aca="false">'2. The tape'!$C$17*(1+MIN(MAX($AJ$5,'3. Assumptions'!$B$11),'3. Assumptions'!$B$10))^INT(($A89-1)/4)/4*(1-'3. Assumptions'!$B$13)</f>
        <v>4435687.79978068</v>
      </c>
      <c r="AK89" s="33" t="n">
        <f aca="false">(1-'3. Assumptions'!$B$15)*SUMPRODUCT((('2. The tape'!$C$5:$C$13*'2. The tape'!$D$5:$D$13*(1-'2. The tape'!$J$5:$J$13)^($A89/4)*(1+$AJ$5)^($A89/4)*((1-'3. Assumptions'!$B$13)/($AJ$6)-'2. The tape'!$H$5:$H$13/12-'3. Assumptions'!$B$16)-'2. The tape'!$C$5:$C$13*'2. The tape'!$I$5:$I$13*(1+$AJ$5)^($A89/4))&gt;0)*('2. The tape'!$C$5:$C$13*'2. The tape'!$D$5:$D$13*(1-'2. The tape'!$J$5:$J$13)^($A89/4)*(1+$AJ$5)^($A89/4)*((1-'3. Assumptions'!$B$13)/($AJ$6)-'2. The tape'!$H$5:$H$13/12-'3. Assumptions'!$B$16)-'2. The tape'!$C$5:$C$13*'2. The tape'!$I$5:$I$13*(1+$AJ$5)^($A89/4)))</f>
        <v>108359094.977511</v>
      </c>
      <c r="AL89" s="33" t="n">
        <f aca="false">'2. The tape'!$C$17*(1+MIN(MAX($AL$5,'3. Assumptions'!$B$11),'3. Assumptions'!$B$10))^INT(($A89-1)/4)/4*(1-'3. Assumptions'!$B$13)</f>
        <v>4435687.79978068</v>
      </c>
      <c r="AM89" s="33" t="n">
        <f aca="false">(1-'3. Assumptions'!$B$15)*SUMPRODUCT((('2. The tape'!$C$5:$C$13*'2. The tape'!$D$5:$D$13*(1-'2. The tape'!$J$5:$J$13)^($A89/4)*(1+$AL$5)^($A89/4)*((1-'3. Assumptions'!$B$13)/($AL$6)-'2. The tape'!$H$5:$H$13/12-'3. Assumptions'!$B$16)-'2. The tape'!$C$5:$C$13*'2. The tape'!$I$5:$I$13*(1+$AL$5)^($A89/4))&gt;0)*('2. The tape'!$C$5:$C$13*'2. The tape'!$D$5:$D$13*(1-'2. The tape'!$J$5:$J$13)^($A89/4)*(1+$AL$5)^($A89/4)*((1-'3. Assumptions'!$B$13)/($AL$6)-'2. The tape'!$H$5:$H$13/12-'3. Assumptions'!$B$16)-'2. The tape'!$C$5:$C$13*'2. The tape'!$I$5:$I$13*(1+$AL$5)^($A89/4)))</f>
        <v>125034481.014264</v>
      </c>
      <c r="AN89" s="33" t="n">
        <f aca="false">'2. The tape'!$C$17*(1+MIN(MAX($AN$5,'3. Assumptions'!$B$11),'3. Assumptions'!$B$10))^INT(($A89-1)/4)/4*(1-'3. Assumptions'!$B$13)</f>
        <v>4435687.79978068</v>
      </c>
      <c r="AO89" s="33" t="n">
        <f aca="false">(1-'3. Assumptions'!$B$15)*SUMPRODUCT((('2. The tape'!$C$5:$C$13*'2. The tape'!$D$5:$D$13*(1-'2. The tape'!$J$5:$J$13)^($A89/4)*(1+$AN$5)^($A89/4)*((1-'3. Assumptions'!$B$13)/($AN$6)-'2. The tape'!$H$5:$H$13/12-'3. Assumptions'!$B$16)-'2. The tape'!$C$5:$C$13*'2. The tape'!$I$5:$I$13*(1+$AN$5)^($A89/4))&gt;0)*('2. The tape'!$C$5:$C$13*'2. The tape'!$D$5:$D$13*(1-'2. The tape'!$J$5:$J$13)^($A89/4)*(1+$AN$5)^($A89/4)*((1-'3. Assumptions'!$B$13)/($AN$6)-'2. The tape'!$H$5:$H$13/12-'3. Assumptions'!$B$16)-'2. The tape'!$C$5:$C$13*'2. The tape'!$I$5:$I$13*(1+$AN$5)^($A89/4)))</f>
        <v>128156625.367432</v>
      </c>
      <c r="AP89" s="33" t="n">
        <f aca="false">'2. The tape'!$C$17*(1+MIN(MAX($AP$5,'3. Assumptions'!$B$11),'3. Assumptions'!$B$10))^INT(($A89-1)/4)/4*(1-'3. Assumptions'!$B$13)</f>
        <v>4435687.79978068</v>
      </c>
      <c r="AQ89" s="33" t="n">
        <f aca="false">(1-'3. Assumptions'!$B$15)*SUMPRODUCT((('2. The tape'!$C$5:$C$13*'2. The tape'!$D$5:$D$13*(1-'2. The tape'!$J$5:$J$13)^($A89/4)*(1+$AP$5)^($A89/4)*((1-'3. Assumptions'!$B$13)/($AP$6)-'2. The tape'!$H$5:$H$13/12-'3. Assumptions'!$B$16)-'2. The tape'!$C$5:$C$13*'2. The tape'!$I$5:$I$13*(1+$AP$5)^($A89/4))&gt;0)*('2. The tape'!$C$5:$C$13*'2. The tape'!$D$5:$D$13*(1-'2. The tape'!$J$5:$J$13)^($A89/4)*(1+$AP$5)^($A89/4)*((1-'3. Assumptions'!$B$13)/($AP$6)-'2. The tape'!$H$5:$H$13/12-'3. Assumptions'!$B$16)-'2. The tape'!$C$5:$C$13*'2. The tape'!$I$5:$I$13*(1+$AP$5)^($A89/4)))</f>
        <v>127771203.053791</v>
      </c>
      <c r="AR89" s="33" t="n">
        <f aca="false">'2. The tape'!$C$17*(1+MIN(MAX($AR$5,'3. Assumptions'!$B$11),'3. Assumptions'!$B$10))^INT(($A89-1)/4)/4*(1-'3. Assumptions'!$B$13)</f>
        <v>4435687.79978068</v>
      </c>
      <c r="AS89" s="33" t="n">
        <f aca="false">(1-'3. Assumptions'!$B$15)*SUMPRODUCT((('2. The tape'!$C$5:$C$13*'2. The tape'!$D$5:$D$13*(1-'2. The tape'!$J$5:$J$13)^($A89/4)*(1+$AR$5)^($A89/4)*((1-'3. Assumptions'!$B$13)/($AR$6)-'2. The tape'!$H$5:$H$13/12-'3. Assumptions'!$B$16)-'2. The tape'!$C$5:$C$13*'2. The tape'!$I$5:$I$13*(1+$AR$5)^($A89/4))&gt;0)*('2. The tape'!$C$5:$C$13*'2. The tape'!$D$5:$D$13*(1-'2. The tape'!$J$5:$J$13)^($A89/4)*(1+$AR$5)^($A89/4)*((1-'3. Assumptions'!$B$13)/($AR$6)-'2. The tape'!$H$5:$H$13/12-'3. Assumptions'!$B$16)-'2. The tape'!$C$5:$C$13*'2. The tape'!$I$5:$I$13*(1+$AR$5)^($A89/4)))</f>
        <v>127777669.888155</v>
      </c>
      <c r="AT89" s="33" t="n">
        <f aca="false">'2. The tape'!$C$17*(1+MIN(MAX($AT$5,'3. Assumptions'!$B$11),'3. Assumptions'!$B$10))^INT(($A89-1)/4)/4*(1-'3. Assumptions'!$B$13)</f>
        <v>4435687.79978068</v>
      </c>
      <c r="AU89" s="33" t="n">
        <f aca="false">(1-'3. Assumptions'!$B$15)*SUMPRODUCT((('2. The tape'!$C$5:$C$13*'2. The tape'!$D$5:$D$13*(1-'2. The tape'!$J$5:$J$13)^($A89/4)*(1+$AT$5)^($A89/4)*((1-'3. Assumptions'!$B$13)/($AT$6)-'2. The tape'!$H$5:$H$13/12-'3. Assumptions'!$B$16)-'2. The tape'!$C$5:$C$13*'2. The tape'!$I$5:$I$13*(1+$AT$5)^($A89/4))&gt;0)*('2. The tape'!$C$5:$C$13*'2. The tape'!$D$5:$D$13*(1-'2. The tape'!$J$5:$J$13)^($A89/4)*(1+$AT$5)^($A89/4)*((1-'3. Assumptions'!$B$13)/($AT$6)-'2. The tape'!$H$5:$H$13/12-'3. Assumptions'!$B$16)-'2. The tape'!$C$5:$C$13*'2. The tape'!$I$5:$I$13*(1+$AT$5)^($A89/4)))</f>
        <v>127777684.947785</v>
      </c>
      <c r="AV89" s="33" t="n">
        <f aca="false">'2. The tape'!$C$17*(1+MIN(MAX($AV$5,'3. Assumptions'!$B$11),'3. Assumptions'!$B$10))^INT(($A89-1)/4)/4*(1-'3. Assumptions'!$B$13)</f>
        <v>4435687.79978068</v>
      </c>
      <c r="AW89" s="33" t="n">
        <f aca="false">(1-'3. Assumptions'!$B$15)*SUMPRODUCT((('2. The tape'!$C$5:$C$13*'2. The tape'!$D$5:$D$13*(1-'2. The tape'!$J$5:$J$13)^($A89/4)*(1+$AV$5)^($A89/4)*((1-'3. Assumptions'!$B$13)/($AV$6)-'2. The tape'!$H$5:$H$13/12-'3. Assumptions'!$B$16)-'2. The tape'!$C$5:$C$13*'2. The tape'!$I$5:$I$13*(1+$AV$5)^($A89/4))&gt;0)*('2. The tape'!$C$5:$C$13*'2. The tape'!$D$5:$D$13*(1-'2. The tape'!$J$5:$J$13)^($A89/4)*(1+$AV$5)^($A89/4)*((1-'3. Assumptions'!$B$13)/($AV$6)-'2. The tape'!$H$5:$H$13/12-'3. Assumptions'!$B$16)-'2. The tape'!$C$5:$C$13*'2. The tape'!$I$5:$I$13*(1+$AV$5)^($A89/4)))</f>
        <v>127777684.947185</v>
      </c>
      <c r="AX89" s="33" t="n">
        <f aca="false">'2. The tape'!$C$17*(1+MIN(MAX($AX$5,'3. Assumptions'!$B$11),'3. Assumptions'!$B$10))^INT(($A89-1)/4)/4*(1-'3. Assumptions'!$B$13)</f>
        <v>4435687.79978068</v>
      </c>
      <c r="AY89" s="33" t="n">
        <f aca="false">(1-'3. Assumptions'!$B$15)*SUMPRODUCT((('2. The tape'!$C$5:$C$13*'2. The tape'!$D$5:$D$13*(1-'2. The tape'!$J$5:$J$13)^($A89/4)*(1+$AX$5)^($A89/4)*((1-'3. Assumptions'!$B$13)/($AX$6)-'2. The tape'!$H$5:$H$13/12-'3. Assumptions'!$B$16)-'2. The tape'!$C$5:$C$13*'2. The tape'!$I$5:$I$13*(1+$AX$5)^($A89/4))&gt;0)*('2. The tape'!$C$5:$C$13*'2. The tape'!$D$5:$D$13*(1-'2. The tape'!$J$5:$J$13)^($A89/4)*(1+$AX$5)^($A89/4)*((1-'3. Assumptions'!$B$13)/($AX$6)-'2. The tape'!$H$5:$H$13/12-'3. Assumptions'!$B$16)-'2. The tape'!$C$5:$C$13*'2. The tape'!$I$5:$I$13*(1+$AX$5)^($A89/4)))</f>
        <v>127777684.947185</v>
      </c>
      <c r="AZ89" s="33" t="n">
        <f aca="false">'2. The tape'!$C$17*(1+MIN(MAX($AZ$5,'3. Assumptions'!$B$11),'3. Assumptions'!$B$10))^INT(($A89-1)/4)/4*(1-'3. Assumptions'!$B$13)</f>
        <v>4435687.79978068</v>
      </c>
      <c r="BA89" s="33" t="n">
        <f aca="false">(1-'3. Assumptions'!$B$15)*SUMPRODUCT((('2. The tape'!$C$5:$C$13*'2. The tape'!$D$5:$D$13*(1-'2. The tape'!$J$5:$J$13)^($A89/4)*(1+$AZ$5)^($A89/4)*((1-'3. Assumptions'!$B$13)/($AZ$6)-'2. The tape'!$H$5:$H$13/12-'3. Assumptions'!$B$16)-'2. The tape'!$C$5:$C$13*'2. The tape'!$I$5:$I$13*(1+$AZ$5)^($A89/4))&gt;0)*('2. The tape'!$C$5:$C$13*'2. The tape'!$D$5:$D$13*(1-'2. The tape'!$J$5:$J$13)^($A89/4)*(1+$AZ$5)^($A89/4)*((1-'3. Assumptions'!$B$13)/($AZ$6)-'2. The tape'!$H$5:$H$13/12-'3. Assumptions'!$B$16)-'2. The tape'!$C$5:$C$13*'2. The tape'!$I$5:$I$13*(1+$AZ$5)^($A89/4)))</f>
        <v>127777684.947185</v>
      </c>
    </row>
    <row r="90" customFormat="false" ht="15" hidden="false" customHeight="false" outlineLevel="0" collapsed="false">
      <c r="A90" s="20" t="n">
        <v>75</v>
      </c>
      <c r="B90" s="33" t="n">
        <f aca="false">'2. The tape'!$C$17*(1+MIN(MAX($B$5,'3. Assumptions'!$B$11),'3. Assumptions'!$B$10))^INT(($A90-1)/4)/4*(1-'3. Assumptions'!$B$13)</f>
        <v>4435687.79978068</v>
      </c>
      <c r="C90" s="33" t="n">
        <f aca="false">(1-'3. Assumptions'!$B$15)*SUMPRODUCT((('2. The tape'!$C$5:$C$13*'2. The tape'!$D$5:$D$13*(1-'2. The tape'!$J$5:$J$13)^($A90/4)*(1+$B$5)^($A90/4)*((1-'3. Assumptions'!$B$13)/($B$6)-'2. The tape'!$H$5:$H$13/12-'3. Assumptions'!$B$16)-'2. The tape'!$C$5:$C$13*'2. The tape'!$I$5:$I$13*(1+$B$5)^($A90/4))&gt;0)*('2. The tape'!$C$5:$C$13*'2. The tape'!$D$5:$D$13*(1-'2. The tape'!$J$5:$J$13)^($A90/4)*(1+$B$5)^($A90/4)*((1-'3. Assumptions'!$B$13)/($B$6)-'2. The tape'!$H$5:$H$13/12-'3. Assumptions'!$B$16)-'2. The tape'!$C$5:$C$13*'2. The tape'!$I$5:$I$13*(1+$B$5)^($A90/4)))</f>
        <v>74527624.8576031</v>
      </c>
      <c r="D90" s="33" t="n">
        <f aca="false">'2. The tape'!$C$17*(1+MIN(MAX($D$5,'3. Assumptions'!$B$11),'3. Assumptions'!$B$10))^INT(($A90-1)/4)/4*(1-'3. Assumptions'!$B$13)</f>
        <v>5104049.66461407</v>
      </c>
      <c r="E90" s="33" t="n">
        <f aca="false">(1-'3. Assumptions'!$B$15)*SUMPRODUCT((('2. The tape'!$C$5:$C$13*'2. The tape'!$D$5:$D$13*(1-'2. The tape'!$J$5:$J$13)^($A90/4)*(1+$D$5)^($A90/4)*((1-'3. Assumptions'!$B$13)/($D$6)-'2. The tape'!$H$5:$H$13/12-'3. Assumptions'!$B$16)-'2. The tape'!$C$5:$C$13*'2. The tape'!$I$5:$I$13*(1+$D$5)^($A90/4))&gt;0)*('2. The tape'!$C$5:$C$13*'2. The tape'!$D$5:$D$13*(1-'2. The tape'!$J$5:$J$13)^($A90/4)*(1+$D$5)^($A90/4)*((1-'3. Assumptions'!$B$13)/($D$6)-'2. The tape'!$H$5:$H$13/12-'3. Assumptions'!$B$16)-'2. The tape'!$C$5:$C$13*'2. The tape'!$I$5:$I$13*(1+$D$5)^($A90/4)))</f>
        <v>94459260.9186924</v>
      </c>
      <c r="F90" s="33" t="n">
        <f aca="false">'2. The tape'!$C$17*(1+MIN(MAX($F$5,'3. Assumptions'!$B$11),'3. Assumptions'!$B$10))^INT(($A90-1)/4)/4*(1-'3. Assumptions'!$B$13)</f>
        <v>3586159.28056578</v>
      </c>
      <c r="G90" s="33" t="n">
        <f aca="false">(1-'3. Assumptions'!$B$15)*SUMPRODUCT((('2. The tape'!$C$5:$C$13*'2. The tape'!$D$5:$D$13*(1-'2. The tape'!$J$5:$J$13)^($A90/4)*(1+$F$5)^($A90/4)*((1-'3. Assumptions'!$B$13)/($F$6)-'2. The tape'!$H$5:$H$13/12-'3. Assumptions'!$B$16)-'2. The tape'!$C$5:$C$13*'2. The tape'!$I$5:$I$13*(1+$F$5)^($A90/4))&gt;0)*('2. The tape'!$C$5:$C$13*'2. The tape'!$D$5:$D$13*(1-'2. The tape'!$J$5:$J$13)^($A90/4)*(1+$F$5)^($A90/4)*((1-'3. Assumptions'!$B$13)/($F$6)-'2. The tape'!$H$5:$H$13/12-'3. Assumptions'!$B$16)-'2. The tape'!$C$5:$C$13*'2. The tape'!$I$5:$I$13*(1+$F$5)^($A90/4)))</f>
        <v>59722605.0453184</v>
      </c>
      <c r="H90" s="33" t="n">
        <f aca="false">'2. The tape'!$C$17*(1+MIN(MAX($H$5,'3. Assumptions'!$B$11),'3. Assumptions'!$B$10))^INT(($A90-1)/4)/4*(1-'3. Assumptions'!$B$13)</f>
        <v>5104049.66461407</v>
      </c>
      <c r="I90" s="33" t="n">
        <f aca="false">(1-'3. Assumptions'!$B$15)*SUMPRODUCT((('2. The tape'!$C$5:$C$13*'2. The tape'!$D$5:$D$13*(1-'2. The tape'!$J$5:$J$13)^($A90/4)*(1+$H$5)^($A90/4)*((1-'3. Assumptions'!$B$13)/($H$6)-'2. The tape'!$H$5:$H$13/12-'3. Assumptions'!$B$16)-'2. The tape'!$C$5:$C$13*'2. The tape'!$I$5:$I$13*(1+$H$5)^($A90/4))&gt;0)*('2. The tape'!$C$5:$C$13*'2. The tape'!$D$5:$D$13*(1-'2. The tape'!$J$5:$J$13)^($A90/4)*(1+$H$5)^($A90/4)*((1-'3. Assumptions'!$B$13)/($H$6)-'2. The tape'!$H$5:$H$13/12-'3. Assumptions'!$B$16)-'2. The tape'!$C$5:$C$13*'2. The tape'!$I$5:$I$13*(1+$H$5)^($A90/4)))</f>
        <v>94459260.9186924</v>
      </c>
      <c r="J90" s="33" t="n">
        <f aca="false">'2. The tape'!$C$17*(1+MIN(MAX($J$5,'3. Assumptions'!$B$11),'3. Assumptions'!$B$10))^INT(($A90-1)/4)/4*(1-'3. Assumptions'!$B$13)</f>
        <v>4435687.79978068</v>
      </c>
      <c r="K90" s="33" t="n">
        <f aca="false">(1-'3. Assumptions'!$B$15)*SUMPRODUCT((('2. The tape'!$C$5:$C$13*'2. The tape'!$D$5:$D$13*(1-'2. The tape'!$J$5:$J$13)^($A90/4)*(1+$J$5)^($A90/4)*((1-'3. Assumptions'!$B$13)/($J$6)-'2. The tape'!$H$5:$H$13/12-'3. Assumptions'!$B$16)-'2. The tape'!$C$5:$C$13*'2. The tape'!$I$5:$I$13*(1+$J$5)^($A90/4))&gt;0)*('2. The tape'!$C$5:$C$13*'2. The tape'!$D$5:$D$13*(1-'2. The tape'!$J$5:$J$13)^($A90/4)*(1+$J$5)^($A90/4)*((1-'3. Assumptions'!$B$13)/($J$6)-'2. The tape'!$H$5:$H$13/12-'3. Assumptions'!$B$16)-'2. The tape'!$C$5:$C$13*'2. The tape'!$I$5:$I$13*(1+$J$5)^($A90/4)))</f>
        <v>60476479.2656512</v>
      </c>
      <c r="L90" s="33" t="n">
        <f aca="false">'2. The tape'!$C$17*(1+MIN(MAX($L$5,'3. Assumptions'!$B$11),'3. Assumptions'!$B$10))^INT(($A90-1)/4)/4*(1-'3. Assumptions'!$B$13)</f>
        <v>5104049.66461407</v>
      </c>
      <c r="M90" s="33" t="n">
        <f aca="false">(1-'3. Assumptions'!$B$15)*SUMPRODUCT((('2. The tape'!$C$5:$C$13*'2. The tape'!$D$5:$D$13*(1-'2. The tape'!$J$5:$J$13)^($A90/4)*(1+$L$5)^($A90/4)*((1-'3. Assumptions'!$B$13)/($L$6)-'2. The tape'!$H$5:$H$13/12-'3. Assumptions'!$B$16)-'2. The tape'!$C$5:$C$13*'2. The tape'!$I$5:$I$13*(1+$L$5)^($A90/4))&gt;0)*('2. The tape'!$C$5:$C$13*'2. The tape'!$D$5:$D$13*(1-'2. The tape'!$J$5:$J$13)^($A90/4)*(1+$L$5)^($A90/4)*((1-'3. Assumptions'!$B$13)/($L$6)-'2. The tape'!$H$5:$H$13/12-'3. Assumptions'!$B$16)-'2. The tape'!$C$5:$C$13*'2. The tape'!$I$5:$I$13*(1+$L$5)^($A90/4)))</f>
        <v>6785015440.68133</v>
      </c>
      <c r="N90" s="33" t="n">
        <f aca="false">'2. The tape'!$C$17*(1+MIN(MAX($N$5,'3. Assumptions'!$B$11),'3. Assumptions'!$B$10))^INT(($A90-1)/4)/4*(1-'3. Assumptions'!$B$13)</f>
        <v>2998091.25</v>
      </c>
      <c r="O90" s="33" t="n">
        <f aca="false">(1-'3. Assumptions'!$B$15)*SUMPRODUCT((('2. The tape'!$C$5:$C$13*'2. The tape'!$D$5:$D$13*(1-'2. The tape'!$J$5:$J$13)^($A90/4)*(1+$N$5)^($A90/4)*((1-'3. Assumptions'!$B$13)/($N$6)-'2. The tape'!$H$5:$H$13/12-'3. Assumptions'!$B$16)-'2. The tape'!$C$5:$C$13*'2. The tape'!$I$5:$I$13*(1+$N$5)^($A90/4))&gt;0)*('2. The tape'!$C$5:$C$13*'2. The tape'!$D$5:$D$13*(1-'2. The tape'!$J$5:$J$13)^($A90/4)*(1+$N$5)^($A90/4)*((1-'3. Assumptions'!$B$13)/($N$6)-'2. The tape'!$H$5:$H$13/12-'3. Assumptions'!$B$16)-'2. The tape'!$C$5:$C$13*'2. The tape'!$I$5:$I$13*(1+$N$5)^($A90/4)))</f>
        <v>27995163.1013091</v>
      </c>
      <c r="P90" s="33" t="n">
        <f aca="false">'2. The tape'!$C$17*(1+MIN(MAX($P$5,'3. Assumptions'!$B$11),'3. Assumptions'!$B$10))^INT(($A90-1)/4)/4*(1-'3. Assumptions'!$B$13)</f>
        <v>2998091.25</v>
      </c>
      <c r="Q90" s="33" t="n">
        <f aca="false">(1-'3. Assumptions'!$B$15)*SUMPRODUCT((('2. The tape'!$C$5:$C$13*'2. The tape'!$D$5:$D$13*(1-'2. The tape'!$J$5:$J$13)^($A90/4)*(1+$P$5)^($A90/4)*((1-'3. Assumptions'!$B$13)/($P$6)-'2. The tape'!$H$5:$H$13/12-'3. Assumptions'!$B$16)-'2. The tape'!$C$5:$C$13*'2. The tape'!$I$5:$I$13*(1+$P$5)^($A90/4))&gt;0)*('2. The tape'!$C$5:$C$13*'2. The tape'!$D$5:$D$13*(1-'2. The tape'!$J$5:$J$13)^($A90/4)*(1+$P$5)^($A90/4)*((1-'3. Assumptions'!$B$13)/($P$6)-'2. The tape'!$H$5:$H$13/12-'3. Assumptions'!$B$16)-'2. The tape'!$C$5:$C$13*'2. The tape'!$I$5:$I$13*(1+$P$5)^($A90/4)))</f>
        <v>33931409.7600404</v>
      </c>
      <c r="R90" s="33" t="n">
        <f aca="false">'2. The tape'!$C$17*(1+MIN(MAX($R$5,'3. Assumptions'!$B$11),'3. Assumptions'!$B$10))^INT(($A90-1)/4)/4*(1-'3. Assumptions'!$B$13)</f>
        <v>2998091.25</v>
      </c>
      <c r="S90" s="33" t="n">
        <f aca="false">(1-'3. Assumptions'!$B$15)*SUMPRODUCT((('2. The tape'!$C$5:$C$13*'2. The tape'!$D$5:$D$13*(1-'2. The tape'!$J$5:$J$13)^($A90/4)*(1+$R$5)^($A90/4)*((1-'3. Assumptions'!$B$13)/($R$6)-'2. The tape'!$H$5:$H$13/12-'3. Assumptions'!$B$16)-'2. The tape'!$C$5:$C$13*'2. The tape'!$I$5:$I$13*(1+$R$5)^($A90/4))&gt;0)*('2. The tape'!$C$5:$C$13*'2. The tape'!$D$5:$D$13*(1-'2. The tape'!$J$5:$J$13)^($A90/4)*(1+$R$5)^($A90/4)*((1-'3. Assumptions'!$B$13)/($R$6)-'2. The tape'!$H$5:$H$13/12-'3. Assumptions'!$B$16)-'2. The tape'!$C$5:$C$13*'2. The tape'!$I$5:$I$13*(1+$R$5)^($A90/4)))</f>
        <v>30209677.6954215</v>
      </c>
      <c r="T90" s="33" t="n">
        <f aca="false">'2. The tape'!$C$17*(1+MIN(MAX($T$5,'3. Assumptions'!$B$11),'3. Assumptions'!$B$10))^INT(($A90-1)/4)/4*(1-'3. Assumptions'!$B$13)</f>
        <v>2998091.25</v>
      </c>
      <c r="U90" s="33" t="n">
        <f aca="false">(1-'3. Assumptions'!$B$15)*SUMPRODUCT((('2. The tape'!$C$5:$C$13*'2. The tape'!$D$5:$D$13*(1-'2. The tape'!$J$5:$J$13)^($A90/4)*(1+$T$5)^($A90/4)*((1-'3. Assumptions'!$B$13)/($T$6)-'2. The tape'!$H$5:$H$13/12-'3. Assumptions'!$B$16)-'2. The tape'!$C$5:$C$13*'2. The tape'!$I$5:$I$13*(1+$T$5)^($A90/4))&gt;0)*('2. The tape'!$C$5:$C$13*'2. The tape'!$D$5:$D$13*(1-'2. The tape'!$J$5:$J$13)^($A90/4)*(1+$T$5)^($A90/4)*((1-'3. Assumptions'!$B$13)/($T$6)-'2. The tape'!$H$5:$H$13/12-'3. Assumptions'!$B$16)-'2. The tape'!$C$5:$C$13*'2. The tape'!$I$5:$I$13*(1+$T$5)^($A90/4)))</f>
        <v>30114327.1661662</v>
      </c>
      <c r="V90" s="33" t="n">
        <f aca="false">'2. The tape'!$C$17*(1+MIN(MAX($V$5,'3. Assumptions'!$B$11),'3. Assumptions'!$B$10))^INT(($A90-1)/4)/4*(1-'3. Assumptions'!$B$13)</f>
        <v>2998091.25</v>
      </c>
      <c r="W90" s="33" t="n">
        <f aca="false">(1-'3. Assumptions'!$B$15)*SUMPRODUCT((('2. The tape'!$C$5:$C$13*'2. The tape'!$D$5:$D$13*(1-'2. The tape'!$J$5:$J$13)^($A90/4)*(1+$V$5)^($A90/4)*((1-'3. Assumptions'!$B$13)/($V$6)-'2. The tape'!$H$5:$H$13/12-'3. Assumptions'!$B$16)-'2. The tape'!$C$5:$C$13*'2. The tape'!$I$5:$I$13*(1+$V$5)^($A90/4))&gt;0)*('2. The tape'!$C$5:$C$13*'2. The tape'!$D$5:$D$13*(1-'2. The tape'!$J$5:$J$13)^($A90/4)*(1+$V$5)^($A90/4)*((1-'3. Assumptions'!$B$13)/($V$6)-'2. The tape'!$H$5:$H$13/12-'3. Assumptions'!$B$16)-'2. The tape'!$C$5:$C$13*'2. The tape'!$I$5:$I$13*(1+$V$5)^($A90/4)))</f>
        <v>30118152.7589243</v>
      </c>
      <c r="X90" s="33" t="n">
        <f aca="false">'2. The tape'!$C$17*(1+MIN(MAX($X$5,'3. Assumptions'!$B$11),'3. Assumptions'!$B$10))^INT(($A90-1)/4)/4*(1-'3. Assumptions'!$B$13)</f>
        <v>2998091.25</v>
      </c>
      <c r="Y90" s="33" t="n">
        <f aca="false">(1-'3. Assumptions'!$B$15)*SUMPRODUCT((('2. The tape'!$C$5:$C$13*'2. The tape'!$D$5:$D$13*(1-'2. The tape'!$J$5:$J$13)^($A90/4)*(1+$X$5)^($A90/4)*((1-'3. Assumptions'!$B$13)/($X$6)-'2. The tape'!$H$5:$H$13/12-'3. Assumptions'!$B$16)-'2. The tape'!$C$5:$C$13*'2. The tape'!$I$5:$I$13*(1+$X$5)^($A90/4))&gt;0)*('2. The tape'!$C$5:$C$13*'2. The tape'!$D$5:$D$13*(1-'2. The tape'!$J$5:$J$13)^($A90/4)*(1+$X$5)^($A90/4)*((1-'3. Assumptions'!$B$13)/($X$6)-'2. The tape'!$H$5:$H$13/12-'3. Assumptions'!$B$16)-'2. The tape'!$C$5:$C$13*'2. The tape'!$I$5:$I$13*(1+$X$5)^($A90/4)))</f>
        <v>30118148.7358339</v>
      </c>
      <c r="Z90" s="33" t="n">
        <f aca="false">'2. The tape'!$C$17*(1+MIN(MAX($Z$5,'3. Assumptions'!$B$11),'3. Assumptions'!$B$10))^INT(($A90-1)/4)/4*(1-'3. Assumptions'!$B$13)</f>
        <v>2998091.25</v>
      </c>
      <c r="AA90" s="33" t="n">
        <f aca="false">(1-'3. Assumptions'!$B$15)*SUMPRODUCT((('2. The tape'!$C$5:$C$13*'2. The tape'!$D$5:$D$13*(1-'2. The tape'!$J$5:$J$13)^($A90/4)*(1+$Z$5)^($A90/4)*((1-'3. Assumptions'!$B$13)/($Z$6)-'2. The tape'!$H$5:$H$13/12-'3. Assumptions'!$B$16)-'2. The tape'!$C$5:$C$13*'2. The tape'!$I$5:$I$13*(1+$Z$5)^($A90/4))&gt;0)*('2. The tape'!$C$5:$C$13*'2. The tape'!$D$5:$D$13*(1-'2. The tape'!$J$5:$J$13)^($A90/4)*(1+$Z$5)^($A90/4)*((1-'3. Assumptions'!$B$13)/($Z$6)-'2. The tape'!$H$5:$H$13/12-'3. Assumptions'!$B$16)-'2. The tape'!$C$5:$C$13*'2. The tape'!$I$5:$I$13*(1+$Z$5)^($A90/4)))</f>
        <v>30118148.7356568</v>
      </c>
      <c r="AB90" s="33" t="n">
        <f aca="false">'2. The tape'!$C$17*(1+MIN(MAX($AB$5,'3. Assumptions'!$B$11),'3. Assumptions'!$B$10))^INT(($A90-1)/4)/4*(1-'3. Assumptions'!$B$13)</f>
        <v>2998091.25</v>
      </c>
      <c r="AC90" s="33" t="n">
        <f aca="false">(1-'3. Assumptions'!$B$15)*SUMPRODUCT((('2. The tape'!$C$5:$C$13*'2. The tape'!$D$5:$D$13*(1-'2. The tape'!$J$5:$J$13)^($A90/4)*(1+$AB$5)^($A90/4)*((1-'3. Assumptions'!$B$13)/($AB$6)-'2. The tape'!$H$5:$H$13/12-'3. Assumptions'!$B$16)-'2. The tape'!$C$5:$C$13*'2. The tape'!$I$5:$I$13*(1+$AB$5)^($A90/4))&gt;0)*('2. The tape'!$C$5:$C$13*'2. The tape'!$D$5:$D$13*(1-'2. The tape'!$J$5:$J$13)^($A90/4)*(1+$AB$5)^($A90/4)*((1-'3. Assumptions'!$B$13)/($AB$6)-'2. The tape'!$H$5:$H$13/12-'3. Assumptions'!$B$16)-'2. The tape'!$C$5:$C$13*'2. The tape'!$I$5:$I$13*(1+$AB$5)^($A90/4)))</f>
        <v>30118148.7356568</v>
      </c>
      <c r="AD90" s="33" t="n">
        <f aca="false">'2. The tape'!$C$17*(1+MIN(MAX($AD$5,'3. Assumptions'!$B$11),'3. Assumptions'!$B$10))^INT(($A90-1)/4)/4*(1-'3. Assumptions'!$B$13)</f>
        <v>2998091.25</v>
      </c>
      <c r="AE90" s="33" t="n">
        <f aca="false">(1-'3. Assumptions'!$B$15)*SUMPRODUCT((('2. The tape'!$C$5:$C$13*'2. The tape'!$D$5:$D$13*(1-'2. The tape'!$J$5:$J$13)^($A90/4)*(1+$AD$5)^($A90/4)*((1-'3. Assumptions'!$B$13)/($AD$6)-'2. The tape'!$H$5:$H$13/12-'3. Assumptions'!$B$16)-'2. The tape'!$C$5:$C$13*'2. The tape'!$I$5:$I$13*(1+$AD$5)^($A90/4))&gt;0)*('2. The tape'!$C$5:$C$13*'2. The tape'!$D$5:$D$13*(1-'2. The tape'!$J$5:$J$13)^($A90/4)*(1+$AD$5)^($A90/4)*((1-'3. Assumptions'!$B$13)/($AD$6)-'2. The tape'!$H$5:$H$13/12-'3. Assumptions'!$B$16)-'2. The tape'!$C$5:$C$13*'2. The tape'!$I$5:$I$13*(1+$AD$5)^($A90/4)))</f>
        <v>30118148.7356568</v>
      </c>
      <c r="AF90" s="33" t="n">
        <f aca="false">'2. The tape'!$C$17*(1+MIN(MAX($AF$5,'3. Assumptions'!$B$11),'3. Assumptions'!$B$10))^INT(($A90-1)/4)/4*(1-'3. Assumptions'!$B$13)</f>
        <v>2998091.25</v>
      </c>
      <c r="AG90" s="33" t="n">
        <f aca="false">(1-'3. Assumptions'!$B$15)*SUMPRODUCT((('2. The tape'!$C$5:$C$13*'2. The tape'!$D$5:$D$13*(1-'2. The tape'!$J$5:$J$13)^($A90/4)*(1+$AF$5)^($A90/4)*((1-'3. Assumptions'!$B$13)/($AF$6)-'2. The tape'!$H$5:$H$13/12-'3. Assumptions'!$B$16)-'2. The tape'!$C$5:$C$13*'2. The tape'!$I$5:$I$13*(1+$AF$5)^($A90/4))&gt;0)*('2. The tape'!$C$5:$C$13*'2. The tape'!$D$5:$D$13*(1-'2. The tape'!$J$5:$J$13)^($A90/4)*(1+$AF$5)^($A90/4)*((1-'3. Assumptions'!$B$13)/($AF$6)-'2. The tape'!$H$5:$H$13/12-'3. Assumptions'!$B$16)-'2. The tape'!$C$5:$C$13*'2. The tape'!$I$5:$I$13*(1+$AF$5)^($A90/4)))</f>
        <v>30118148.7356568</v>
      </c>
      <c r="AH90" s="33" t="n">
        <f aca="false">'2. The tape'!$C$17*(1+MIN(MAX($AH$5,'3. Assumptions'!$B$11),'3. Assumptions'!$B$10))^INT(($A90-1)/4)/4*(1-'3. Assumptions'!$B$13)</f>
        <v>4435687.79978068</v>
      </c>
      <c r="AI90" s="33" t="n">
        <f aca="false">(1-'3. Assumptions'!$B$15)*SUMPRODUCT((('2. The tape'!$C$5:$C$13*'2. The tape'!$D$5:$D$13*(1-'2. The tape'!$J$5:$J$13)^($A90/4)*(1+$AH$5)^($A90/4)*((1-'3. Assumptions'!$B$13)/($AH$6)-'2. The tape'!$H$5:$H$13/12-'3. Assumptions'!$B$16)-'2. The tape'!$C$5:$C$13*'2. The tape'!$I$5:$I$13*(1+$AH$5)^($A90/4))&gt;0)*('2. The tape'!$C$5:$C$13*'2. The tape'!$D$5:$D$13*(1-'2. The tape'!$J$5:$J$13)^($A90/4)*(1+$AH$5)^($A90/4)*((1-'3. Assumptions'!$B$13)/($AH$6)-'2. The tape'!$H$5:$H$13/12-'3. Assumptions'!$B$16)-'2. The tape'!$C$5:$C$13*'2. The tape'!$I$5:$I$13*(1+$AH$5)^($A90/4)))</f>
        <v>151246879.789661</v>
      </c>
      <c r="AJ90" s="33" t="n">
        <f aca="false">'2. The tape'!$C$17*(1+MIN(MAX($AJ$5,'3. Assumptions'!$B$11),'3. Assumptions'!$B$10))^INT(($A90-1)/4)/4*(1-'3. Assumptions'!$B$13)</f>
        <v>4435687.79978068</v>
      </c>
      <c r="AK90" s="33" t="n">
        <f aca="false">(1-'3. Assumptions'!$B$15)*SUMPRODUCT((('2. The tape'!$C$5:$C$13*'2. The tape'!$D$5:$D$13*(1-'2. The tape'!$J$5:$J$13)^($A90/4)*(1+$AJ$5)^($A90/4)*((1-'3. Assumptions'!$B$13)/($AJ$6)-'2. The tape'!$H$5:$H$13/12-'3. Assumptions'!$B$16)-'2. The tape'!$C$5:$C$13*'2. The tape'!$I$5:$I$13*(1+$AJ$5)^($A90/4))&gt;0)*('2. The tape'!$C$5:$C$13*'2. The tape'!$D$5:$D$13*(1-'2. The tape'!$J$5:$J$13)^($A90/4)*(1+$AJ$5)^($A90/4)*((1-'3. Assumptions'!$B$13)/($AJ$6)-'2. The tape'!$H$5:$H$13/12-'3. Assumptions'!$B$16)-'2. The tape'!$C$5:$C$13*'2. The tape'!$I$5:$I$13*(1+$AJ$5)^($A90/4)))</f>
        <v>108250374.278288</v>
      </c>
      <c r="AL90" s="33" t="n">
        <f aca="false">'2. The tape'!$C$17*(1+MIN(MAX($AL$5,'3. Assumptions'!$B$11),'3. Assumptions'!$B$10))^INT(($A90-1)/4)/4*(1-'3. Assumptions'!$B$13)</f>
        <v>4435687.79978068</v>
      </c>
      <c r="AM90" s="33" t="n">
        <f aca="false">(1-'3. Assumptions'!$B$15)*SUMPRODUCT((('2. The tape'!$C$5:$C$13*'2. The tape'!$D$5:$D$13*(1-'2. The tape'!$J$5:$J$13)^($A90/4)*(1+$AL$5)^($A90/4)*((1-'3. Assumptions'!$B$13)/($AL$6)-'2. The tape'!$H$5:$H$13/12-'3. Assumptions'!$B$16)-'2. The tape'!$C$5:$C$13*'2. The tape'!$I$5:$I$13*(1+$AL$5)^($A90/4))&gt;0)*('2. The tape'!$C$5:$C$13*'2. The tape'!$D$5:$D$13*(1-'2. The tape'!$J$5:$J$13)^($A90/4)*(1+$AL$5)^($A90/4)*((1-'3. Assumptions'!$B$13)/($AL$6)-'2. The tape'!$H$5:$H$13/12-'3. Assumptions'!$B$16)-'2. The tape'!$C$5:$C$13*'2. The tape'!$I$5:$I$13*(1+$AL$5)^($A90/4)))</f>
        <v>124926287.311645</v>
      </c>
      <c r="AN90" s="33" t="n">
        <f aca="false">'2. The tape'!$C$17*(1+MIN(MAX($AN$5,'3. Assumptions'!$B$11),'3. Assumptions'!$B$10))^INT(($A90-1)/4)/4*(1-'3. Assumptions'!$B$13)</f>
        <v>4435687.79978068</v>
      </c>
      <c r="AO90" s="33" t="n">
        <f aca="false">(1-'3. Assumptions'!$B$15)*SUMPRODUCT((('2. The tape'!$C$5:$C$13*'2. The tape'!$D$5:$D$13*(1-'2. The tape'!$J$5:$J$13)^($A90/4)*(1+$AN$5)^($A90/4)*((1-'3. Assumptions'!$B$13)/($AN$6)-'2. The tape'!$H$5:$H$13/12-'3. Assumptions'!$B$16)-'2. The tape'!$C$5:$C$13*'2. The tape'!$I$5:$I$13*(1+$AN$5)^($A90/4))&gt;0)*('2. The tape'!$C$5:$C$13*'2. The tape'!$D$5:$D$13*(1-'2. The tape'!$J$5:$J$13)^($A90/4)*(1+$AN$5)^($A90/4)*((1-'3. Assumptions'!$B$13)/($AN$6)-'2. The tape'!$H$5:$H$13/12-'3. Assumptions'!$B$16)-'2. The tape'!$C$5:$C$13*'2. The tape'!$I$5:$I$13*(1+$AN$5)^($A90/4)))</f>
        <v>128048530.33476</v>
      </c>
      <c r="AP90" s="33" t="n">
        <f aca="false">'2. The tape'!$C$17*(1+MIN(MAX($AP$5,'3. Assumptions'!$B$11),'3. Assumptions'!$B$10))^INT(($A90-1)/4)/4*(1-'3. Assumptions'!$B$13)</f>
        <v>4435687.79978068</v>
      </c>
      <c r="AQ90" s="33" t="n">
        <f aca="false">(1-'3. Assumptions'!$B$15)*SUMPRODUCT((('2. The tape'!$C$5:$C$13*'2. The tape'!$D$5:$D$13*(1-'2. The tape'!$J$5:$J$13)^($A90/4)*(1+$AP$5)^($A90/4)*((1-'3. Assumptions'!$B$13)/($AP$6)-'2. The tape'!$H$5:$H$13/12-'3. Assumptions'!$B$16)-'2. The tape'!$C$5:$C$13*'2. The tape'!$I$5:$I$13*(1+$AP$5)^($A90/4))&gt;0)*('2. The tape'!$C$5:$C$13*'2. The tape'!$D$5:$D$13*(1-'2. The tape'!$J$5:$J$13)^($A90/4)*(1+$AP$5)^($A90/4)*((1-'3. Assumptions'!$B$13)/($AP$6)-'2. The tape'!$H$5:$H$13/12-'3. Assumptions'!$B$16)-'2. The tape'!$C$5:$C$13*'2. The tape'!$I$5:$I$13*(1+$AP$5)^($A90/4)))</f>
        <v>127663095.840517</v>
      </c>
      <c r="AR90" s="33" t="n">
        <f aca="false">'2. The tape'!$C$17*(1+MIN(MAX($AR$5,'3. Assumptions'!$B$11),'3. Assumptions'!$B$10))^INT(($A90-1)/4)/4*(1-'3. Assumptions'!$B$13)</f>
        <v>4435687.79978068</v>
      </c>
      <c r="AS90" s="33" t="n">
        <f aca="false">(1-'3. Assumptions'!$B$15)*SUMPRODUCT((('2. The tape'!$C$5:$C$13*'2. The tape'!$D$5:$D$13*(1-'2. The tape'!$J$5:$J$13)^($A90/4)*(1+$AR$5)^($A90/4)*((1-'3. Assumptions'!$B$13)/($AR$6)-'2. The tape'!$H$5:$H$13/12-'3. Assumptions'!$B$16)-'2. The tape'!$C$5:$C$13*'2. The tape'!$I$5:$I$13*(1+$AR$5)^($A90/4))&gt;0)*('2. The tape'!$C$5:$C$13*'2. The tape'!$D$5:$D$13*(1-'2. The tape'!$J$5:$J$13)^($A90/4)*(1+$AR$5)^($A90/4)*((1-'3. Assumptions'!$B$13)/($AR$6)-'2. The tape'!$H$5:$H$13/12-'3. Assumptions'!$B$16)-'2. The tape'!$C$5:$C$13*'2. The tape'!$I$5:$I$13*(1+$AR$5)^($A90/4)))</f>
        <v>127669562.879254</v>
      </c>
      <c r="AT90" s="33" t="n">
        <f aca="false">'2. The tape'!$C$17*(1+MIN(MAX($AT$5,'3. Assumptions'!$B$11),'3. Assumptions'!$B$10))^INT(($A90-1)/4)/4*(1-'3. Assumptions'!$B$13)</f>
        <v>4435687.79978068</v>
      </c>
      <c r="AU90" s="33" t="n">
        <f aca="false">(1-'3. Assumptions'!$B$15)*SUMPRODUCT((('2. The tape'!$C$5:$C$13*'2. The tape'!$D$5:$D$13*(1-'2. The tape'!$J$5:$J$13)^($A90/4)*(1+$AT$5)^($A90/4)*((1-'3. Assumptions'!$B$13)/($AT$6)-'2. The tape'!$H$5:$H$13/12-'3. Assumptions'!$B$16)-'2. The tape'!$C$5:$C$13*'2. The tape'!$I$5:$I$13*(1+$AT$5)^($A90/4))&gt;0)*('2. The tape'!$C$5:$C$13*'2. The tape'!$D$5:$D$13*(1-'2. The tape'!$J$5:$J$13)^($A90/4)*(1+$AT$5)^($A90/4)*((1-'3. Assumptions'!$B$13)/($AT$6)-'2. The tape'!$H$5:$H$13/12-'3. Assumptions'!$B$16)-'2. The tape'!$C$5:$C$13*'2. The tape'!$I$5:$I$13*(1+$AT$5)^($A90/4)))</f>
        <v>127669577.93936</v>
      </c>
      <c r="AV90" s="33" t="n">
        <f aca="false">'2. The tape'!$C$17*(1+MIN(MAX($AV$5,'3. Assumptions'!$B$11),'3. Assumptions'!$B$10))^INT(($A90-1)/4)/4*(1-'3. Assumptions'!$B$13)</f>
        <v>4435687.79978068</v>
      </c>
      <c r="AW90" s="33" t="n">
        <f aca="false">(1-'3. Assumptions'!$B$15)*SUMPRODUCT((('2. The tape'!$C$5:$C$13*'2. The tape'!$D$5:$D$13*(1-'2. The tape'!$J$5:$J$13)^($A90/4)*(1+$AV$5)^($A90/4)*((1-'3. Assumptions'!$B$13)/($AV$6)-'2. The tape'!$H$5:$H$13/12-'3. Assumptions'!$B$16)-'2. The tape'!$C$5:$C$13*'2. The tape'!$I$5:$I$13*(1+$AV$5)^($A90/4))&gt;0)*('2. The tape'!$C$5:$C$13*'2. The tape'!$D$5:$D$13*(1-'2. The tape'!$J$5:$J$13)^($A90/4)*(1+$AV$5)^($A90/4)*((1-'3. Assumptions'!$B$13)/($AV$6)-'2. The tape'!$H$5:$H$13/12-'3. Assumptions'!$B$16)-'2. The tape'!$C$5:$C$13*'2. The tape'!$I$5:$I$13*(1+$AV$5)^($A90/4)))</f>
        <v>127669577.93876</v>
      </c>
      <c r="AX90" s="33" t="n">
        <f aca="false">'2. The tape'!$C$17*(1+MIN(MAX($AX$5,'3. Assumptions'!$B$11),'3. Assumptions'!$B$10))^INT(($A90-1)/4)/4*(1-'3. Assumptions'!$B$13)</f>
        <v>4435687.79978068</v>
      </c>
      <c r="AY90" s="33" t="n">
        <f aca="false">(1-'3. Assumptions'!$B$15)*SUMPRODUCT((('2. The tape'!$C$5:$C$13*'2. The tape'!$D$5:$D$13*(1-'2. The tape'!$J$5:$J$13)^($A90/4)*(1+$AX$5)^($A90/4)*((1-'3. Assumptions'!$B$13)/($AX$6)-'2. The tape'!$H$5:$H$13/12-'3. Assumptions'!$B$16)-'2. The tape'!$C$5:$C$13*'2. The tape'!$I$5:$I$13*(1+$AX$5)^($A90/4))&gt;0)*('2. The tape'!$C$5:$C$13*'2. The tape'!$D$5:$D$13*(1-'2. The tape'!$J$5:$J$13)^($A90/4)*(1+$AX$5)^($A90/4)*((1-'3. Assumptions'!$B$13)/($AX$6)-'2. The tape'!$H$5:$H$13/12-'3. Assumptions'!$B$16)-'2. The tape'!$C$5:$C$13*'2. The tape'!$I$5:$I$13*(1+$AX$5)^($A90/4)))</f>
        <v>127669577.93876</v>
      </c>
      <c r="AZ90" s="33" t="n">
        <f aca="false">'2. The tape'!$C$17*(1+MIN(MAX($AZ$5,'3. Assumptions'!$B$11),'3. Assumptions'!$B$10))^INT(($A90-1)/4)/4*(1-'3. Assumptions'!$B$13)</f>
        <v>4435687.79978068</v>
      </c>
      <c r="BA90" s="33" t="n">
        <f aca="false">(1-'3. Assumptions'!$B$15)*SUMPRODUCT((('2. The tape'!$C$5:$C$13*'2. The tape'!$D$5:$D$13*(1-'2. The tape'!$J$5:$J$13)^($A90/4)*(1+$AZ$5)^($A90/4)*((1-'3. Assumptions'!$B$13)/($AZ$6)-'2. The tape'!$H$5:$H$13/12-'3. Assumptions'!$B$16)-'2. The tape'!$C$5:$C$13*'2. The tape'!$I$5:$I$13*(1+$AZ$5)^($A90/4))&gt;0)*('2. The tape'!$C$5:$C$13*'2. The tape'!$D$5:$D$13*(1-'2. The tape'!$J$5:$J$13)^($A90/4)*(1+$AZ$5)^($A90/4)*((1-'3. Assumptions'!$B$13)/($AZ$6)-'2. The tape'!$H$5:$H$13/12-'3. Assumptions'!$B$16)-'2. The tape'!$C$5:$C$13*'2. The tape'!$I$5:$I$13*(1+$AZ$5)^($A90/4)))</f>
        <v>127669577.93876</v>
      </c>
    </row>
    <row r="91" customFormat="false" ht="15" hidden="false" customHeight="false" outlineLevel="0" collapsed="false">
      <c r="A91" s="20" t="n">
        <v>76</v>
      </c>
      <c r="B91" s="33" t="n">
        <f aca="false">'2. The tape'!$C$17*(1+MIN(MAX($B$5,'3. Assumptions'!$B$11),'3. Assumptions'!$B$10))^INT(($A91-1)/4)/4*(1-'3. Assumptions'!$B$13)</f>
        <v>4435687.79978068</v>
      </c>
      <c r="C91" s="33" t="n">
        <f aca="false">(1-'3. Assumptions'!$B$15)*SUMPRODUCT((('2. The tape'!$C$5:$C$13*'2. The tape'!$D$5:$D$13*(1-'2. The tape'!$J$5:$J$13)^($A91/4)*(1+$B$5)^($A91/4)*((1-'3. Assumptions'!$B$13)/($B$6)-'2. The tape'!$H$5:$H$13/12-'3. Assumptions'!$B$16)-'2. The tape'!$C$5:$C$13*'2. The tape'!$I$5:$I$13*(1+$B$5)^($A91/4))&gt;0)*('2. The tape'!$C$5:$C$13*'2. The tape'!$D$5:$D$13*(1-'2. The tape'!$J$5:$J$13)^($A91/4)*(1+$B$5)^($A91/4)*((1-'3. Assumptions'!$B$13)/($B$6)-'2. The tape'!$H$5:$H$13/12-'3. Assumptions'!$B$16)-'2. The tape'!$C$5:$C$13*'2. The tape'!$I$5:$I$13*(1+$B$5)^($A91/4)))</f>
        <v>74417444.7348407</v>
      </c>
      <c r="D91" s="33" t="n">
        <f aca="false">'2. The tape'!$C$17*(1+MIN(MAX($D$5,'3. Assumptions'!$B$11),'3. Assumptions'!$B$10))^INT(($A91-1)/4)/4*(1-'3. Assumptions'!$B$13)</f>
        <v>5104049.66461407</v>
      </c>
      <c r="E91" s="33" t="n">
        <f aca="false">(1-'3. Assumptions'!$B$15)*SUMPRODUCT((('2. The tape'!$C$5:$C$13*'2. The tape'!$D$5:$D$13*(1-'2. The tape'!$J$5:$J$13)^($A91/4)*(1+$D$5)^($A91/4)*((1-'3. Assumptions'!$B$13)/($D$6)-'2. The tape'!$H$5:$H$13/12-'3. Assumptions'!$B$16)-'2. The tape'!$C$5:$C$13*'2. The tape'!$I$5:$I$13*(1+$D$5)^($A91/4))&gt;0)*('2. The tape'!$C$5:$C$13*'2. The tape'!$D$5:$D$13*(1-'2. The tape'!$J$5:$J$13)^($A91/4)*(1+$D$5)^($A91/4)*((1-'3. Assumptions'!$B$13)/($D$6)-'2. The tape'!$H$5:$H$13/12-'3. Assumptions'!$B$16)-'2. The tape'!$C$5:$C$13*'2. The tape'!$I$5:$I$13*(1+$D$5)^($A91/4)))</f>
        <v>94618134.128535</v>
      </c>
      <c r="F91" s="33" t="n">
        <f aca="false">'2. The tape'!$C$17*(1+MIN(MAX($F$5,'3. Assumptions'!$B$11),'3. Assumptions'!$B$10))^INT(($A91-1)/4)/4*(1-'3. Assumptions'!$B$13)</f>
        <v>3586159.28056578</v>
      </c>
      <c r="G91" s="33" t="n">
        <f aca="false">(1-'3. Assumptions'!$B$15)*SUMPRODUCT((('2. The tape'!$C$5:$C$13*'2. The tape'!$D$5:$D$13*(1-'2. The tape'!$J$5:$J$13)^($A91/4)*(1+$F$5)^($A91/4)*((1-'3. Assumptions'!$B$13)/($F$6)-'2. The tape'!$H$5:$H$13/12-'3. Assumptions'!$B$16)-'2. The tape'!$C$5:$C$13*'2. The tape'!$I$5:$I$13*(1+$F$5)^($A91/4))&gt;0)*('2. The tape'!$C$5:$C$13*'2. The tape'!$D$5:$D$13*(1-'2. The tape'!$J$5:$J$13)^($A91/4)*(1+$F$5)^($A91/4)*((1-'3. Assumptions'!$B$13)/($F$6)-'2. The tape'!$H$5:$H$13/12-'3. Assumptions'!$B$16)-'2. The tape'!$C$5:$C$13*'2. The tape'!$I$5:$I$13*(1+$F$5)^($A91/4)))</f>
        <v>59458484.4664872</v>
      </c>
      <c r="H91" s="33" t="n">
        <f aca="false">'2. The tape'!$C$17*(1+MIN(MAX($H$5,'3. Assumptions'!$B$11),'3. Assumptions'!$B$10))^INT(($A91-1)/4)/4*(1-'3. Assumptions'!$B$13)</f>
        <v>5104049.66461407</v>
      </c>
      <c r="I91" s="33" t="n">
        <f aca="false">(1-'3. Assumptions'!$B$15)*SUMPRODUCT((('2. The tape'!$C$5:$C$13*'2. The tape'!$D$5:$D$13*(1-'2. The tape'!$J$5:$J$13)^($A91/4)*(1+$H$5)^($A91/4)*((1-'3. Assumptions'!$B$13)/($H$6)-'2. The tape'!$H$5:$H$13/12-'3. Assumptions'!$B$16)-'2. The tape'!$C$5:$C$13*'2. The tape'!$I$5:$I$13*(1+$H$5)^($A91/4))&gt;0)*('2. The tape'!$C$5:$C$13*'2. The tape'!$D$5:$D$13*(1-'2. The tape'!$J$5:$J$13)^($A91/4)*(1+$H$5)^($A91/4)*((1-'3. Assumptions'!$B$13)/($H$6)-'2. The tape'!$H$5:$H$13/12-'3. Assumptions'!$B$16)-'2. The tape'!$C$5:$C$13*'2. The tape'!$I$5:$I$13*(1+$H$5)^($A91/4)))</f>
        <v>94618134.128535</v>
      </c>
      <c r="J91" s="33" t="n">
        <f aca="false">'2. The tape'!$C$17*(1+MIN(MAX($J$5,'3. Assumptions'!$B$11),'3. Assumptions'!$B$10))^INT(($A91-1)/4)/4*(1-'3. Assumptions'!$B$13)</f>
        <v>4435687.79978068</v>
      </c>
      <c r="K91" s="33" t="n">
        <f aca="false">(1-'3. Assumptions'!$B$15)*SUMPRODUCT((('2. The tape'!$C$5:$C$13*'2. The tape'!$D$5:$D$13*(1-'2. The tape'!$J$5:$J$13)^($A91/4)*(1+$J$5)^($A91/4)*((1-'3. Assumptions'!$B$13)/($J$6)-'2. The tape'!$H$5:$H$13/12-'3. Assumptions'!$B$16)-'2. The tape'!$C$5:$C$13*'2. The tape'!$I$5:$I$13*(1+$J$5)^($A91/4))&gt;0)*('2. The tape'!$C$5:$C$13*'2. The tape'!$D$5:$D$13*(1-'2. The tape'!$J$5:$J$13)^($A91/4)*(1+$J$5)^($A91/4)*((1-'3. Assumptions'!$B$13)/($J$6)-'2. The tape'!$H$5:$H$13/12-'3. Assumptions'!$B$16)-'2. The tape'!$C$5:$C$13*'2. The tape'!$I$5:$I$13*(1+$J$5)^($A91/4)))</f>
        <v>60365815.6064017</v>
      </c>
      <c r="L91" s="33" t="n">
        <f aca="false">'2. The tape'!$C$17*(1+MIN(MAX($L$5,'3. Assumptions'!$B$11),'3. Assumptions'!$B$10))^INT(($A91-1)/4)/4*(1-'3. Assumptions'!$B$13)</f>
        <v>5104049.66461407</v>
      </c>
      <c r="M91" s="33" t="n">
        <f aca="false">(1-'3. Assumptions'!$B$15)*SUMPRODUCT((('2. The tape'!$C$5:$C$13*'2. The tape'!$D$5:$D$13*(1-'2. The tape'!$J$5:$J$13)^($A91/4)*(1+$L$5)^($A91/4)*((1-'3. Assumptions'!$B$13)/($L$6)-'2. The tape'!$H$5:$H$13/12-'3. Assumptions'!$B$16)-'2. The tape'!$C$5:$C$13*'2. The tape'!$I$5:$I$13*(1+$L$5)^($A91/4))&gt;0)*('2. The tape'!$C$5:$C$13*'2. The tape'!$D$5:$D$13*(1-'2. The tape'!$J$5:$J$13)^($A91/4)*(1+$L$5)^($A91/4)*((1-'3. Assumptions'!$B$13)/($L$6)-'2. The tape'!$H$5:$H$13/12-'3. Assumptions'!$B$16)-'2. The tape'!$C$5:$C$13*'2. The tape'!$I$5:$I$13*(1+$L$5)^($A91/4)))</f>
        <v>7195010420.59318</v>
      </c>
      <c r="N91" s="33" t="n">
        <f aca="false">'2. The tape'!$C$17*(1+MIN(MAX($N$5,'3. Assumptions'!$B$11),'3. Assumptions'!$B$10))^INT(($A91-1)/4)/4*(1-'3. Assumptions'!$B$13)</f>
        <v>2998091.25</v>
      </c>
      <c r="O91" s="33" t="n">
        <f aca="false">(1-'3. Assumptions'!$B$15)*SUMPRODUCT((('2. The tape'!$C$5:$C$13*'2. The tape'!$D$5:$D$13*(1-'2. The tape'!$J$5:$J$13)^($A91/4)*(1+$N$5)^($A91/4)*((1-'3. Assumptions'!$B$13)/($N$6)-'2. The tape'!$H$5:$H$13/12-'3. Assumptions'!$B$16)-'2. The tape'!$C$5:$C$13*'2. The tape'!$I$5:$I$13*(1+$N$5)^($A91/4))&gt;0)*('2. The tape'!$C$5:$C$13*'2. The tape'!$D$5:$D$13*(1-'2. The tape'!$J$5:$J$13)^($A91/4)*(1+$N$5)^($A91/4)*((1-'3. Assumptions'!$B$13)/($N$6)-'2. The tape'!$H$5:$H$13/12-'3. Assumptions'!$B$16)-'2. The tape'!$C$5:$C$13*'2. The tape'!$I$5:$I$13*(1+$N$5)^($A91/4)))</f>
        <v>27591206.0489871</v>
      </c>
      <c r="P91" s="33" t="n">
        <f aca="false">'2. The tape'!$C$17*(1+MIN(MAX($P$5,'3. Assumptions'!$B$11),'3. Assumptions'!$B$10))^INT(($A91-1)/4)/4*(1-'3. Assumptions'!$B$13)</f>
        <v>2998091.25</v>
      </c>
      <c r="Q91" s="33" t="n">
        <f aca="false">(1-'3. Assumptions'!$B$15)*SUMPRODUCT((('2. The tape'!$C$5:$C$13*'2. The tape'!$D$5:$D$13*(1-'2. The tape'!$J$5:$J$13)^($A91/4)*(1+$P$5)^($A91/4)*((1-'3. Assumptions'!$B$13)/($P$6)-'2. The tape'!$H$5:$H$13/12-'3. Assumptions'!$B$16)-'2. The tape'!$C$5:$C$13*'2. The tape'!$I$5:$I$13*(1+$P$5)^($A91/4))&gt;0)*('2. The tape'!$C$5:$C$13*'2. The tape'!$D$5:$D$13*(1-'2. The tape'!$J$5:$J$13)^($A91/4)*(1+$P$5)^($A91/4)*((1-'3. Assumptions'!$B$13)/($P$6)-'2. The tape'!$H$5:$H$13/12-'3. Assumptions'!$B$16)-'2. The tape'!$C$5:$C$13*'2. The tape'!$I$5:$I$13*(1+$P$5)^($A91/4)))</f>
        <v>33527654.4317972</v>
      </c>
      <c r="R91" s="33" t="n">
        <f aca="false">'2. The tape'!$C$17*(1+MIN(MAX($R$5,'3. Assumptions'!$B$11),'3. Assumptions'!$B$10))^INT(($A91-1)/4)/4*(1-'3. Assumptions'!$B$13)</f>
        <v>2998091.25</v>
      </c>
      <c r="S91" s="33" t="n">
        <f aca="false">(1-'3. Assumptions'!$B$15)*SUMPRODUCT((('2. The tape'!$C$5:$C$13*'2. The tape'!$D$5:$D$13*(1-'2. The tape'!$J$5:$J$13)^($A91/4)*(1+$R$5)^($A91/4)*((1-'3. Assumptions'!$B$13)/($R$6)-'2. The tape'!$H$5:$H$13/12-'3. Assumptions'!$B$16)-'2. The tape'!$C$5:$C$13*'2. The tape'!$I$5:$I$13*(1+$R$5)^($A91/4))&gt;0)*('2. The tape'!$C$5:$C$13*'2. The tape'!$D$5:$D$13*(1-'2. The tape'!$J$5:$J$13)^($A91/4)*(1+$R$5)^($A91/4)*((1-'3. Assumptions'!$B$13)/($R$6)-'2. The tape'!$H$5:$H$13/12-'3. Assumptions'!$B$16)-'2. The tape'!$C$5:$C$13*'2. The tape'!$I$5:$I$13*(1+$R$5)^($A91/4)))</f>
        <v>29804004.1690656</v>
      </c>
      <c r="T91" s="33" t="n">
        <f aca="false">'2. The tape'!$C$17*(1+MIN(MAX($T$5,'3. Assumptions'!$B$11),'3. Assumptions'!$B$10))^INT(($A91-1)/4)/4*(1-'3. Assumptions'!$B$13)</f>
        <v>2998091.25</v>
      </c>
      <c r="U91" s="33" t="n">
        <f aca="false">(1-'3. Assumptions'!$B$15)*SUMPRODUCT((('2. The tape'!$C$5:$C$13*'2. The tape'!$D$5:$D$13*(1-'2. The tape'!$J$5:$J$13)^($A91/4)*(1+$T$5)^($A91/4)*((1-'3. Assumptions'!$B$13)/($T$6)-'2. The tape'!$H$5:$H$13/12-'3. Assumptions'!$B$16)-'2. The tape'!$C$5:$C$13*'2. The tape'!$I$5:$I$13*(1+$T$5)^($A91/4))&gt;0)*('2. The tape'!$C$5:$C$13*'2. The tape'!$D$5:$D$13*(1-'2. The tape'!$J$5:$J$13)^($A91/4)*(1+$T$5)^($A91/4)*((1-'3. Assumptions'!$B$13)/($T$6)-'2. The tape'!$H$5:$H$13/12-'3. Assumptions'!$B$16)-'2. The tape'!$C$5:$C$13*'2. The tape'!$I$5:$I$13*(1+$T$5)^($A91/4)))</f>
        <v>29708681.8032693</v>
      </c>
      <c r="V91" s="33" t="n">
        <f aca="false">'2. The tape'!$C$17*(1+MIN(MAX($V$5,'3. Assumptions'!$B$11),'3. Assumptions'!$B$10))^INT(($A91-1)/4)/4*(1-'3. Assumptions'!$B$13)</f>
        <v>2998091.25</v>
      </c>
      <c r="W91" s="33" t="n">
        <f aca="false">(1-'3. Assumptions'!$B$15)*SUMPRODUCT((('2. The tape'!$C$5:$C$13*'2. The tape'!$D$5:$D$13*(1-'2. The tape'!$J$5:$J$13)^($A91/4)*(1+$V$5)^($A91/4)*((1-'3. Assumptions'!$B$13)/($V$6)-'2. The tape'!$H$5:$H$13/12-'3. Assumptions'!$B$16)-'2. The tape'!$C$5:$C$13*'2. The tape'!$I$5:$I$13*(1+$V$5)^($A91/4))&gt;0)*('2. The tape'!$C$5:$C$13*'2. The tape'!$D$5:$D$13*(1-'2. The tape'!$J$5:$J$13)^($A91/4)*(1+$V$5)^($A91/4)*((1-'3. Assumptions'!$B$13)/($V$6)-'2. The tape'!$H$5:$H$13/12-'3. Assumptions'!$B$16)-'2. The tape'!$C$5:$C$13*'2. The tape'!$I$5:$I$13*(1+$V$5)^($A91/4)))</f>
        <v>29712506.1886667</v>
      </c>
      <c r="X91" s="33" t="n">
        <f aca="false">'2. The tape'!$C$17*(1+MIN(MAX($X$5,'3. Assumptions'!$B$11),'3. Assumptions'!$B$10))^INT(($A91-1)/4)/4*(1-'3. Assumptions'!$B$13)</f>
        <v>2998091.25</v>
      </c>
      <c r="Y91" s="33" t="n">
        <f aca="false">(1-'3. Assumptions'!$B$15)*SUMPRODUCT((('2. The tape'!$C$5:$C$13*'2. The tape'!$D$5:$D$13*(1-'2. The tape'!$J$5:$J$13)^($A91/4)*(1+$X$5)^($A91/4)*((1-'3. Assumptions'!$B$13)/($X$6)-'2. The tape'!$H$5:$H$13/12-'3. Assumptions'!$B$16)-'2. The tape'!$C$5:$C$13*'2. The tape'!$I$5:$I$13*(1+$X$5)^($A91/4))&gt;0)*('2. The tape'!$C$5:$C$13*'2. The tape'!$D$5:$D$13*(1-'2. The tape'!$J$5:$J$13)^($A91/4)*(1+$X$5)^($A91/4)*((1-'3. Assumptions'!$B$13)/($X$6)-'2. The tape'!$H$5:$H$13/12-'3. Assumptions'!$B$16)-'2. The tape'!$C$5:$C$13*'2. The tape'!$I$5:$I$13*(1+$X$5)^($A91/4)))</f>
        <v>29712502.1668426</v>
      </c>
      <c r="Z91" s="33" t="n">
        <f aca="false">'2. The tape'!$C$17*(1+MIN(MAX($Z$5,'3. Assumptions'!$B$11),'3. Assumptions'!$B$10))^INT(($A91-1)/4)/4*(1-'3. Assumptions'!$B$13)</f>
        <v>2998091.25</v>
      </c>
      <c r="AA91" s="33" t="n">
        <f aca="false">(1-'3. Assumptions'!$B$15)*SUMPRODUCT((('2. The tape'!$C$5:$C$13*'2. The tape'!$D$5:$D$13*(1-'2. The tape'!$J$5:$J$13)^($A91/4)*(1+$Z$5)^($A91/4)*((1-'3. Assumptions'!$B$13)/($Z$6)-'2. The tape'!$H$5:$H$13/12-'3. Assumptions'!$B$16)-'2. The tape'!$C$5:$C$13*'2. The tape'!$I$5:$I$13*(1+$Z$5)^($A91/4))&gt;0)*('2. The tape'!$C$5:$C$13*'2. The tape'!$D$5:$D$13*(1-'2. The tape'!$J$5:$J$13)^($A91/4)*(1+$Z$5)^($A91/4)*((1-'3. Assumptions'!$B$13)/($Z$6)-'2. The tape'!$H$5:$H$13/12-'3. Assumptions'!$B$16)-'2. The tape'!$C$5:$C$13*'2. The tape'!$I$5:$I$13*(1+$Z$5)^($A91/4)))</f>
        <v>29712502.1666656</v>
      </c>
      <c r="AB91" s="33" t="n">
        <f aca="false">'2. The tape'!$C$17*(1+MIN(MAX($AB$5,'3. Assumptions'!$B$11),'3. Assumptions'!$B$10))^INT(($A91-1)/4)/4*(1-'3. Assumptions'!$B$13)</f>
        <v>2998091.25</v>
      </c>
      <c r="AC91" s="33" t="n">
        <f aca="false">(1-'3. Assumptions'!$B$15)*SUMPRODUCT((('2. The tape'!$C$5:$C$13*'2. The tape'!$D$5:$D$13*(1-'2. The tape'!$J$5:$J$13)^($A91/4)*(1+$AB$5)^($A91/4)*((1-'3. Assumptions'!$B$13)/($AB$6)-'2. The tape'!$H$5:$H$13/12-'3. Assumptions'!$B$16)-'2. The tape'!$C$5:$C$13*'2. The tape'!$I$5:$I$13*(1+$AB$5)^($A91/4))&gt;0)*('2. The tape'!$C$5:$C$13*'2. The tape'!$D$5:$D$13*(1-'2. The tape'!$J$5:$J$13)^($A91/4)*(1+$AB$5)^($A91/4)*((1-'3. Assumptions'!$B$13)/($AB$6)-'2. The tape'!$H$5:$H$13/12-'3. Assumptions'!$B$16)-'2. The tape'!$C$5:$C$13*'2. The tape'!$I$5:$I$13*(1+$AB$5)^($A91/4)))</f>
        <v>29712502.1666656</v>
      </c>
      <c r="AD91" s="33" t="n">
        <f aca="false">'2. The tape'!$C$17*(1+MIN(MAX($AD$5,'3. Assumptions'!$B$11),'3. Assumptions'!$B$10))^INT(($A91-1)/4)/4*(1-'3. Assumptions'!$B$13)</f>
        <v>2998091.25</v>
      </c>
      <c r="AE91" s="33" t="n">
        <f aca="false">(1-'3. Assumptions'!$B$15)*SUMPRODUCT((('2. The tape'!$C$5:$C$13*'2. The tape'!$D$5:$D$13*(1-'2. The tape'!$J$5:$J$13)^($A91/4)*(1+$AD$5)^($A91/4)*((1-'3. Assumptions'!$B$13)/($AD$6)-'2. The tape'!$H$5:$H$13/12-'3. Assumptions'!$B$16)-'2. The tape'!$C$5:$C$13*'2. The tape'!$I$5:$I$13*(1+$AD$5)^($A91/4))&gt;0)*('2. The tape'!$C$5:$C$13*'2. The tape'!$D$5:$D$13*(1-'2. The tape'!$J$5:$J$13)^($A91/4)*(1+$AD$5)^($A91/4)*((1-'3. Assumptions'!$B$13)/($AD$6)-'2. The tape'!$H$5:$H$13/12-'3. Assumptions'!$B$16)-'2. The tape'!$C$5:$C$13*'2. The tape'!$I$5:$I$13*(1+$AD$5)^($A91/4)))</f>
        <v>29712502.1666656</v>
      </c>
      <c r="AF91" s="33" t="n">
        <f aca="false">'2. The tape'!$C$17*(1+MIN(MAX($AF$5,'3. Assumptions'!$B$11),'3. Assumptions'!$B$10))^INT(($A91-1)/4)/4*(1-'3. Assumptions'!$B$13)</f>
        <v>2998091.25</v>
      </c>
      <c r="AG91" s="33" t="n">
        <f aca="false">(1-'3. Assumptions'!$B$15)*SUMPRODUCT((('2. The tape'!$C$5:$C$13*'2. The tape'!$D$5:$D$13*(1-'2. The tape'!$J$5:$J$13)^($A91/4)*(1+$AF$5)^($A91/4)*((1-'3. Assumptions'!$B$13)/($AF$6)-'2. The tape'!$H$5:$H$13/12-'3. Assumptions'!$B$16)-'2. The tape'!$C$5:$C$13*'2. The tape'!$I$5:$I$13*(1+$AF$5)^($A91/4))&gt;0)*('2. The tape'!$C$5:$C$13*'2. The tape'!$D$5:$D$13*(1-'2. The tape'!$J$5:$J$13)^($A91/4)*(1+$AF$5)^($A91/4)*((1-'3. Assumptions'!$B$13)/($AF$6)-'2. The tape'!$H$5:$H$13/12-'3. Assumptions'!$B$16)-'2. The tape'!$C$5:$C$13*'2. The tape'!$I$5:$I$13*(1+$AF$5)^($A91/4)))</f>
        <v>29712502.1666656</v>
      </c>
      <c r="AH91" s="33" t="n">
        <f aca="false">'2. The tape'!$C$17*(1+MIN(MAX($AH$5,'3. Assumptions'!$B$11),'3. Assumptions'!$B$10))^INT(($A91-1)/4)/4*(1-'3. Assumptions'!$B$13)</f>
        <v>4435687.79978068</v>
      </c>
      <c r="AI91" s="33" t="n">
        <f aca="false">(1-'3. Assumptions'!$B$15)*SUMPRODUCT((('2. The tape'!$C$5:$C$13*'2. The tape'!$D$5:$D$13*(1-'2. The tape'!$J$5:$J$13)^($A91/4)*(1+$AH$5)^($A91/4)*((1-'3. Assumptions'!$B$13)/($AH$6)-'2. The tape'!$H$5:$H$13/12-'3. Assumptions'!$B$16)-'2. The tape'!$C$5:$C$13*'2. The tape'!$I$5:$I$13*(1+$AH$5)^($A91/4))&gt;0)*('2. The tape'!$C$5:$C$13*'2. The tape'!$D$5:$D$13*(1-'2. The tape'!$J$5:$J$13)^($A91/4)*(1+$AH$5)^($A91/4)*((1-'3. Assumptions'!$B$13)/($AH$6)-'2. The tape'!$H$5:$H$13/12-'3. Assumptions'!$B$16)-'2. The tape'!$C$5:$C$13*'2. The tape'!$I$5:$I$13*(1+$AH$5)^($A91/4)))</f>
        <v>151139339.776118</v>
      </c>
      <c r="AJ91" s="33" t="n">
        <f aca="false">'2. The tape'!$C$17*(1+MIN(MAX($AJ$5,'3. Assumptions'!$B$11),'3. Assumptions'!$B$10))^INT(($A91-1)/4)/4*(1-'3. Assumptions'!$B$13)</f>
        <v>4435687.79978068</v>
      </c>
      <c r="AK91" s="33" t="n">
        <f aca="false">(1-'3. Assumptions'!$B$15)*SUMPRODUCT((('2. The tape'!$C$5:$C$13*'2. The tape'!$D$5:$D$13*(1-'2. The tape'!$J$5:$J$13)^($A91/4)*(1+$AJ$5)^($A91/4)*((1-'3. Assumptions'!$B$13)/($AJ$6)-'2. The tape'!$H$5:$H$13/12-'3. Assumptions'!$B$16)-'2. The tape'!$C$5:$C$13*'2. The tape'!$I$5:$I$13*(1+$AJ$5)^($A91/4))&gt;0)*('2. The tape'!$C$5:$C$13*'2. The tape'!$D$5:$D$13*(1-'2. The tape'!$J$5:$J$13)^($A91/4)*(1+$AJ$5)^($A91/4)*((1-'3. Assumptions'!$B$13)/($AJ$6)-'2. The tape'!$H$5:$H$13/12-'3. Assumptions'!$B$16)-'2. The tape'!$C$5:$C$13*'2. The tape'!$I$5:$I$13*(1+$AJ$5)^($A91/4)))</f>
        <v>108141354.643095</v>
      </c>
      <c r="AL91" s="33" t="n">
        <f aca="false">'2. The tape'!$C$17*(1+MIN(MAX($AL$5,'3. Assumptions'!$B$11),'3. Assumptions'!$B$10))^INT(($A91-1)/4)/4*(1-'3. Assumptions'!$B$13)</f>
        <v>4435687.79978068</v>
      </c>
      <c r="AM91" s="33" t="n">
        <f aca="false">(1-'3. Assumptions'!$B$15)*SUMPRODUCT((('2. The tape'!$C$5:$C$13*'2. The tape'!$D$5:$D$13*(1-'2. The tape'!$J$5:$J$13)^($A91/4)*(1+$AL$5)^($A91/4)*((1-'3. Assumptions'!$B$13)/($AL$6)-'2. The tape'!$H$5:$H$13/12-'3. Assumptions'!$B$16)-'2. The tape'!$C$5:$C$13*'2. The tape'!$I$5:$I$13*(1+$AL$5)^($A91/4))&gt;0)*('2. The tape'!$C$5:$C$13*'2. The tape'!$D$5:$D$13*(1-'2. The tape'!$J$5:$J$13)^($A91/4)*(1+$AL$5)^($A91/4)*((1-'3. Assumptions'!$B$13)/($AL$6)-'2. The tape'!$H$5:$H$13/12-'3. Assumptions'!$B$16)-'2. The tape'!$C$5:$C$13*'2. The tape'!$I$5:$I$13*(1+$AL$5)^($A91/4)))</f>
        <v>124817841.538018</v>
      </c>
      <c r="AN91" s="33" t="n">
        <f aca="false">'2. The tape'!$C$17*(1+MIN(MAX($AN$5,'3. Assumptions'!$B$11),'3. Assumptions'!$B$10))^INT(($A91-1)/4)/4*(1-'3. Assumptions'!$B$13)</f>
        <v>4435687.79978068</v>
      </c>
      <c r="AO91" s="33" t="n">
        <f aca="false">(1-'3. Assumptions'!$B$15)*SUMPRODUCT((('2. The tape'!$C$5:$C$13*'2. The tape'!$D$5:$D$13*(1-'2. The tape'!$J$5:$J$13)^($A91/4)*(1+$AN$5)^($A91/4)*((1-'3. Assumptions'!$B$13)/($AN$6)-'2. The tape'!$H$5:$H$13/12-'3. Assumptions'!$B$16)-'2. The tape'!$C$5:$C$13*'2. The tape'!$I$5:$I$13*(1+$AN$5)^($A91/4))&gt;0)*('2. The tape'!$C$5:$C$13*'2. The tape'!$D$5:$D$13*(1-'2. The tape'!$J$5:$J$13)^($A91/4)*(1+$AN$5)^($A91/4)*((1-'3. Assumptions'!$B$13)/($AN$6)-'2. The tape'!$H$5:$H$13/12-'3. Assumptions'!$B$16)-'2. The tape'!$C$5:$C$13*'2. The tape'!$I$5:$I$13*(1+$AN$5)^($A91/4)))</f>
        <v>127940192.005641</v>
      </c>
      <c r="AP91" s="33" t="n">
        <f aca="false">'2. The tape'!$C$17*(1+MIN(MAX($AP$5,'3. Assumptions'!$B$11),'3. Assumptions'!$B$10))^INT(($A91-1)/4)/4*(1-'3. Assumptions'!$B$13)</f>
        <v>4435687.79978068</v>
      </c>
      <c r="AQ91" s="33" t="n">
        <f aca="false">(1-'3. Assumptions'!$B$15)*SUMPRODUCT((('2. The tape'!$C$5:$C$13*'2. The tape'!$D$5:$D$13*(1-'2. The tape'!$J$5:$J$13)^($A91/4)*(1+$AP$5)^($A91/4)*((1-'3. Assumptions'!$B$13)/($AP$6)-'2. The tape'!$H$5:$H$13/12-'3. Assumptions'!$B$16)-'2. The tape'!$C$5:$C$13*'2. The tape'!$I$5:$I$13*(1+$AP$5)^($A91/4))&gt;0)*('2. The tape'!$C$5:$C$13*'2. The tape'!$D$5:$D$13*(1-'2. The tape'!$J$5:$J$13)^($A91/4)*(1+$AP$5)^($A91/4)*((1-'3. Assumptions'!$B$13)/($AP$6)-'2. The tape'!$H$5:$H$13/12-'3. Assumptions'!$B$16)-'2. The tape'!$C$5:$C$13*'2. The tape'!$I$5:$I$13*(1+$AP$5)^($A91/4)))</f>
        <v>127554744.247593</v>
      </c>
      <c r="AR91" s="33" t="n">
        <f aca="false">'2. The tape'!$C$17*(1+MIN(MAX($AR$5,'3. Assumptions'!$B$11),'3. Assumptions'!$B$10))^INT(($A91-1)/4)/4*(1-'3. Assumptions'!$B$13)</f>
        <v>4435687.79978068</v>
      </c>
      <c r="AS91" s="33" t="n">
        <f aca="false">(1-'3. Assumptions'!$B$15)*SUMPRODUCT((('2. The tape'!$C$5:$C$13*'2. The tape'!$D$5:$D$13*(1-'2. The tape'!$J$5:$J$13)^($A91/4)*(1+$AR$5)^($A91/4)*((1-'3. Assumptions'!$B$13)/($AR$6)-'2. The tape'!$H$5:$H$13/12-'3. Assumptions'!$B$16)-'2. The tape'!$C$5:$C$13*'2. The tape'!$I$5:$I$13*(1+$AR$5)^($A91/4))&gt;0)*('2. The tape'!$C$5:$C$13*'2. The tape'!$D$5:$D$13*(1-'2. The tape'!$J$5:$J$13)^($A91/4)*(1+$AR$5)^($A91/4)*((1-'3. Assumptions'!$B$13)/($AR$6)-'2. The tape'!$H$5:$H$13/12-'3. Assumptions'!$B$16)-'2. The tape'!$C$5:$C$13*'2. The tape'!$I$5:$I$13*(1+$AR$5)^($A91/4)))</f>
        <v>127561211.508878</v>
      </c>
      <c r="AT91" s="33" t="n">
        <f aca="false">'2. The tape'!$C$17*(1+MIN(MAX($AT$5,'3. Assumptions'!$B$11),'3. Assumptions'!$B$10))^INT(($A91-1)/4)/4*(1-'3. Assumptions'!$B$13)</f>
        <v>4435687.79978068</v>
      </c>
      <c r="AU91" s="33" t="n">
        <f aca="false">(1-'3. Assumptions'!$B$15)*SUMPRODUCT((('2. The tape'!$C$5:$C$13*'2. The tape'!$D$5:$D$13*(1-'2. The tape'!$J$5:$J$13)^($A91/4)*(1+$AT$5)^($A91/4)*((1-'3. Assumptions'!$B$13)/($AT$6)-'2. The tape'!$H$5:$H$13/12-'3. Assumptions'!$B$16)-'2. The tape'!$C$5:$C$13*'2. The tape'!$I$5:$I$13*(1+$AT$5)^($A91/4))&gt;0)*('2. The tape'!$C$5:$C$13*'2. The tape'!$D$5:$D$13*(1-'2. The tape'!$J$5:$J$13)^($A91/4)*(1+$AT$5)^($A91/4)*((1-'3. Assumptions'!$B$13)/($AT$6)-'2. The tape'!$H$5:$H$13/12-'3. Assumptions'!$B$16)-'2. The tape'!$C$5:$C$13*'2. The tape'!$I$5:$I$13*(1+$AT$5)^($A91/4)))</f>
        <v>127561226.569502</v>
      </c>
      <c r="AV91" s="33" t="n">
        <f aca="false">'2. The tape'!$C$17*(1+MIN(MAX($AV$5,'3. Assumptions'!$B$11),'3. Assumptions'!$B$10))^INT(($A91-1)/4)/4*(1-'3. Assumptions'!$B$13)</f>
        <v>4435687.79978068</v>
      </c>
      <c r="AW91" s="33" t="n">
        <f aca="false">(1-'3. Assumptions'!$B$15)*SUMPRODUCT((('2. The tape'!$C$5:$C$13*'2. The tape'!$D$5:$D$13*(1-'2. The tape'!$J$5:$J$13)^($A91/4)*(1+$AV$5)^($A91/4)*((1-'3. Assumptions'!$B$13)/($AV$6)-'2. The tape'!$H$5:$H$13/12-'3. Assumptions'!$B$16)-'2. The tape'!$C$5:$C$13*'2. The tape'!$I$5:$I$13*(1+$AV$5)^($A91/4))&gt;0)*('2. The tape'!$C$5:$C$13*'2. The tape'!$D$5:$D$13*(1-'2. The tape'!$J$5:$J$13)^($A91/4)*(1+$AV$5)^($A91/4)*((1-'3. Assumptions'!$B$13)/($AV$6)-'2. The tape'!$H$5:$H$13/12-'3. Assumptions'!$B$16)-'2. The tape'!$C$5:$C$13*'2. The tape'!$I$5:$I$13*(1+$AV$5)^($A91/4)))</f>
        <v>127561226.568902</v>
      </c>
      <c r="AX91" s="33" t="n">
        <f aca="false">'2. The tape'!$C$17*(1+MIN(MAX($AX$5,'3. Assumptions'!$B$11),'3. Assumptions'!$B$10))^INT(($A91-1)/4)/4*(1-'3. Assumptions'!$B$13)</f>
        <v>4435687.79978068</v>
      </c>
      <c r="AY91" s="33" t="n">
        <f aca="false">(1-'3. Assumptions'!$B$15)*SUMPRODUCT((('2. The tape'!$C$5:$C$13*'2. The tape'!$D$5:$D$13*(1-'2. The tape'!$J$5:$J$13)^($A91/4)*(1+$AX$5)^($A91/4)*((1-'3. Assumptions'!$B$13)/($AX$6)-'2. The tape'!$H$5:$H$13/12-'3. Assumptions'!$B$16)-'2. The tape'!$C$5:$C$13*'2. The tape'!$I$5:$I$13*(1+$AX$5)^($A91/4))&gt;0)*('2. The tape'!$C$5:$C$13*'2. The tape'!$D$5:$D$13*(1-'2. The tape'!$J$5:$J$13)^($A91/4)*(1+$AX$5)^($A91/4)*((1-'3. Assumptions'!$B$13)/($AX$6)-'2. The tape'!$H$5:$H$13/12-'3. Assumptions'!$B$16)-'2. The tape'!$C$5:$C$13*'2. The tape'!$I$5:$I$13*(1+$AX$5)^($A91/4)))</f>
        <v>127561226.568902</v>
      </c>
      <c r="AZ91" s="33" t="n">
        <f aca="false">'2. The tape'!$C$17*(1+MIN(MAX($AZ$5,'3. Assumptions'!$B$11),'3. Assumptions'!$B$10))^INT(($A91-1)/4)/4*(1-'3. Assumptions'!$B$13)</f>
        <v>4435687.79978068</v>
      </c>
      <c r="BA91" s="33" t="n">
        <f aca="false">(1-'3. Assumptions'!$B$15)*SUMPRODUCT((('2. The tape'!$C$5:$C$13*'2. The tape'!$D$5:$D$13*(1-'2. The tape'!$J$5:$J$13)^($A91/4)*(1+$AZ$5)^($A91/4)*((1-'3. Assumptions'!$B$13)/($AZ$6)-'2. The tape'!$H$5:$H$13/12-'3. Assumptions'!$B$16)-'2. The tape'!$C$5:$C$13*'2. The tape'!$I$5:$I$13*(1+$AZ$5)^($A91/4))&gt;0)*('2. The tape'!$C$5:$C$13*'2. The tape'!$D$5:$D$13*(1-'2. The tape'!$J$5:$J$13)^($A91/4)*(1+$AZ$5)^($A91/4)*((1-'3. Assumptions'!$B$13)/($AZ$6)-'2. The tape'!$H$5:$H$13/12-'3. Assumptions'!$B$16)-'2. The tape'!$C$5:$C$13*'2. The tape'!$I$5:$I$13*(1+$AZ$5)^($A91/4)))</f>
        <v>127561226.568902</v>
      </c>
    </row>
    <row r="92" customFormat="false" ht="15" hidden="false" customHeight="false" outlineLevel="0" collapsed="false">
      <c r="A92" s="20" t="n">
        <v>77</v>
      </c>
      <c r="B92" s="33" t="n">
        <f aca="false">'2. The tape'!$C$17*(1+MIN(MAX($B$5,'3. Assumptions'!$B$11),'3. Assumptions'!$B$10))^INT(($A92-1)/4)/4*(1-'3. Assumptions'!$B$13)</f>
        <v>4533272.93137586</v>
      </c>
      <c r="C92" s="33" t="n">
        <f aca="false">(1-'3. Assumptions'!$B$15)*SUMPRODUCT((('2. The tape'!$C$5:$C$13*'2. The tape'!$D$5:$D$13*(1-'2. The tape'!$J$5:$J$13)^($A92/4)*(1+$B$5)^($A92/4)*((1-'3. Assumptions'!$B$13)/($B$6)-'2. The tape'!$H$5:$H$13/12-'3. Assumptions'!$B$16)-'2. The tape'!$C$5:$C$13*'2. The tape'!$I$5:$I$13*(1+$B$5)^($A92/4))&gt;0)*('2. The tape'!$C$5:$C$13*'2. The tape'!$D$5:$D$13*(1-'2. The tape'!$J$5:$J$13)^($A92/4)*(1+$B$5)^($A92/4)*((1-'3. Assumptions'!$B$13)/($B$6)-'2. The tape'!$H$5:$H$13/12-'3. Assumptions'!$B$16)-'2. The tape'!$C$5:$C$13*'2. The tape'!$I$5:$I$13*(1+$B$5)^($A92/4)))</f>
        <v>74306867.2234563</v>
      </c>
      <c r="D92" s="33" t="n">
        <f aca="false">'2. The tape'!$C$17*(1+MIN(MAX($D$5,'3. Assumptions'!$B$11),'3. Assumptions'!$B$10))^INT(($A92-1)/4)/4*(1-'3. Assumptions'!$B$13)</f>
        <v>5257171.15455249</v>
      </c>
      <c r="E92" s="33" t="n">
        <f aca="false">(1-'3. Assumptions'!$B$15)*SUMPRODUCT((('2. The tape'!$C$5:$C$13*'2. The tape'!$D$5:$D$13*(1-'2. The tape'!$J$5:$J$13)^($A92/4)*(1+$D$5)^($A92/4)*((1-'3. Assumptions'!$B$13)/($D$6)-'2. The tape'!$H$5:$H$13/12-'3. Assumptions'!$B$16)-'2. The tape'!$C$5:$C$13*'2. The tape'!$I$5:$I$13*(1+$D$5)^($A92/4))&gt;0)*('2. The tape'!$C$5:$C$13*'2. The tape'!$D$5:$D$13*(1-'2. The tape'!$J$5:$J$13)^($A92/4)*(1+$D$5)^($A92/4)*((1-'3. Assumptions'!$B$13)/($D$6)-'2. The tape'!$H$5:$H$13/12-'3. Assumptions'!$B$16)-'2. The tape'!$C$5:$C$13*'2. The tape'!$I$5:$I$13*(1+$D$5)^($A92/4)))</f>
        <v>94776559.9319426</v>
      </c>
      <c r="F92" s="33" t="n">
        <f aca="false">'2. The tape'!$C$17*(1+MIN(MAX($F$5,'3. Assumptions'!$B$11),'3. Assumptions'!$B$10))^INT(($A92-1)/4)/4*(1-'3. Assumptions'!$B$13)</f>
        <v>3622020.87337144</v>
      </c>
      <c r="G92" s="33" t="n">
        <f aca="false">(1-'3. Assumptions'!$B$15)*SUMPRODUCT((('2. The tape'!$C$5:$C$13*'2. The tape'!$D$5:$D$13*(1-'2. The tape'!$J$5:$J$13)^($A92/4)*(1+$F$5)^($A92/4)*((1-'3. Assumptions'!$B$13)/($F$6)-'2. The tape'!$H$5:$H$13/12-'3. Assumptions'!$B$16)-'2. The tape'!$C$5:$C$13*'2. The tape'!$I$5:$I$13*(1+$F$5)^($A92/4))&gt;0)*('2. The tape'!$C$5:$C$13*'2. The tape'!$D$5:$D$13*(1-'2. The tape'!$J$5:$J$13)^($A92/4)*(1+$F$5)^($A92/4)*((1-'3. Assumptions'!$B$13)/($F$6)-'2. The tape'!$H$5:$H$13/12-'3. Assumptions'!$B$16)-'2. The tape'!$C$5:$C$13*'2. The tape'!$I$5:$I$13*(1+$F$5)^($A92/4)))</f>
        <v>59195085.6159818</v>
      </c>
      <c r="H92" s="33" t="n">
        <f aca="false">'2. The tape'!$C$17*(1+MIN(MAX($H$5,'3. Assumptions'!$B$11),'3. Assumptions'!$B$10))^INT(($A92-1)/4)/4*(1-'3. Assumptions'!$B$13)</f>
        <v>5257171.15455249</v>
      </c>
      <c r="I92" s="33" t="n">
        <f aca="false">(1-'3. Assumptions'!$B$15)*SUMPRODUCT((('2. The tape'!$C$5:$C$13*'2. The tape'!$D$5:$D$13*(1-'2. The tape'!$J$5:$J$13)^($A92/4)*(1+$H$5)^($A92/4)*((1-'3. Assumptions'!$B$13)/($H$6)-'2. The tape'!$H$5:$H$13/12-'3. Assumptions'!$B$16)-'2. The tape'!$C$5:$C$13*'2. The tape'!$I$5:$I$13*(1+$H$5)^($A92/4))&gt;0)*('2. The tape'!$C$5:$C$13*'2. The tape'!$D$5:$D$13*(1-'2. The tape'!$J$5:$J$13)^($A92/4)*(1+$H$5)^($A92/4)*((1-'3. Assumptions'!$B$13)/($H$6)-'2. The tape'!$H$5:$H$13/12-'3. Assumptions'!$B$16)-'2. The tape'!$C$5:$C$13*'2. The tape'!$I$5:$I$13*(1+$H$5)^($A92/4)))</f>
        <v>94776559.9319426</v>
      </c>
      <c r="J92" s="33" t="n">
        <f aca="false">'2. The tape'!$C$17*(1+MIN(MAX($J$5,'3. Assumptions'!$B$11),'3. Assumptions'!$B$10))^INT(($A92-1)/4)/4*(1-'3. Assumptions'!$B$13)</f>
        <v>4533272.93137586</v>
      </c>
      <c r="K92" s="33" t="n">
        <f aca="false">(1-'3. Assumptions'!$B$15)*SUMPRODUCT((('2. The tape'!$C$5:$C$13*'2. The tape'!$D$5:$D$13*(1-'2. The tape'!$J$5:$J$13)^($A92/4)*(1+$J$5)^($A92/4)*((1-'3. Assumptions'!$B$13)/($J$6)-'2. The tape'!$H$5:$H$13/12-'3. Assumptions'!$B$16)-'2. The tape'!$C$5:$C$13*'2. The tape'!$I$5:$I$13*(1+$J$5)^($A92/4))&gt;0)*('2. The tape'!$C$5:$C$13*'2. The tape'!$D$5:$D$13*(1-'2. The tape'!$J$5:$J$13)^($A92/4)*(1+$J$5)^($A92/4)*((1-'3. Assumptions'!$B$13)/($J$6)-'2. The tape'!$H$5:$H$13/12-'3. Assumptions'!$B$16)-'2. The tape'!$C$5:$C$13*'2. The tape'!$I$5:$I$13*(1+$J$5)^($A92/4)))</f>
        <v>60254715.0846426</v>
      </c>
      <c r="L92" s="33" t="n">
        <f aca="false">'2. The tape'!$C$17*(1+MIN(MAX($L$5,'3. Assumptions'!$B$11),'3. Assumptions'!$B$10))^INT(($A92-1)/4)/4*(1-'3. Assumptions'!$B$13)</f>
        <v>5257171.15455249</v>
      </c>
      <c r="M92" s="33" t="n">
        <f aca="false">(1-'3. Assumptions'!$B$15)*SUMPRODUCT((('2. The tape'!$C$5:$C$13*'2. The tape'!$D$5:$D$13*(1-'2. The tape'!$J$5:$J$13)^($A92/4)*(1+$L$5)^($A92/4)*((1-'3. Assumptions'!$B$13)/($L$6)-'2. The tape'!$H$5:$H$13/12-'3. Assumptions'!$B$16)-'2. The tape'!$C$5:$C$13*'2. The tape'!$I$5:$I$13*(1+$L$5)^($A92/4))&gt;0)*('2. The tape'!$C$5:$C$13*'2. The tape'!$D$5:$D$13*(1-'2. The tape'!$J$5:$J$13)^($A92/4)*(1+$L$5)^($A92/4)*((1-'3. Assumptions'!$B$13)/($L$6)-'2. The tape'!$H$5:$H$13/12-'3. Assumptions'!$B$16)-'2. The tape'!$C$5:$C$13*'2. The tape'!$I$5:$I$13*(1+$L$5)^($A92/4)))</f>
        <v>7629722448.52175</v>
      </c>
      <c r="N92" s="33" t="n">
        <f aca="false">'2. The tape'!$C$17*(1+MIN(MAX($N$5,'3. Assumptions'!$B$11),'3. Assumptions'!$B$10))^INT(($A92-1)/4)/4*(1-'3. Assumptions'!$B$13)</f>
        <v>2998091.25</v>
      </c>
      <c r="O92" s="33" t="n">
        <f aca="false">(1-'3. Assumptions'!$B$15)*SUMPRODUCT((('2. The tape'!$C$5:$C$13*'2. The tape'!$D$5:$D$13*(1-'2. The tape'!$J$5:$J$13)^($A92/4)*(1+$N$5)^($A92/4)*((1-'3. Assumptions'!$B$13)/($N$6)-'2. The tape'!$H$5:$H$13/12-'3. Assumptions'!$B$16)-'2. The tape'!$C$5:$C$13*'2. The tape'!$I$5:$I$13*(1+$N$5)^($A92/4))&gt;0)*('2. The tape'!$C$5:$C$13*'2. The tape'!$D$5:$D$13*(1-'2. The tape'!$J$5:$J$13)^($A92/4)*(1+$N$5)^($A92/4)*((1-'3. Assumptions'!$B$13)/($N$6)-'2. The tape'!$H$5:$H$13/12-'3. Assumptions'!$B$16)-'2. The tape'!$C$5:$C$13*'2. The tape'!$I$5:$I$13*(1+$N$5)^($A92/4)))</f>
        <v>27192872.8718439</v>
      </c>
      <c r="P92" s="33" t="n">
        <f aca="false">'2. The tape'!$C$17*(1+MIN(MAX($P$5,'3. Assumptions'!$B$11),'3. Assumptions'!$B$10))^INT(($A92-1)/4)/4*(1-'3. Assumptions'!$B$13)</f>
        <v>2998091.25</v>
      </c>
      <c r="Q92" s="33" t="n">
        <f aca="false">(1-'3. Assumptions'!$B$15)*SUMPRODUCT((('2. The tape'!$C$5:$C$13*'2. The tape'!$D$5:$D$13*(1-'2. The tape'!$J$5:$J$13)^($A92/4)*(1+$P$5)^($A92/4)*((1-'3. Assumptions'!$B$13)/($P$6)-'2. The tape'!$H$5:$H$13/12-'3. Assumptions'!$B$16)-'2. The tape'!$C$5:$C$13*'2. The tape'!$I$5:$I$13*(1+$P$5)^($A92/4))&gt;0)*('2. The tape'!$C$5:$C$13*'2. The tape'!$D$5:$D$13*(1-'2. The tape'!$J$5:$J$13)^($A92/4)*(1+$P$5)^($A92/4)*((1-'3. Assumptions'!$B$13)/($P$6)-'2. The tape'!$H$5:$H$13/12-'3. Assumptions'!$B$16)-'2. The tape'!$C$5:$C$13*'2. The tape'!$I$5:$I$13*(1+$P$5)^($A92/4)))</f>
        <v>33128453.6636236</v>
      </c>
      <c r="R92" s="33" t="n">
        <f aca="false">'2. The tape'!$C$17*(1+MIN(MAX($R$5,'3. Assumptions'!$B$11),'3. Assumptions'!$B$10))^INT(($A92-1)/4)/4*(1-'3. Assumptions'!$B$13)</f>
        <v>2998091.25</v>
      </c>
      <c r="S92" s="33" t="n">
        <f aca="false">(1-'3. Assumptions'!$B$15)*SUMPRODUCT((('2. The tape'!$C$5:$C$13*'2. The tape'!$D$5:$D$13*(1-'2. The tape'!$J$5:$J$13)^($A92/4)*(1+$R$5)^($A92/4)*((1-'3. Assumptions'!$B$13)/($R$6)-'2. The tape'!$H$5:$H$13/12-'3. Assumptions'!$B$16)-'2. The tape'!$C$5:$C$13*'2. The tape'!$I$5:$I$13*(1+$R$5)^($A92/4))&gt;0)*('2. The tape'!$C$5:$C$13*'2. The tape'!$D$5:$D$13*(1-'2. The tape'!$J$5:$J$13)^($A92/4)*(1+$R$5)^($A92/4)*((1-'3. Assumptions'!$B$13)/($R$6)-'2. The tape'!$H$5:$H$13/12-'3. Assumptions'!$B$16)-'2. The tape'!$C$5:$C$13*'2. The tape'!$I$5:$I$13*(1+$R$5)^($A92/4)))</f>
        <v>29403556.5642295</v>
      </c>
      <c r="T92" s="33" t="n">
        <f aca="false">'2. The tape'!$C$17*(1+MIN(MAX($T$5,'3. Assumptions'!$B$11),'3. Assumptions'!$B$10))^INT(($A92-1)/4)/4*(1-'3. Assumptions'!$B$13)</f>
        <v>2998091.25</v>
      </c>
      <c r="U92" s="33" t="n">
        <f aca="false">(1-'3. Assumptions'!$B$15)*SUMPRODUCT((('2. The tape'!$C$5:$C$13*'2. The tape'!$D$5:$D$13*(1-'2. The tape'!$J$5:$J$13)^($A92/4)*(1+$T$5)^($A92/4)*((1-'3. Assumptions'!$B$13)/($T$6)-'2. The tape'!$H$5:$H$13/12-'3. Assumptions'!$B$16)-'2. The tape'!$C$5:$C$13*'2. The tape'!$I$5:$I$13*(1+$T$5)^($A92/4))&gt;0)*('2. The tape'!$C$5:$C$13*'2. The tape'!$D$5:$D$13*(1-'2. The tape'!$J$5:$J$13)^($A92/4)*(1+$T$5)^($A92/4)*((1-'3. Assumptions'!$B$13)/($T$6)-'2. The tape'!$H$5:$H$13/12-'3. Assumptions'!$B$16)-'2. The tape'!$C$5:$C$13*'2. The tape'!$I$5:$I$13*(1+$T$5)^($A92/4)))</f>
        <v>29308279.5702571</v>
      </c>
      <c r="V92" s="33" t="n">
        <f aca="false">'2. The tape'!$C$17*(1+MIN(MAX($V$5,'3. Assumptions'!$B$11),'3. Assumptions'!$B$10))^INT(($A92-1)/4)/4*(1-'3. Assumptions'!$B$13)</f>
        <v>2998091.25</v>
      </c>
      <c r="W92" s="33" t="n">
        <f aca="false">(1-'3. Assumptions'!$B$15)*SUMPRODUCT((('2. The tape'!$C$5:$C$13*'2. The tape'!$D$5:$D$13*(1-'2. The tape'!$J$5:$J$13)^($A92/4)*(1+$V$5)^($A92/4)*((1-'3. Assumptions'!$B$13)/($V$6)-'2. The tape'!$H$5:$H$13/12-'3. Assumptions'!$B$16)-'2. The tape'!$C$5:$C$13*'2. The tape'!$I$5:$I$13*(1+$V$5)^($A92/4))&gt;0)*('2. The tape'!$C$5:$C$13*'2. The tape'!$D$5:$D$13*(1-'2. The tape'!$J$5:$J$13)^($A92/4)*(1+$V$5)^($A92/4)*((1-'3. Assumptions'!$B$13)/($V$6)-'2. The tape'!$H$5:$H$13/12-'3. Assumptions'!$B$16)-'2. The tape'!$C$5:$C$13*'2. The tape'!$I$5:$I$13*(1+$V$5)^($A92/4)))</f>
        <v>29312102.0579453</v>
      </c>
      <c r="X92" s="33" t="n">
        <f aca="false">'2. The tape'!$C$17*(1+MIN(MAX($X$5,'3. Assumptions'!$B$11),'3. Assumptions'!$B$10))^INT(($A92-1)/4)/4*(1-'3. Assumptions'!$B$13)</f>
        <v>2998091.25</v>
      </c>
      <c r="Y92" s="33" t="n">
        <f aca="false">(1-'3. Assumptions'!$B$15)*SUMPRODUCT((('2. The tape'!$C$5:$C$13*'2. The tape'!$D$5:$D$13*(1-'2. The tape'!$J$5:$J$13)^($A92/4)*(1+$X$5)^($A92/4)*((1-'3. Assumptions'!$B$13)/($X$6)-'2. The tape'!$H$5:$H$13/12-'3. Assumptions'!$B$16)-'2. The tape'!$C$5:$C$13*'2. The tape'!$I$5:$I$13*(1+$X$5)^($A92/4))&gt;0)*('2. The tape'!$C$5:$C$13*'2. The tape'!$D$5:$D$13*(1-'2. The tape'!$J$5:$J$13)^($A92/4)*(1+$X$5)^($A92/4)*((1-'3. Assumptions'!$B$13)/($X$6)-'2. The tape'!$H$5:$H$13/12-'3. Assumptions'!$B$16)-'2. The tape'!$C$5:$C$13*'2. The tape'!$I$5:$I$13*(1+$X$5)^($A92/4)))</f>
        <v>29312098.0381135</v>
      </c>
      <c r="Z92" s="33" t="n">
        <f aca="false">'2. The tape'!$C$17*(1+MIN(MAX($Z$5,'3. Assumptions'!$B$11),'3. Assumptions'!$B$10))^INT(($A92-1)/4)/4*(1-'3. Assumptions'!$B$13)</f>
        <v>2998091.25</v>
      </c>
      <c r="AA92" s="33" t="n">
        <f aca="false">(1-'3. Assumptions'!$B$15)*SUMPRODUCT((('2. The tape'!$C$5:$C$13*'2. The tape'!$D$5:$D$13*(1-'2. The tape'!$J$5:$J$13)^($A92/4)*(1+$Z$5)^($A92/4)*((1-'3. Assumptions'!$B$13)/($Z$6)-'2. The tape'!$H$5:$H$13/12-'3. Assumptions'!$B$16)-'2. The tape'!$C$5:$C$13*'2. The tape'!$I$5:$I$13*(1+$Z$5)^($A92/4))&gt;0)*('2. The tape'!$C$5:$C$13*'2. The tape'!$D$5:$D$13*(1-'2. The tape'!$J$5:$J$13)^($A92/4)*(1+$Z$5)^($A92/4)*((1-'3. Assumptions'!$B$13)/($Z$6)-'2. The tape'!$H$5:$H$13/12-'3. Assumptions'!$B$16)-'2. The tape'!$C$5:$C$13*'2. The tape'!$I$5:$I$13*(1+$Z$5)^($A92/4)))</f>
        <v>29312098.0379366</v>
      </c>
      <c r="AB92" s="33" t="n">
        <f aca="false">'2. The tape'!$C$17*(1+MIN(MAX($AB$5,'3. Assumptions'!$B$11),'3. Assumptions'!$B$10))^INT(($A92-1)/4)/4*(1-'3. Assumptions'!$B$13)</f>
        <v>2998091.25</v>
      </c>
      <c r="AC92" s="33" t="n">
        <f aca="false">(1-'3. Assumptions'!$B$15)*SUMPRODUCT((('2. The tape'!$C$5:$C$13*'2. The tape'!$D$5:$D$13*(1-'2. The tape'!$J$5:$J$13)^($A92/4)*(1+$AB$5)^($A92/4)*((1-'3. Assumptions'!$B$13)/($AB$6)-'2. The tape'!$H$5:$H$13/12-'3. Assumptions'!$B$16)-'2. The tape'!$C$5:$C$13*'2. The tape'!$I$5:$I$13*(1+$AB$5)^($A92/4))&gt;0)*('2. The tape'!$C$5:$C$13*'2. The tape'!$D$5:$D$13*(1-'2. The tape'!$J$5:$J$13)^($A92/4)*(1+$AB$5)^($A92/4)*((1-'3. Assumptions'!$B$13)/($AB$6)-'2. The tape'!$H$5:$H$13/12-'3. Assumptions'!$B$16)-'2. The tape'!$C$5:$C$13*'2. The tape'!$I$5:$I$13*(1+$AB$5)^($A92/4)))</f>
        <v>29312098.0379366</v>
      </c>
      <c r="AD92" s="33" t="n">
        <f aca="false">'2. The tape'!$C$17*(1+MIN(MAX($AD$5,'3. Assumptions'!$B$11),'3. Assumptions'!$B$10))^INT(($A92-1)/4)/4*(1-'3. Assumptions'!$B$13)</f>
        <v>2998091.25</v>
      </c>
      <c r="AE92" s="33" t="n">
        <f aca="false">(1-'3. Assumptions'!$B$15)*SUMPRODUCT((('2. The tape'!$C$5:$C$13*'2. The tape'!$D$5:$D$13*(1-'2. The tape'!$J$5:$J$13)^($A92/4)*(1+$AD$5)^($A92/4)*((1-'3. Assumptions'!$B$13)/($AD$6)-'2. The tape'!$H$5:$H$13/12-'3. Assumptions'!$B$16)-'2. The tape'!$C$5:$C$13*'2. The tape'!$I$5:$I$13*(1+$AD$5)^($A92/4))&gt;0)*('2. The tape'!$C$5:$C$13*'2. The tape'!$D$5:$D$13*(1-'2. The tape'!$J$5:$J$13)^($A92/4)*(1+$AD$5)^($A92/4)*((1-'3. Assumptions'!$B$13)/($AD$6)-'2. The tape'!$H$5:$H$13/12-'3. Assumptions'!$B$16)-'2. The tape'!$C$5:$C$13*'2. The tape'!$I$5:$I$13*(1+$AD$5)^($A92/4)))</f>
        <v>29312098.0379366</v>
      </c>
      <c r="AF92" s="33" t="n">
        <f aca="false">'2. The tape'!$C$17*(1+MIN(MAX($AF$5,'3. Assumptions'!$B$11),'3. Assumptions'!$B$10))^INT(($A92-1)/4)/4*(1-'3. Assumptions'!$B$13)</f>
        <v>2998091.25</v>
      </c>
      <c r="AG92" s="33" t="n">
        <f aca="false">(1-'3. Assumptions'!$B$15)*SUMPRODUCT((('2. The tape'!$C$5:$C$13*'2. The tape'!$D$5:$D$13*(1-'2. The tape'!$J$5:$J$13)^($A92/4)*(1+$AF$5)^($A92/4)*((1-'3. Assumptions'!$B$13)/($AF$6)-'2. The tape'!$H$5:$H$13/12-'3. Assumptions'!$B$16)-'2. The tape'!$C$5:$C$13*'2. The tape'!$I$5:$I$13*(1+$AF$5)^($A92/4))&gt;0)*('2. The tape'!$C$5:$C$13*'2. The tape'!$D$5:$D$13*(1-'2. The tape'!$J$5:$J$13)^($A92/4)*(1+$AF$5)^($A92/4)*((1-'3. Assumptions'!$B$13)/($AF$6)-'2. The tape'!$H$5:$H$13/12-'3. Assumptions'!$B$16)-'2. The tape'!$C$5:$C$13*'2. The tape'!$I$5:$I$13*(1+$AF$5)^($A92/4)))</f>
        <v>29312098.0379366</v>
      </c>
      <c r="AH92" s="33" t="n">
        <f aca="false">'2. The tape'!$C$17*(1+MIN(MAX($AH$5,'3. Assumptions'!$B$11),'3. Assumptions'!$B$10))^INT(($A92-1)/4)/4*(1-'3. Assumptions'!$B$13)</f>
        <v>4533272.93137586</v>
      </c>
      <c r="AI92" s="33" t="n">
        <f aca="false">(1-'3. Assumptions'!$B$15)*SUMPRODUCT((('2. The tape'!$C$5:$C$13*'2. The tape'!$D$5:$D$13*(1-'2. The tape'!$J$5:$J$13)^($A92/4)*(1+$AH$5)^($A92/4)*((1-'3. Assumptions'!$B$13)/($AH$6)-'2. The tape'!$H$5:$H$13/12-'3. Assumptions'!$B$16)-'2. The tape'!$C$5:$C$13*'2. The tape'!$I$5:$I$13*(1+$AH$5)^($A92/4))&gt;0)*('2. The tape'!$C$5:$C$13*'2. The tape'!$D$5:$D$13*(1-'2. The tape'!$J$5:$J$13)^($A92/4)*(1+$AH$5)^($A92/4)*((1-'3. Assumptions'!$B$13)/($AH$6)-'2. The tape'!$H$5:$H$13/12-'3. Assumptions'!$B$16)-'2. The tape'!$C$5:$C$13*'2. The tape'!$I$5:$I$13*(1+$AH$5)^($A92/4)))</f>
        <v>151031617.901379</v>
      </c>
      <c r="AJ92" s="33" t="n">
        <f aca="false">'2. The tape'!$C$17*(1+MIN(MAX($AJ$5,'3. Assumptions'!$B$11),'3. Assumptions'!$B$10))^INT(($A92-1)/4)/4*(1-'3. Assumptions'!$B$13)</f>
        <v>4533272.93137586</v>
      </c>
      <c r="AK92" s="33" t="n">
        <f aca="false">(1-'3. Assumptions'!$B$15)*SUMPRODUCT((('2. The tape'!$C$5:$C$13*'2. The tape'!$D$5:$D$13*(1-'2. The tape'!$J$5:$J$13)^($A92/4)*(1+$AJ$5)^($A92/4)*((1-'3. Assumptions'!$B$13)/($AJ$6)-'2. The tape'!$H$5:$H$13/12-'3. Assumptions'!$B$16)-'2. The tape'!$C$5:$C$13*'2. The tape'!$I$5:$I$13*(1+$AJ$5)^($A92/4))&gt;0)*('2. The tape'!$C$5:$C$13*'2. The tape'!$D$5:$D$13*(1-'2. The tape'!$J$5:$J$13)^($A92/4)*(1+$AJ$5)^($A92/4)*((1-'3. Assumptions'!$B$13)/($AJ$6)-'2. The tape'!$H$5:$H$13/12-'3. Assumptions'!$B$16)-'2. The tape'!$C$5:$C$13*'2. The tape'!$I$5:$I$13*(1+$AJ$5)^($A92/4)))</f>
        <v>108032032.356609</v>
      </c>
      <c r="AL92" s="33" t="n">
        <f aca="false">'2. The tape'!$C$17*(1+MIN(MAX($AL$5,'3. Assumptions'!$B$11),'3. Assumptions'!$B$10))^INT(($A92-1)/4)/4*(1-'3. Assumptions'!$B$13)</f>
        <v>4533272.93137586</v>
      </c>
      <c r="AM92" s="33" t="n">
        <f aca="false">(1-'3. Assumptions'!$B$15)*SUMPRODUCT((('2. The tape'!$C$5:$C$13*'2. The tape'!$D$5:$D$13*(1-'2. The tape'!$J$5:$J$13)^($A92/4)*(1+$AL$5)^($A92/4)*((1-'3. Assumptions'!$B$13)/($AL$6)-'2. The tape'!$H$5:$H$13/12-'3. Assumptions'!$B$16)-'2. The tape'!$C$5:$C$13*'2. The tape'!$I$5:$I$13*(1+$AL$5)^($A92/4))&gt;0)*('2. The tape'!$C$5:$C$13*'2. The tape'!$D$5:$D$13*(1-'2. The tape'!$J$5:$J$13)^($A92/4)*(1+$AL$5)^($A92/4)*((1-'3. Assumptions'!$B$13)/($AL$6)-'2. The tape'!$H$5:$H$13/12-'3. Assumptions'!$B$16)-'2. The tape'!$C$5:$C$13*'2. The tape'!$I$5:$I$13*(1+$AL$5)^($A92/4)))</f>
        <v>124709139.960746</v>
      </c>
      <c r="AN92" s="33" t="n">
        <f aca="false">'2. The tape'!$C$17*(1+MIN(MAX($AN$5,'3. Assumptions'!$B$11),'3. Assumptions'!$B$10))^INT(($A92-1)/4)/4*(1-'3. Assumptions'!$B$13)</f>
        <v>4533272.93137586</v>
      </c>
      <c r="AO92" s="33" t="n">
        <f aca="false">(1-'3. Assumptions'!$B$15)*SUMPRODUCT((('2. The tape'!$C$5:$C$13*'2. The tape'!$D$5:$D$13*(1-'2. The tape'!$J$5:$J$13)^($A92/4)*(1+$AN$5)^($A92/4)*((1-'3. Assumptions'!$B$13)/($AN$6)-'2. The tape'!$H$5:$H$13/12-'3. Assumptions'!$B$16)-'2. The tape'!$C$5:$C$13*'2. The tape'!$I$5:$I$13*(1+$AN$5)^($A92/4))&gt;0)*('2. The tape'!$C$5:$C$13*'2. The tape'!$D$5:$D$13*(1-'2. The tape'!$J$5:$J$13)^($A92/4)*(1+$AN$5)^($A92/4)*((1-'3. Assumptions'!$B$13)/($AN$6)-'2. The tape'!$H$5:$H$13/12-'3. Assumptions'!$B$16)-'2. The tape'!$C$5:$C$13*'2. The tape'!$I$5:$I$13*(1+$AN$5)^($A92/4)))</f>
        <v>127831606.644195</v>
      </c>
      <c r="AP92" s="33" t="n">
        <f aca="false">'2. The tape'!$C$17*(1+MIN(MAX($AP$5,'3. Assumptions'!$B$11),'3. Assumptions'!$B$10))^INT(($A92-1)/4)/4*(1-'3. Assumptions'!$B$13)</f>
        <v>4533272.93137586</v>
      </c>
      <c r="AQ92" s="33" t="n">
        <f aca="false">(1-'3. Assumptions'!$B$15)*SUMPRODUCT((('2. The tape'!$C$5:$C$13*'2. The tape'!$D$5:$D$13*(1-'2. The tape'!$J$5:$J$13)^($A92/4)*(1+$AP$5)^($A92/4)*((1-'3. Assumptions'!$B$13)/($AP$6)-'2. The tape'!$H$5:$H$13/12-'3. Assumptions'!$B$16)-'2. The tape'!$C$5:$C$13*'2. The tape'!$I$5:$I$13*(1+$AP$5)^($A92/4))&gt;0)*('2. The tape'!$C$5:$C$13*'2. The tape'!$D$5:$D$13*(1-'2. The tape'!$J$5:$J$13)^($A92/4)*(1+$AP$5)^($A92/4)*((1-'3. Assumptions'!$B$13)/($AP$6)-'2. The tape'!$H$5:$H$13/12-'3. Assumptions'!$B$16)-'2. The tape'!$C$5:$C$13*'2. The tape'!$I$5:$I$13*(1+$AP$5)^($A92/4)))</f>
        <v>127446144.539542</v>
      </c>
      <c r="AR92" s="33" t="n">
        <f aca="false">'2. The tape'!$C$17*(1+MIN(MAX($AR$5,'3. Assumptions'!$B$11),'3. Assumptions'!$B$10))^INT(($A92-1)/4)/4*(1-'3. Assumptions'!$B$13)</f>
        <v>4533272.93137586</v>
      </c>
      <c r="AS92" s="33" t="n">
        <f aca="false">(1-'3. Assumptions'!$B$15)*SUMPRODUCT((('2. The tape'!$C$5:$C$13*'2. The tape'!$D$5:$D$13*(1-'2. The tape'!$J$5:$J$13)^($A92/4)*(1+$AR$5)^($A92/4)*((1-'3. Assumptions'!$B$13)/($AR$6)-'2. The tape'!$H$5:$H$13/12-'3. Assumptions'!$B$16)-'2. The tape'!$C$5:$C$13*'2. The tape'!$I$5:$I$13*(1+$AR$5)^($A92/4))&gt;0)*('2. The tape'!$C$5:$C$13*'2. The tape'!$D$5:$D$13*(1-'2. The tape'!$J$5:$J$13)^($A92/4)*(1+$AR$5)^($A92/4)*((1-'3. Assumptions'!$B$13)/($AR$6)-'2. The tape'!$H$5:$H$13/12-'3. Assumptions'!$B$16)-'2. The tape'!$C$5:$C$13*'2. The tape'!$I$5:$I$13*(1+$AR$5)^($A92/4)))</f>
        <v>127452612.041542</v>
      </c>
      <c r="AT92" s="33" t="n">
        <f aca="false">'2. The tape'!$C$17*(1+MIN(MAX($AT$5,'3. Assumptions'!$B$11),'3. Assumptions'!$B$10))^INT(($A92-1)/4)/4*(1-'3. Assumptions'!$B$13)</f>
        <v>4533272.93137586</v>
      </c>
      <c r="AU92" s="33" t="n">
        <f aca="false">(1-'3. Assumptions'!$B$15)*SUMPRODUCT((('2. The tape'!$C$5:$C$13*'2. The tape'!$D$5:$D$13*(1-'2. The tape'!$J$5:$J$13)^($A92/4)*(1+$AT$5)^($A92/4)*((1-'3. Assumptions'!$B$13)/($AT$6)-'2. The tape'!$H$5:$H$13/12-'3. Assumptions'!$B$16)-'2. The tape'!$C$5:$C$13*'2. The tape'!$I$5:$I$13*(1+$AT$5)^($A92/4))&gt;0)*('2. The tape'!$C$5:$C$13*'2. The tape'!$D$5:$D$13*(1-'2. The tape'!$J$5:$J$13)^($A92/4)*(1+$AT$5)^($A92/4)*((1-'3. Assumptions'!$B$13)/($AT$6)-'2. The tape'!$H$5:$H$13/12-'3. Assumptions'!$B$16)-'2. The tape'!$C$5:$C$13*'2. The tape'!$I$5:$I$13*(1+$AT$5)^($A92/4)))</f>
        <v>127452627.102727</v>
      </c>
      <c r="AV92" s="33" t="n">
        <f aca="false">'2. The tape'!$C$17*(1+MIN(MAX($AV$5,'3. Assumptions'!$B$11),'3. Assumptions'!$B$10))^INT(($A92-1)/4)/4*(1-'3. Assumptions'!$B$13)</f>
        <v>4533272.93137586</v>
      </c>
      <c r="AW92" s="33" t="n">
        <f aca="false">(1-'3. Assumptions'!$B$15)*SUMPRODUCT((('2. The tape'!$C$5:$C$13*'2. The tape'!$D$5:$D$13*(1-'2. The tape'!$J$5:$J$13)^($A92/4)*(1+$AV$5)^($A92/4)*((1-'3. Assumptions'!$B$13)/($AV$6)-'2. The tape'!$H$5:$H$13/12-'3. Assumptions'!$B$16)-'2. The tape'!$C$5:$C$13*'2. The tape'!$I$5:$I$13*(1+$AV$5)^($A92/4))&gt;0)*('2. The tape'!$C$5:$C$13*'2. The tape'!$D$5:$D$13*(1-'2. The tape'!$J$5:$J$13)^($A92/4)*(1+$AV$5)^($A92/4)*((1-'3. Assumptions'!$B$13)/($AV$6)-'2. The tape'!$H$5:$H$13/12-'3. Assumptions'!$B$16)-'2. The tape'!$C$5:$C$13*'2. The tape'!$I$5:$I$13*(1+$AV$5)^($A92/4)))</f>
        <v>127452627.102127</v>
      </c>
      <c r="AX92" s="33" t="n">
        <f aca="false">'2. The tape'!$C$17*(1+MIN(MAX($AX$5,'3. Assumptions'!$B$11),'3. Assumptions'!$B$10))^INT(($A92-1)/4)/4*(1-'3. Assumptions'!$B$13)</f>
        <v>4533272.93137586</v>
      </c>
      <c r="AY92" s="33" t="n">
        <f aca="false">(1-'3. Assumptions'!$B$15)*SUMPRODUCT((('2. The tape'!$C$5:$C$13*'2. The tape'!$D$5:$D$13*(1-'2. The tape'!$J$5:$J$13)^($A92/4)*(1+$AX$5)^($A92/4)*((1-'3. Assumptions'!$B$13)/($AX$6)-'2. The tape'!$H$5:$H$13/12-'3. Assumptions'!$B$16)-'2. The tape'!$C$5:$C$13*'2. The tape'!$I$5:$I$13*(1+$AX$5)^($A92/4))&gt;0)*('2. The tape'!$C$5:$C$13*'2. The tape'!$D$5:$D$13*(1-'2. The tape'!$J$5:$J$13)^($A92/4)*(1+$AX$5)^($A92/4)*((1-'3. Assumptions'!$B$13)/($AX$6)-'2. The tape'!$H$5:$H$13/12-'3. Assumptions'!$B$16)-'2. The tape'!$C$5:$C$13*'2. The tape'!$I$5:$I$13*(1+$AX$5)^($A92/4)))</f>
        <v>127452627.102127</v>
      </c>
      <c r="AZ92" s="33" t="n">
        <f aca="false">'2. The tape'!$C$17*(1+MIN(MAX($AZ$5,'3. Assumptions'!$B$11),'3. Assumptions'!$B$10))^INT(($A92-1)/4)/4*(1-'3. Assumptions'!$B$13)</f>
        <v>4533272.93137586</v>
      </c>
      <c r="BA92" s="33" t="n">
        <f aca="false">(1-'3. Assumptions'!$B$15)*SUMPRODUCT((('2. The tape'!$C$5:$C$13*'2. The tape'!$D$5:$D$13*(1-'2. The tape'!$J$5:$J$13)^($A92/4)*(1+$AZ$5)^($A92/4)*((1-'3. Assumptions'!$B$13)/($AZ$6)-'2. The tape'!$H$5:$H$13/12-'3. Assumptions'!$B$16)-'2. The tape'!$C$5:$C$13*'2. The tape'!$I$5:$I$13*(1+$AZ$5)^($A92/4))&gt;0)*('2. The tape'!$C$5:$C$13*'2. The tape'!$D$5:$D$13*(1-'2. The tape'!$J$5:$J$13)^($A92/4)*(1+$AZ$5)^($A92/4)*((1-'3. Assumptions'!$B$13)/($AZ$6)-'2. The tape'!$H$5:$H$13/12-'3. Assumptions'!$B$16)-'2. The tape'!$C$5:$C$13*'2. The tape'!$I$5:$I$13*(1+$AZ$5)^($A92/4)))</f>
        <v>127452627.102127</v>
      </c>
    </row>
    <row r="93" customFormat="false" ht="15" hidden="false" customHeight="false" outlineLevel="0" collapsed="false">
      <c r="A93" s="20" t="n">
        <v>78</v>
      </c>
      <c r="B93" s="33" t="n">
        <f aca="false">'2. The tape'!$C$17*(1+MIN(MAX($B$5,'3. Assumptions'!$B$11),'3. Assumptions'!$B$10))^INT(($A93-1)/4)/4*(1-'3. Assumptions'!$B$13)</f>
        <v>4533272.93137586</v>
      </c>
      <c r="C93" s="33" t="n">
        <f aca="false">(1-'3. Assumptions'!$B$15)*SUMPRODUCT((('2. The tape'!$C$5:$C$13*'2. The tape'!$D$5:$D$13*(1-'2. The tape'!$J$5:$J$13)^($A93/4)*(1+$B$5)^($A93/4)*((1-'3. Assumptions'!$B$13)/($B$6)-'2. The tape'!$H$5:$H$13/12-'3. Assumptions'!$B$16)-'2. The tape'!$C$5:$C$13*'2. The tape'!$I$5:$I$13*(1+$B$5)^($A93/4))&gt;0)*('2. The tape'!$C$5:$C$13*'2. The tape'!$D$5:$D$13*(1-'2. The tape'!$J$5:$J$13)^($A93/4)*(1+$B$5)^($A93/4)*((1-'3. Assumptions'!$B$13)/($B$6)-'2. The tape'!$H$5:$H$13/12-'3. Assumptions'!$B$16)-'2. The tape'!$C$5:$C$13*'2. The tape'!$I$5:$I$13*(1+$B$5)^($A93/4)))</f>
        <v>74195888.6243955</v>
      </c>
      <c r="D93" s="33" t="n">
        <f aca="false">'2. The tape'!$C$17*(1+MIN(MAX($D$5,'3. Assumptions'!$B$11),'3. Assumptions'!$B$10))^INT(($A93-1)/4)/4*(1-'3. Assumptions'!$B$13)</f>
        <v>5257171.15455249</v>
      </c>
      <c r="E93" s="33" t="n">
        <f aca="false">(1-'3. Assumptions'!$B$15)*SUMPRODUCT((('2. The tape'!$C$5:$C$13*'2. The tape'!$D$5:$D$13*(1-'2. The tape'!$J$5:$J$13)^($A93/4)*(1+$D$5)^($A93/4)*((1-'3. Assumptions'!$B$13)/($D$6)-'2. The tape'!$H$5:$H$13/12-'3. Assumptions'!$B$16)-'2. The tape'!$C$5:$C$13*'2. The tape'!$I$5:$I$13*(1+$D$5)^($A93/4))&gt;0)*('2. The tape'!$C$5:$C$13*'2. The tape'!$D$5:$D$13*(1-'2. The tape'!$J$5:$J$13)^($A93/4)*(1+$D$5)^($A93/4)*((1-'3. Assumptions'!$B$13)/($D$6)-'2. The tape'!$H$5:$H$13/12-'3. Assumptions'!$B$16)-'2. The tape'!$C$5:$C$13*'2. The tape'!$I$5:$I$13*(1+$D$5)^($A93/4)))</f>
        <v>94934527.5682135</v>
      </c>
      <c r="F93" s="33" t="n">
        <f aca="false">'2. The tape'!$C$17*(1+MIN(MAX($F$5,'3. Assumptions'!$B$11),'3. Assumptions'!$B$10))^INT(($A93-1)/4)/4*(1-'3. Assumptions'!$B$13)</f>
        <v>3622020.87337144</v>
      </c>
      <c r="G93" s="33" t="n">
        <f aca="false">(1-'3. Assumptions'!$B$15)*SUMPRODUCT((('2. The tape'!$C$5:$C$13*'2. The tape'!$D$5:$D$13*(1-'2. The tape'!$J$5:$J$13)^($A93/4)*(1+$F$5)^($A93/4)*((1-'3. Assumptions'!$B$13)/($F$6)-'2. The tape'!$H$5:$H$13/12-'3. Assumptions'!$B$16)-'2. The tape'!$C$5:$C$13*'2. The tape'!$I$5:$I$13*(1+$F$5)^($A93/4))&gt;0)*('2. The tape'!$C$5:$C$13*'2. The tape'!$D$5:$D$13*(1-'2. The tape'!$J$5:$J$13)^($A93/4)*(1+$F$5)^($A93/4)*((1-'3. Assumptions'!$B$13)/($F$6)-'2. The tape'!$H$5:$H$13/12-'3. Assumptions'!$B$16)-'2. The tape'!$C$5:$C$13*'2. The tape'!$I$5:$I$13*(1+$F$5)^($A93/4)))</f>
        <v>58932404.5292369</v>
      </c>
      <c r="H93" s="33" t="n">
        <f aca="false">'2. The tape'!$C$17*(1+MIN(MAX($H$5,'3. Assumptions'!$B$11),'3. Assumptions'!$B$10))^INT(($A93-1)/4)/4*(1-'3. Assumptions'!$B$13)</f>
        <v>5257171.15455249</v>
      </c>
      <c r="I93" s="33" t="n">
        <f aca="false">(1-'3. Assumptions'!$B$15)*SUMPRODUCT((('2. The tape'!$C$5:$C$13*'2. The tape'!$D$5:$D$13*(1-'2. The tape'!$J$5:$J$13)^($A93/4)*(1+$H$5)^($A93/4)*((1-'3. Assumptions'!$B$13)/($H$6)-'2. The tape'!$H$5:$H$13/12-'3. Assumptions'!$B$16)-'2. The tape'!$C$5:$C$13*'2. The tape'!$I$5:$I$13*(1+$H$5)^($A93/4))&gt;0)*('2. The tape'!$C$5:$C$13*'2. The tape'!$D$5:$D$13*(1-'2. The tape'!$J$5:$J$13)^($A93/4)*(1+$H$5)^($A93/4)*((1-'3. Assumptions'!$B$13)/($H$6)-'2. The tape'!$H$5:$H$13/12-'3. Assumptions'!$B$16)-'2. The tape'!$C$5:$C$13*'2. The tape'!$I$5:$I$13*(1+$H$5)^($A93/4)))</f>
        <v>94934527.5682135</v>
      </c>
      <c r="J93" s="33" t="n">
        <f aca="false">'2. The tape'!$C$17*(1+MIN(MAX($J$5,'3. Assumptions'!$B$11),'3. Assumptions'!$B$10))^INT(($A93-1)/4)/4*(1-'3. Assumptions'!$B$13)</f>
        <v>4533272.93137586</v>
      </c>
      <c r="K93" s="33" t="n">
        <f aca="false">(1-'3. Assumptions'!$B$15)*SUMPRODUCT((('2. The tape'!$C$5:$C$13*'2. The tape'!$D$5:$D$13*(1-'2. The tape'!$J$5:$J$13)^($A93/4)*(1+$J$5)^($A93/4)*((1-'3. Assumptions'!$B$13)/($J$6)-'2. The tape'!$H$5:$H$13/12-'3. Assumptions'!$B$16)-'2. The tape'!$C$5:$C$13*'2. The tape'!$I$5:$I$13*(1+$J$5)^($A93/4))&gt;0)*('2. The tape'!$C$5:$C$13*'2. The tape'!$D$5:$D$13*(1-'2. The tape'!$J$5:$J$13)^($A93/4)*(1+$J$5)^($A93/4)*((1-'3. Assumptions'!$B$13)/($J$6)-'2. The tape'!$H$5:$H$13/12-'3. Assumptions'!$B$16)-'2. The tape'!$C$5:$C$13*'2. The tape'!$I$5:$I$13*(1+$J$5)^($A93/4)))</f>
        <v>60143174.0157657</v>
      </c>
      <c r="L93" s="33" t="n">
        <f aca="false">'2. The tape'!$C$17*(1+MIN(MAX($L$5,'3. Assumptions'!$B$11),'3. Assumptions'!$B$10))^INT(($A93-1)/4)/4*(1-'3. Assumptions'!$B$13)</f>
        <v>5257171.15455249</v>
      </c>
      <c r="M93" s="33" t="n">
        <f aca="false">(1-'3. Assumptions'!$B$15)*SUMPRODUCT((('2. The tape'!$C$5:$C$13*'2. The tape'!$D$5:$D$13*(1-'2. The tape'!$J$5:$J$13)^($A93/4)*(1+$L$5)^($A93/4)*((1-'3. Assumptions'!$B$13)/($L$6)-'2. The tape'!$H$5:$H$13/12-'3. Assumptions'!$B$16)-'2. The tape'!$C$5:$C$13*'2. The tape'!$I$5:$I$13*(1+$L$5)^($A93/4))&gt;0)*('2. The tape'!$C$5:$C$13*'2. The tape'!$D$5:$D$13*(1-'2. The tape'!$J$5:$J$13)^($A93/4)*(1+$L$5)^($A93/4)*((1-'3. Assumptions'!$B$13)/($L$6)-'2. The tape'!$H$5:$H$13/12-'3. Assumptions'!$B$16)-'2. The tape'!$C$5:$C$13*'2. The tape'!$I$5:$I$13*(1+$L$5)^($A93/4)))</f>
        <v>8090637489.50851</v>
      </c>
      <c r="N93" s="33" t="n">
        <f aca="false">'2. The tape'!$C$17*(1+MIN(MAX($N$5,'3. Assumptions'!$B$11),'3. Assumptions'!$B$10))^INT(($A93-1)/4)/4*(1-'3. Assumptions'!$B$13)</f>
        <v>2998091.25</v>
      </c>
      <c r="O93" s="33" t="n">
        <f aca="false">(1-'3. Assumptions'!$B$15)*SUMPRODUCT((('2. The tape'!$C$5:$C$13*'2. The tape'!$D$5:$D$13*(1-'2. The tape'!$J$5:$J$13)^($A93/4)*(1+$N$5)^($A93/4)*((1-'3. Assumptions'!$B$13)/($N$6)-'2. The tape'!$H$5:$H$13/12-'3. Assumptions'!$B$16)-'2. The tape'!$C$5:$C$13*'2. The tape'!$I$5:$I$13*(1+$N$5)^($A93/4))&gt;0)*('2. The tape'!$C$5:$C$13*'2. The tape'!$D$5:$D$13*(1-'2. The tape'!$J$5:$J$13)^($A93/4)*(1+$N$5)^($A93/4)*((1-'3. Assumptions'!$B$13)/($N$6)-'2. The tape'!$H$5:$H$13/12-'3. Assumptions'!$B$16)-'2. The tape'!$C$5:$C$13*'2. The tape'!$I$5:$I$13*(1+$N$5)^($A93/4)))</f>
        <v>26800086.1904214</v>
      </c>
      <c r="P93" s="33" t="n">
        <f aca="false">'2. The tape'!$C$17*(1+MIN(MAX($P$5,'3. Assumptions'!$B$11),'3. Assumptions'!$B$10))^INT(($A93-1)/4)/4*(1-'3. Assumptions'!$B$13)</f>
        <v>2998091.25</v>
      </c>
      <c r="Q93" s="33" t="n">
        <f aca="false">(1-'3. Assumptions'!$B$15)*SUMPRODUCT((('2. The tape'!$C$5:$C$13*'2. The tape'!$D$5:$D$13*(1-'2. The tape'!$J$5:$J$13)^($A93/4)*(1+$P$5)^($A93/4)*((1-'3. Assumptions'!$B$13)/($P$6)-'2. The tape'!$H$5:$H$13/12-'3. Assumptions'!$B$16)-'2. The tape'!$C$5:$C$13*'2. The tape'!$I$5:$I$13*(1+$P$5)^($A93/4))&gt;0)*('2. The tape'!$C$5:$C$13*'2. The tape'!$D$5:$D$13*(1-'2. The tape'!$J$5:$J$13)^($A93/4)*(1+$P$5)^($A93/4)*((1-'3. Assumptions'!$B$13)/($P$6)-'2. The tape'!$H$5:$H$13/12-'3. Assumptions'!$B$16)-'2. The tape'!$C$5:$C$13*'2. The tape'!$I$5:$I$13*(1+$P$5)^($A93/4)))</f>
        <v>32733756.5826529</v>
      </c>
      <c r="R93" s="33" t="n">
        <f aca="false">'2. The tape'!$C$17*(1+MIN(MAX($R$5,'3. Assumptions'!$B$11),'3. Assumptions'!$B$10))^INT(($A93-1)/4)/4*(1-'3. Assumptions'!$B$13)</f>
        <v>2998091.25</v>
      </c>
      <c r="S93" s="33" t="n">
        <f aca="false">(1-'3. Assumptions'!$B$15)*SUMPRODUCT((('2. The tape'!$C$5:$C$13*'2. The tape'!$D$5:$D$13*(1-'2. The tape'!$J$5:$J$13)^($A93/4)*(1+$R$5)^($A93/4)*((1-'3. Assumptions'!$B$13)/($R$6)-'2. The tape'!$H$5:$H$13/12-'3. Assumptions'!$B$16)-'2. The tape'!$C$5:$C$13*'2. The tape'!$I$5:$I$13*(1+$R$5)^($A93/4))&gt;0)*('2. The tape'!$C$5:$C$13*'2. The tape'!$D$5:$D$13*(1-'2. The tape'!$J$5:$J$13)^($A93/4)*(1+$R$5)^($A93/4)*((1-'3. Assumptions'!$B$13)/($R$6)-'2. The tape'!$H$5:$H$13/12-'3. Assumptions'!$B$16)-'2. The tape'!$C$5:$C$13*'2. The tape'!$I$5:$I$13*(1+$R$5)^($A93/4)))</f>
        <v>29008268.3348901</v>
      </c>
      <c r="T93" s="33" t="n">
        <f aca="false">'2. The tape'!$C$17*(1+MIN(MAX($T$5,'3. Assumptions'!$B$11),'3. Assumptions'!$B$10))^INT(($A93-1)/4)/4*(1-'3. Assumptions'!$B$13)</f>
        <v>2998091.25</v>
      </c>
      <c r="U93" s="33" t="n">
        <f aca="false">(1-'3. Assumptions'!$B$15)*SUMPRODUCT((('2. The tape'!$C$5:$C$13*'2. The tape'!$D$5:$D$13*(1-'2. The tape'!$J$5:$J$13)^($A93/4)*(1+$T$5)^($A93/4)*((1-'3. Assumptions'!$B$13)/($T$6)-'2. The tape'!$H$5:$H$13/12-'3. Assumptions'!$B$16)-'2. The tape'!$C$5:$C$13*'2. The tape'!$I$5:$I$13*(1+$T$5)^($A93/4))&gt;0)*('2. The tape'!$C$5:$C$13*'2. The tape'!$D$5:$D$13*(1-'2. The tape'!$J$5:$J$13)^($A93/4)*(1+$T$5)^($A93/4)*((1-'3. Assumptions'!$B$13)/($T$6)-'2. The tape'!$H$5:$H$13/12-'3. Assumptions'!$B$16)-'2. The tape'!$C$5:$C$13*'2. The tape'!$I$5:$I$13*(1+$T$5)^($A93/4)))</f>
        <v>28913053.4787056</v>
      </c>
      <c r="V93" s="33" t="n">
        <f aca="false">'2. The tape'!$C$17*(1+MIN(MAX($V$5,'3. Assumptions'!$B$11),'3. Assumptions'!$B$10))^INT(($A93-1)/4)/4*(1-'3. Assumptions'!$B$13)</f>
        <v>2998091.25</v>
      </c>
      <c r="W93" s="33" t="n">
        <f aca="false">(1-'3. Assumptions'!$B$15)*SUMPRODUCT((('2. The tape'!$C$5:$C$13*'2. The tape'!$D$5:$D$13*(1-'2. The tape'!$J$5:$J$13)^($A93/4)*(1+$V$5)^($A93/4)*((1-'3. Assumptions'!$B$13)/($V$6)-'2. The tape'!$H$5:$H$13/12-'3. Assumptions'!$B$16)-'2. The tape'!$C$5:$C$13*'2. The tape'!$I$5:$I$13*(1+$V$5)^($A93/4))&gt;0)*('2. The tape'!$C$5:$C$13*'2. The tape'!$D$5:$D$13*(1-'2. The tape'!$J$5:$J$13)^($A93/4)*(1+$V$5)^($A93/4)*((1-'3. Assumptions'!$B$13)/($V$6)-'2. The tape'!$H$5:$H$13/12-'3. Assumptions'!$B$16)-'2. The tape'!$C$5:$C$13*'2. The tape'!$I$5:$I$13*(1+$V$5)^($A93/4)))</f>
        <v>28916873.3961271</v>
      </c>
      <c r="X93" s="33" t="n">
        <f aca="false">'2. The tape'!$C$17*(1+MIN(MAX($X$5,'3. Assumptions'!$B$11),'3. Assumptions'!$B$10))^INT(($A93-1)/4)/4*(1-'3. Assumptions'!$B$13)</f>
        <v>2998091.25</v>
      </c>
      <c r="Y93" s="33" t="n">
        <f aca="false">(1-'3. Assumptions'!$B$15)*SUMPRODUCT((('2. The tape'!$C$5:$C$13*'2. The tape'!$D$5:$D$13*(1-'2. The tape'!$J$5:$J$13)^($A93/4)*(1+$X$5)^($A93/4)*((1-'3. Assumptions'!$B$13)/($X$6)-'2. The tape'!$H$5:$H$13/12-'3. Assumptions'!$B$16)-'2. The tape'!$C$5:$C$13*'2. The tape'!$I$5:$I$13*(1+$X$5)^($A93/4))&gt;0)*('2. The tape'!$C$5:$C$13*'2. The tape'!$D$5:$D$13*(1-'2. The tape'!$J$5:$J$13)^($A93/4)*(1+$X$5)^($A93/4)*((1-'3. Assumptions'!$B$13)/($X$6)-'2. The tape'!$H$5:$H$13/12-'3. Assumptions'!$B$16)-'2. The tape'!$C$5:$C$13*'2. The tape'!$I$5:$I$13*(1+$X$5)^($A93/4)))</f>
        <v>28916869.3789949</v>
      </c>
      <c r="Z93" s="33" t="n">
        <f aca="false">'2. The tape'!$C$17*(1+MIN(MAX($Z$5,'3. Assumptions'!$B$11),'3. Assumptions'!$B$10))^INT(($A93-1)/4)/4*(1-'3. Assumptions'!$B$13)</f>
        <v>2998091.25</v>
      </c>
      <c r="AA93" s="33" t="n">
        <f aca="false">(1-'3. Assumptions'!$B$15)*SUMPRODUCT((('2. The tape'!$C$5:$C$13*'2. The tape'!$D$5:$D$13*(1-'2. The tape'!$J$5:$J$13)^($A93/4)*(1+$Z$5)^($A93/4)*((1-'3. Assumptions'!$B$13)/($Z$6)-'2. The tape'!$H$5:$H$13/12-'3. Assumptions'!$B$16)-'2. The tape'!$C$5:$C$13*'2. The tape'!$I$5:$I$13*(1+$Z$5)^($A93/4))&gt;0)*('2. The tape'!$C$5:$C$13*'2. The tape'!$D$5:$D$13*(1-'2. The tape'!$J$5:$J$13)^($A93/4)*(1+$Z$5)^($A93/4)*((1-'3. Assumptions'!$B$13)/($Z$6)-'2. The tape'!$H$5:$H$13/12-'3. Assumptions'!$B$16)-'2. The tape'!$C$5:$C$13*'2. The tape'!$I$5:$I$13*(1+$Z$5)^($A93/4)))</f>
        <v>28916869.3788181</v>
      </c>
      <c r="AB93" s="33" t="n">
        <f aca="false">'2. The tape'!$C$17*(1+MIN(MAX($AB$5,'3. Assumptions'!$B$11),'3. Assumptions'!$B$10))^INT(($A93-1)/4)/4*(1-'3. Assumptions'!$B$13)</f>
        <v>2998091.25</v>
      </c>
      <c r="AC93" s="33" t="n">
        <f aca="false">(1-'3. Assumptions'!$B$15)*SUMPRODUCT((('2. The tape'!$C$5:$C$13*'2. The tape'!$D$5:$D$13*(1-'2. The tape'!$J$5:$J$13)^($A93/4)*(1+$AB$5)^($A93/4)*((1-'3. Assumptions'!$B$13)/($AB$6)-'2. The tape'!$H$5:$H$13/12-'3. Assumptions'!$B$16)-'2. The tape'!$C$5:$C$13*'2. The tape'!$I$5:$I$13*(1+$AB$5)^($A93/4))&gt;0)*('2. The tape'!$C$5:$C$13*'2. The tape'!$D$5:$D$13*(1-'2. The tape'!$J$5:$J$13)^($A93/4)*(1+$AB$5)^($A93/4)*((1-'3. Assumptions'!$B$13)/($AB$6)-'2. The tape'!$H$5:$H$13/12-'3. Assumptions'!$B$16)-'2. The tape'!$C$5:$C$13*'2. The tape'!$I$5:$I$13*(1+$AB$5)^($A93/4)))</f>
        <v>28916869.3788181</v>
      </c>
      <c r="AD93" s="33" t="n">
        <f aca="false">'2. The tape'!$C$17*(1+MIN(MAX($AD$5,'3. Assumptions'!$B$11),'3. Assumptions'!$B$10))^INT(($A93-1)/4)/4*(1-'3. Assumptions'!$B$13)</f>
        <v>2998091.25</v>
      </c>
      <c r="AE93" s="33" t="n">
        <f aca="false">(1-'3. Assumptions'!$B$15)*SUMPRODUCT((('2. The tape'!$C$5:$C$13*'2. The tape'!$D$5:$D$13*(1-'2. The tape'!$J$5:$J$13)^($A93/4)*(1+$AD$5)^($A93/4)*((1-'3. Assumptions'!$B$13)/($AD$6)-'2. The tape'!$H$5:$H$13/12-'3. Assumptions'!$B$16)-'2. The tape'!$C$5:$C$13*'2. The tape'!$I$5:$I$13*(1+$AD$5)^($A93/4))&gt;0)*('2. The tape'!$C$5:$C$13*'2. The tape'!$D$5:$D$13*(1-'2. The tape'!$J$5:$J$13)^($A93/4)*(1+$AD$5)^($A93/4)*((1-'3. Assumptions'!$B$13)/($AD$6)-'2. The tape'!$H$5:$H$13/12-'3. Assumptions'!$B$16)-'2. The tape'!$C$5:$C$13*'2. The tape'!$I$5:$I$13*(1+$AD$5)^($A93/4)))</f>
        <v>28916869.3788181</v>
      </c>
      <c r="AF93" s="33" t="n">
        <f aca="false">'2. The tape'!$C$17*(1+MIN(MAX($AF$5,'3. Assumptions'!$B$11),'3. Assumptions'!$B$10))^INT(($A93-1)/4)/4*(1-'3. Assumptions'!$B$13)</f>
        <v>2998091.25</v>
      </c>
      <c r="AG93" s="33" t="n">
        <f aca="false">(1-'3. Assumptions'!$B$15)*SUMPRODUCT((('2. The tape'!$C$5:$C$13*'2. The tape'!$D$5:$D$13*(1-'2. The tape'!$J$5:$J$13)^($A93/4)*(1+$AF$5)^($A93/4)*((1-'3. Assumptions'!$B$13)/($AF$6)-'2. The tape'!$H$5:$H$13/12-'3. Assumptions'!$B$16)-'2. The tape'!$C$5:$C$13*'2. The tape'!$I$5:$I$13*(1+$AF$5)^($A93/4))&gt;0)*('2. The tape'!$C$5:$C$13*'2. The tape'!$D$5:$D$13*(1-'2. The tape'!$J$5:$J$13)^($A93/4)*(1+$AF$5)^($A93/4)*((1-'3. Assumptions'!$B$13)/($AF$6)-'2. The tape'!$H$5:$H$13/12-'3. Assumptions'!$B$16)-'2. The tape'!$C$5:$C$13*'2. The tape'!$I$5:$I$13*(1+$AF$5)^($A93/4)))</f>
        <v>28916869.3788181</v>
      </c>
      <c r="AH93" s="33" t="n">
        <f aca="false">'2. The tape'!$C$17*(1+MIN(MAX($AH$5,'3. Assumptions'!$B$11),'3. Assumptions'!$B$10))^INT(($A93-1)/4)/4*(1-'3. Assumptions'!$B$13)</f>
        <v>4533272.93137586</v>
      </c>
      <c r="AI93" s="33" t="n">
        <f aca="false">(1-'3. Assumptions'!$B$15)*SUMPRODUCT((('2. The tape'!$C$5:$C$13*'2. The tape'!$D$5:$D$13*(1-'2. The tape'!$J$5:$J$13)^($A93/4)*(1+$AH$5)^($A93/4)*((1-'3. Assumptions'!$B$13)/($AH$6)-'2. The tape'!$H$5:$H$13/12-'3. Assumptions'!$B$16)-'2. The tape'!$C$5:$C$13*'2. The tape'!$I$5:$I$13*(1+$AH$5)^($A93/4))&gt;0)*('2. The tape'!$C$5:$C$13*'2. The tape'!$D$5:$D$13*(1-'2. The tape'!$J$5:$J$13)^($A93/4)*(1+$AH$5)^($A93/4)*((1-'3. Assumptions'!$B$13)/($AH$6)-'2. The tape'!$H$5:$H$13/12-'3. Assumptions'!$B$16)-'2. The tape'!$C$5:$C$13*'2. The tape'!$I$5:$I$13*(1+$AH$5)^($A93/4)))</f>
        <v>150923710.387514</v>
      </c>
      <c r="AJ93" s="33" t="n">
        <f aca="false">'2. The tape'!$C$17*(1+MIN(MAX($AJ$5,'3. Assumptions'!$B$11),'3. Assumptions'!$B$10))^INT(($A93-1)/4)/4*(1-'3. Assumptions'!$B$13)</f>
        <v>4533272.93137586</v>
      </c>
      <c r="AK93" s="33" t="n">
        <f aca="false">(1-'3. Assumptions'!$B$15)*SUMPRODUCT((('2. The tape'!$C$5:$C$13*'2. The tape'!$D$5:$D$13*(1-'2. The tape'!$J$5:$J$13)^($A93/4)*(1+$AJ$5)^($A93/4)*((1-'3. Assumptions'!$B$13)/($AJ$6)-'2. The tape'!$H$5:$H$13/12-'3. Assumptions'!$B$16)-'2. The tape'!$C$5:$C$13*'2. The tape'!$I$5:$I$13*(1+$AJ$5)^($A93/4))&gt;0)*('2. The tape'!$C$5:$C$13*'2. The tape'!$D$5:$D$13*(1-'2. The tape'!$J$5:$J$13)^($A93/4)*(1+$AJ$5)^($A93/4)*((1-'3. Assumptions'!$B$13)/($AJ$6)-'2. The tape'!$H$5:$H$13/12-'3. Assumptions'!$B$16)-'2. The tape'!$C$5:$C$13*'2. The tape'!$I$5:$I$13*(1+$AJ$5)^($A93/4)))</f>
        <v>107922403.685107</v>
      </c>
      <c r="AL93" s="33" t="n">
        <f aca="false">'2. The tape'!$C$17*(1+MIN(MAX($AL$5,'3. Assumptions'!$B$11),'3. Assumptions'!$B$10))^INT(($A93-1)/4)/4*(1-'3. Assumptions'!$B$13)</f>
        <v>4533272.93137586</v>
      </c>
      <c r="AM93" s="33" t="n">
        <f aca="false">(1-'3. Assumptions'!$B$15)*SUMPRODUCT((('2. The tape'!$C$5:$C$13*'2. The tape'!$D$5:$D$13*(1-'2. The tape'!$J$5:$J$13)^($A93/4)*(1+$AL$5)^($A93/4)*((1-'3. Assumptions'!$B$13)/($AL$6)-'2. The tape'!$H$5:$H$13/12-'3. Assumptions'!$B$16)-'2. The tape'!$C$5:$C$13*'2. The tape'!$I$5:$I$13*(1+$AL$5)^($A93/4))&gt;0)*('2. The tape'!$C$5:$C$13*'2. The tape'!$D$5:$D$13*(1-'2. The tape'!$J$5:$J$13)^($A93/4)*(1+$AL$5)^($A93/4)*((1-'3. Assumptions'!$B$13)/($AL$6)-'2. The tape'!$H$5:$H$13/12-'3. Assumptions'!$B$16)-'2. The tape'!$C$5:$C$13*'2. The tape'!$I$5:$I$13*(1+$AL$5)^($A93/4)))</f>
        <v>124600178.828959</v>
      </c>
      <c r="AN93" s="33" t="n">
        <f aca="false">'2. The tape'!$C$17*(1+MIN(MAX($AN$5,'3. Assumptions'!$B$11),'3. Assumptions'!$B$10))^INT(($A93-1)/4)/4*(1-'3. Assumptions'!$B$13)</f>
        <v>4533272.93137586</v>
      </c>
      <c r="AO93" s="33" t="n">
        <f aca="false">(1-'3. Assumptions'!$B$15)*SUMPRODUCT((('2. The tape'!$C$5:$C$13*'2. The tape'!$D$5:$D$13*(1-'2. The tape'!$J$5:$J$13)^($A93/4)*(1+$AN$5)^($A93/4)*((1-'3. Assumptions'!$B$13)/($AN$6)-'2. The tape'!$H$5:$H$13/12-'3. Assumptions'!$B$16)-'2. The tape'!$C$5:$C$13*'2. The tape'!$I$5:$I$13*(1+$AN$5)^($A93/4))&gt;0)*('2. The tape'!$C$5:$C$13*'2. The tape'!$D$5:$D$13*(1-'2. The tape'!$J$5:$J$13)^($A93/4)*(1+$AN$5)^($A93/4)*((1-'3. Assumptions'!$B$13)/($AN$6)-'2. The tape'!$H$5:$H$13/12-'3. Assumptions'!$B$16)-'2. The tape'!$C$5:$C$13*'2. The tape'!$I$5:$I$13*(1+$AN$5)^($A93/4)))</f>
        <v>127722770.496343</v>
      </c>
      <c r="AP93" s="33" t="n">
        <f aca="false">'2. The tape'!$C$17*(1+MIN(MAX($AP$5,'3. Assumptions'!$B$11),'3. Assumptions'!$B$10))^INT(($A93-1)/4)/4*(1-'3. Assumptions'!$B$13)</f>
        <v>4533272.93137586</v>
      </c>
      <c r="AQ93" s="33" t="n">
        <f aca="false">(1-'3. Assumptions'!$B$15)*SUMPRODUCT((('2. The tape'!$C$5:$C$13*'2. The tape'!$D$5:$D$13*(1-'2. The tape'!$J$5:$J$13)^($A93/4)*(1+$AP$5)^($A93/4)*((1-'3. Assumptions'!$B$13)/($AP$6)-'2. The tape'!$H$5:$H$13/12-'3. Assumptions'!$B$16)-'2. The tape'!$C$5:$C$13*'2. The tape'!$I$5:$I$13*(1+$AP$5)^($A93/4))&gt;0)*('2. The tape'!$C$5:$C$13*'2. The tape'!$D$5:$D$13*(1-'2. The tape'!$J$5:$J$13)^($A93/4)*(1+$AP$5)^($A93/4)*((1-'3. Assumptions'!$B$13)/($AP$6)-'2. The tape'!$H$5:$H$13/12-'3. Assumptions'!$B$16)-'2. The tape'!$C$5:$C$13*'2. The tape'!$I$5:$I$13*(1+$AP$5)^($A93/4)))</f>
        <v>127337292.96268</v>
      </c>
      <c r="AR93" s="33" t="n">
        <f aca="false">'2. The tape'!$C$17*(1+MIN(MAX($AR$5,'3. Assumptions'!$B$11),'3. Assumptions'!$B$10))^INT(($A93-1)/4)/4*(1-'3. Assumptions'!$B$13)</f>
        <v>4533272.93137586</v>
      </c>
      <c r="AS93" s="33" t="n">
        <f aca="false">(1-'3. Assumptions'!$B$15)*SUMPRODUCT((('2. The tape'!$C$5:$C$13*'2. The tape'!$D$5:$D$13*(1-'2. The tape'!$J$5:$J$13)^($A93/4)*(1+$AR$5)^($A93/4)*((1-'3. Assumptions'!$B$13)/($AR$6)-'2. The tape'!$H$5:$H$13/12-'3. Assumptions'!$B$16)-'2. The tape'!$C$5:$C$13*'2. The tape'!$I$5:$I$13*(1+$AR$5)^($A93/4))&gt;0)*('2. The tape'!$C$5:$C$13*'2. The tape'!$D$5:$D$13*(1-'2. The tape'!$J$5:$J$13)^($A93/4)*(1+$AR$5)^($A93/4)*((1-'3. Assumptions'!$B$13)/($AR$6)-'2. The tape'!$H$5:$H$13/12-'3. Assumptions'!$B$16)-'2. The tape'!$C$5:$C$13*'2. The tape'!$I$5:$I$13*(1+$AR$5)^($A93/4)))</f>
        <v>127343760.723557</v>
      </c>
      <c r="AT93" s="33" t="n">
        <f aca="false">'2. The tape'!$C$17*(1+MIN(MAX($AT$5,'3. Assumptions'!$B$11),'3. Assumptions'!$B$10))^INT(($A93-1)/4)/4*(1-'3. Assumptions'!$B$13)</f>
        <v>4533272.93137586</v>
      </c>
      <c r="AU93" s="33" t="n">
        <f aca="false">(1-'3. Assumptions'!$B$15)*SUMPRODUCT((('2. The tape'!$C$5:$C$13*'2. The tape'!$D$5:$D$13*(1-'2. The tape'!$J$5:$J$13)^($A93/4)*(1+$AT$5)^($A93/4)*((1-'3. Assumptions'!$B$13)/($AT$6)-'2. The tape'!$H$5:$H$13/12-'3. Assumptions'!$B$16)-'2. The tape'!$C$5:$C$13*'2. The tape'!$I$5:$I$13*(1+$AT$5)^($A93/4))&gt;0)*('2. The tape'!$C$5:$C$13*'2. The tape'!$D$5:$D$13*(1-'2. The tape'!$J$5:$J$13)^($A93/4)*(1+$AT$5)^($A93/4)*((1-'3. Assumptions'!$B$13)/($AT$6)-'2. The tape'!$H$5:$H$13/12-'3. Assumptions'!$B$16)-'2. The tape'!$C$5:$C$13*'2. The tape'!$I$5:$I$13*(1+$AT$5)^($A93/4)))</f>
        <v>127343775.785344</v>
      </c>
      <c r="AV93" s="33" t="n">
        <f aca="false">'2. The tape'!$C$17*(1+MIN(MAX($AV$5,'3. Assumptions'!$B$11),'3. Assumptions'!$B$10))^INT(($A93-1)/4)/4*(1-'3. Assumptions'!$B$13)</f>
        <v>4533272.93137586</v>
      </c>
      <c r="AW93" s="33" t="n">
        <f aca="false">(1-'3. Assumptions'!$B$15)*SUMPRODUCT((('2. The tape'!$C$5:$C$13*'2. The tape'!$D$5:$D$13*(1-'2. The tape'!$J$5:$J$13)^($A93/4)*(1+$AV$5)^($A93/4)*((1-'3. Assumptions'!$B$13)/($AV$6)-'2. The tape'!$H$5:$H$13/12-'3. Assumptions'!$B$16)-'2. The tape'!$C$5:$C$13*'2. The tape'!$I$5:$I$13*(1+$AV$5)^($A93/4))&gt;0)*('2. The tape'!$C$5:$C$13*'2. The tape'!$D$5:$D$13*(1-'2. The tape'!$J$5:$J$13)^($A93/4)*(1+$AV$5)^($A93/4)*((1-'3. Assumptions'!$B$13)/($AV$6)-'2. The tape'!$H$5:$H$13/12-'3. Assumptions'!$B$16)-'2. The tape'!$C$5:$C$13*'2. The tape'!$I$5:$I$13*(1+$AV$5)^($A93/4)))</f>
        <v>127343775.784745</v>
      </c>
      <c r="AX93" s="33" t="n">
        <f aca="false">'2. The tape'!$C$17*(1+MIN(MAX($AX$5,'3. Assumptions'!$B$11),'3. Assumptions'!$B$10))^INT(($A93-1)/4)/4*(1-'3. Assumptions'!$B$13)</f>
        <v>4533272.93137586</v>
      </c>
      <c r="AY93" s="33" t="n">
        <f aca="false">(1-'3. Assumptions'!$B$15)*SUMPRODUCT((('2. The tape'!$C$5:$C$13*'2. The tape'!$D$5:$D$13*(1-'2. The tape'!$J$5:$J$13)^($A93/4)*(1+$AX$5)^($A93/4)*((1-'3. Assumptions'!$B$13)/($AX$6)-'2. The tape'!$H$5:$H$13/12-'3. Assumptions'!$B$16)-'2. The tape'!$C$5:$C$13*'2. The tape'!$I$5:$I$13*(1+$AX$5)^($A93/4))&gt;0)*('2. The tape'!$C$5:$C$13*'2. The tape'!$D$5:$D$13*(1-'2. The tape'!$J$5:$J$13)^($A93/4)*(1+$AX$5)^($A93/4)*((1-'3. Assumptions'!$B$13)/($AX$6)-'2. The tape'!$H$5:$H$13/12-'3. Assumptions'!$B$16)-'2. The tape'!$C$5:$C$13*'2. The tape'!$I$5:$I$13*(1+$AX$5)^($A93/4)))</f>
        <v>127343775.784745</v>
      </c>
      <c r="AZ93" s="33" t="n">
        <f aca="false">'2. The tape'!$C$17*(1+MIN(MAX($AZ$5,'3. Assumptions'!$B$11),'3. Assumptions'!$B$10))^INT(($A93-1)/4)/4*(1-'3. Assumptions'!$B$13)</f>
        <v>4533272.93137586</v>
      </c>
      <c r="BA93" s="33" t="n">
        <f aca="false">(1-'3. Assumptions'!$B$15)*SUMPRODUCT((('2. The tape'!$C$5:$C$13*'2. The tape'!$D$5:$D$13*(1-'2. The tape'!$J$5:$J$13)^($A93/4)*(1+$AZ$5)^($A93/4)*((1-'3. Assumptions'!$B$13)/($AZ$6)-'2. The tape'!$H$5:$H$13/12-'3. Assumptions'!$B$16)-'2. The tape'!$C$5:$C$13*'2. The tape'!$I$5:$I$13*(1+$AZ$5)^($A93/4))&gt;0)*('2. The tape'!$C$5:$C$13*'2. The tape'!$D$5:$D$13*(1-'2. The tape'!$J$5:$J$13)^($A93/4)*(1+$AZ$5)^($A93/4)*((1-'3. Assumptions'!$B$13)/($AZ$6)-'2. The tape'!$H$5:$H$13/12-'3. Assumptions'!$B$16)-'2. The tape'!$C$5:$C$13*'2. The tape'!$I$5:$I$13*(1+$AZ$5)^($A93/4)))</f>
        <v>127343775.784745</v>
      </c>
    </row>
    <row r="94" customFormat="false" ht="15" hidden="false" customHeight="false" outlineLevel="0" collapsed="false">
      <c r="A94" s="20" t="n">
        <v>79</v>
      </c>
      <c r="B94" s="33" t="n">
        <f aca="false">'2. The tape'!$C$17*(1+MIN(MAX($B$5,'3. Assumptions'!$B$11),'3. Assumptions'!$B$10))^INT(($A94-1)/4)/4*(1-'3. Assumptions'!$B$13)</f>
        <v>4533272.93137586</v>
      </c>
      <c r="C94" s="33" t="n">
        <f aca="false">(1-'3. Assumptions'!$B$15)*SUMPRODUCT((('2. The tape'!$C$5:$C$13*'2. The tape'!$D$5:$D$13*(1-'2. The tape'!$J$5:$J$13)^($A94/4)*(1+$B$5)^($A94/4)*((1-'3. Assumptions'!$B$13)/($B$6)-'2. The tape'!$H$5:$H$13/12-'3. Assumptions'!$B$16)-'2. The tape'!$C$5:$C$13*'2. The tape'!$I$5:$I$13*(1+$B$5)^($A94/4))&gt;0)*('2. The tape'!$C$5:$C$13*'2. The tape'!$D$5:$D$13*(1-'2. The tape'!$J$5:$J$13)^($A94/4)*(1+$B$5)^($A94/4)*((1-'3. Assumptions'!$B$13)/($B$6)-'2. The tape'!$H$5:$H$13/12-'3. Assumptions'!$B$16)-'2. The tape'!$C$5:$C$13*'2. The tape'!$I$5:$I$13*(1+$B$5)^($A94/4)))</f>
        <v>74084505.2197494</v>
      </c>
      <c r="D94" s="33" t="n">
        <f aca="false">'2. The tape'!$C$17*(1+MIN(MAX($D$5,'3. Assumptions'!$B$11),'3. Assumptions'!$B$10))^INT(($A94-1)/4)/4*(1-'3. Assumptions'!$B$13)</f>
        <v>5257171.15455249</v>
      </c>
      <c r="E94" s="33" t="n">
        <f aca="false">(1-'3. Assumptions'!$B$15)*SUMPRODUCT((('2. The tape'!$C$5:$C$13*'2. The tape'!$D$5:$D$13*(1-'2. The tape'!$J$5:$J$13)^($A94/4)*(1+$D$5)^($A94/4)*((1-'3. Assumptions'!$B$13)/($D$6)-'2. The tape'!$H$5:$H$13/12-'3. Assumptions'!$B$16)-'2. The tape'!$C$5:$C$13*'2. The tape'!$I$5:$I$13*(1+$D$5)^($A94/4))&gt;0)*('2. The tape'!$C$5:$C$13*'2. The tape'!$D$5:$D$13*(1-'2. The tape'!$J$5:$J$13)^($A94/4)*(1+$D$5)^($A94/4)*((1-'3. Assumptions'!$B$13)/($D$6)-'2. The tape'!$H$5:$H$13/12-'3. Assumptions'!$B$16)-'2. The tape'!$C$5:$C$13*'2. The tape'!$I$5:$I$13*(1+$D$5)^($A94/4)))</f>
        <v>95092026.1537754</v>
      </c>
      <c r="F94" s="33" t="n">
        <f aca="false">'2. The tape'!$C$17*(1+MIN(MAX($F$5,'3. Assumptions'!$B$11),'3. Assumptions'!$B$10))^INT(($A94-1)/4)/4*(1-'3. Assumptions'!$B$13)</f>
        <v>3622020.87337144</v>
      </c>
      <c r="G94" s="33" t="n">
        <f aca="false">(1-'3. Assumptions'!$B$15)*SUMPRODUCT((('2. The tape'!$C$5:$C$13*'2. The tape'!$D$5:$D$13*(1-'2. The tape'!$J$5:$J$13)^($A94/4)*(1+$F$5)^($A94/4)*((1-'3. Assumptions'!$B$13)/($F$6)-'2. The tape'!$H$5:$H$13/12-'3. Assumptions'!$B$16)-'2. The tape'!$C$5:$C$13*'2. The tape'!$I$5:$I$13*(1+$F$5)^($A94/4))&gt;0)*('2. The tape'!$C$5:$C$13*'2. The tape'!$D$5:$D$13*(1-'2. The tape'!$J$5:$J$13)^($A94/4)*(1+$F$5)^($A94/4)*((1-'3. Assumptions'!$B$13)/($F$6)-'2. The tape'!$H$5:$H$13/12-'3. Assumptions'!$B$16)-'2. The tape'!$C$5:$C$13*'2. The tape'!$I$5:$I$13*(1+$F$5)^($A94/4)))</f>
        <v>58670437.2584335</v>
      </c>
      <c r="H94" s="33" t="n">
        <f aca="false">'2. The tape'!$C$17*(1+MIN(MAX($H$5,'3. Assumptions'!$B$11),'3. Assumptions'!$B$10))^INT(($A94-1)/4)/4*(1-'3. Assumptions'!$B$13)</f>
        <v>5257171.15455249</v>
      </c>
      <c r="I94" s="33" t="n">
        <f aca="false">(1-'3. Assumptions'!$B$15)*SUMPRODUCT((('2. The tape'!$C$5:$C$13*'2. The tape'!$D$5:$D$13*(1-'2. The tape'!$J$5:$J$13)^($A94/4)*(1+$H$5)^($A94/4)*((1-'3. Assumptions'!$B$13)/($H$6)-'2. The tape'!$H$5:$H$13/12-'3. Assumptions'!$B$16)-'2. The tape'!$C$5:$C$13*'2. The tape'!$I$5:$I$13*(1+$H$5)^($A94/4))&gt;0)*('2. The tape'!$C$5:$C$13*'2. The tape'!$D$5:$D$13*(1-'2. The tape'!$J$5:$J$13)^($A94/4)*(1+$H$5)^($A94/4)*((1-'3. Assumptions'!$B$13)/($H$6)-'2. The tape'!$H$5:$H$13/12-'3. Assumptions'!$B$16)-'2. The tape'!$C$5:$C$13*'2. The tape'!$I$5:$I$13*(1+$H$5)^($A94/4)))</f>
        <v>95092026.1537754</v>
      </c>
      <c r="J94" s="33" t="n">
        <f aca="false">'2. The tape'!$C$17*(1+MIN(MAX($J$5,'3. Assumptions'!$B$11),'3. Assumptions'!$B$10))^INT(($A94-1)/4)/4*(1-'3. Assumptions'!$B$13)</f>
        <v>4533272.93137586</v>
      </c>
      <c r="K94" s="33" t="n">
        <f aca="false">(1-'3. Assumptions'!$B$15)*SUMPRODUCT((('2. The tape'!$C$5:$C$13*'2. The tape'!$D$5:$D$13*(1-'2. The tape'!$J$5:$J$13)^($A94/4)*(1+$J$5)^($A94/4)*((1-'3. Assumptions'!$B$13)/($J$6)-'2. The tape'!$H$5:$H$13/12-'3. Assumptions'!$B$16)-'2. The tape'!$C$5:$C$13*'2. The tape'!$I$5:$I$13*(1+$J$5)^($A94/4))&gt;0)*('2. The tape'!$C$5:$C$13*'2. The tape'!$D$5:$D$13*(1-'2. The tape'!$J$5:$J$13)^($A94/4)*(1+$J$5)^($A94/4)*((1-'3. Assumptions'!$B$13)/($J$6)-'2. The tape'!$H$5:$H$13/12-'3. Assumptions'!$B$16)-'2. The tape'!$C$5:$C$13*'2. The tape'!$I$5:$I$13*(1+$J$5)^($A94/4)))</f>
        <v>60031188.6961657</v>
      </c>
      <c r="L94" s="33" t="n">
        <f aca="false">'2. The tape'!$C$17*(1+MIN(MAX($L$5,'3. Assumptions'!$B$11),'3. Assumptions'!$B$10))^INT(($A94-1)/4)/4*(1-'3. Assumptions'!$B$13)</f>
        <v>5257171.15455249</v>
      </c>
      <c r="M94" s="33" t="n">
        <f aca="false">(1-'3. Assumptions'!$B$15)*SUMPRODUCT((('2. The tape'!$C$5:$C$13*'2. The tape'!$D$5:$D$13*(1-'2. The tape'!$J$5:$J$13)^($A94/4)*(1+$L$5)^($A94/4)*((1-'3. Assumptions'!$B$13)/($L$6)-'2. The tape'!$H$5:$H$13/12-'3. Assumptions'!$B$16)-'2. The tape'!$C$5:$C$13*'2. The tape'!$I$5:$I$13*(1+$L$5)^($A94/4))&gt;0)*('2. The tape'!$C$5:$C$13*'2. The tape'!$D$5:$D$13*(1-'2. The tape'!$J$5:$J$13)^($A94/4)*(1+$L$5)^($A94/4)*((1-'3. Assumptions'!$B$13)/($L$6)-'2. The tape'!$H$5:$H$13/12-'3. Assumptions'!$B$16)-'2. The tape'!$C$5:$C$13*'2. The tape'!$I$5:$I$13*(1+$L$5)^($A94/4)))</f>
        <v>8579330547.2182</v>
      </c>
      <c r="N94" s="33" t="n">
        <f aca="false">'2. The tape'!$C$17*(1+MIN(MAX($N$5,'3. Assumptions'!$B$11),'3. Assumptions'!$B$10))^INT(($A94-1)/4)/4*(1-'3. Assumptions'!$B$13)</f>
        <v>2998091.25</v>
      </c>
      <c r="O94" s="33" t="n">
        <f aca="false">(1-'3. Assumptions'!$B$15)*SUMPRODUCT((('2. The tape'!$C$5:$C$13*'2. The tape'!$D$5:$D$13*(1-'2. The tape'!$J$5:$J$13)^($A94/4)*(1+$N$5)^($A94/4)*((1-'3. Assumptions'!$B$13)/($N$6)-'2. The tape'!$H$5:$H$13/12-'3. Assumptions'!$B$16)-'2. The tape'!$C$5:$C$13*'2. The tape'!$I$5:$I$13*(1+$N$5)^($A94/4))&gt;0)*('2. The tape'!$C$5:$C$13*'2. The tape'!$D$5:$D$13*(1-'2. The tape'!$J$5:$J$13)^($A94/4)*(1+$N$5)^($A94/4)*((1-'3. Assumptions'!$B$13)/($N$6)-'2. The tape'!$H$5:$H$13/12-'3. Assumptions'!$B$16)-'2. The tape'!$C$5:$C$13*'2. The tape'!$I$5:$I$13*(1+$N$5)^($A94/4)))</f>
        <v>26412769.6899073</v>
      </c>
      <c r="P94" s="33" t="n">
        <f aca="false">'2. The tape'!$C$17*(1+MIN(MAX($P$5,'3. Assumptions'!$B$11),'3. Assumptions'!$B$10))^INT(($A94-1)/4)/4*(1-'3. Assumptions'!$B$13)</f>
        <v>2998091.25</v>
      </c>
      <c r="Q94" s="33" t="n">
        <f aca="false">(1-'3. Assumptions'!$B$15)*SUMPRODUCT((('2. The tape'!$C$5:$C$13*'2. The tape'!$D$5:$D$13*(1-'2. The tape'!$J$5:$J$13)^($A94/4)*(1+$P$5)^($A94/4)*((1-'3. Assumptions'!$B$13)/($P$6)-'2. The tape'!$H$5:$H$13/12-'3. Assumptions'!$B$16)-'2. The tape'!$C$5:$C$13*'2. The tape'!$I$5:$I$13*(1+$P$5)^($A94/4))&gt;0)*('2. The tape'!$C$5:$C$13*'2. The tape'!$D$5:$D$13*(1-'2. The tape'!$J$5:$J$13)^($A94/4)*(1+$P$5)^($A94/4)*((1-'3. Assumptions'!$B$13)/($P$6)-'2. The tape'!$H$5:$H$13/12-'3. Assumptions'!$B$16)-'2. The tape'!$C$5:$C$13*'2. The tape'!$I$5:$I$13*(1+$P$5)^($A94/4)))</f>
        <v>32343512.8883356</v>
      </c>
      <c r="R94" s="33" t="n">
        <f aca="false">'2. The tape'!$C$17*(1+MIN(MAX($R$5,'3. Assumptions'!$B$11),'3. Assumptions'!$B$10))^INT(($A94-1)/4)/4*(1-'3. Assumptions'!$B$13)</f>
        <v>2998091.25</v>
      </c>
      <c r="S94" s="33" t="n">
        <f aca="false">(1-'3. Assumptions'!$B$15)*SUMPRODUCT((('2. The tape'!$C$5:$C$13*'2. The tape'!$D$5:$D$13*(1-'2. The tape'!$J$5:$J$13)^($A94/4)*(1+$R$5)^($A94/4)*((1-'3. Assumptions'!$B$13)/($R$6)-'2. The tape'!$H$5:$H$13/12-'3. Assumptions'!$B$16)-'2. The tape'!$C$5:$C$13*'2. The tape'!$I$5:$I$13*(1+$R$5)^($A94/4))&gt;0)*('2. The tape'!$C$5:$C$13*'2. The tape'!$D$5:$D$13*(1-'2. The tape'!$J$5:$J$13)^($A94/4)*(1+$R$5)^($A94/4)*((1-'3. Assumptions'!$B$13)/($R$6)-'2. The tape'!$H$5:$H$13/12-'3. Assumptions'!$B$16)-'2. The tape'!$C$5:$C$13*'2. The tape'!$I$5:$I$13*(1+$R$5)^($A94/4)))</f>
        <v>28618073.7841548</v>
      </c>
      <c r="T94" s="33" t="n">
        <f aca="false">'2. The tape'!$C$17*(1+MIN(MAX($T$5,'3. Assumptions'!$B$11),'3. Assumptions'!$B$10))^INT(($A94-1)/4)/4*(1-'3. Assumptions'!$B$13)</f>
        <v>2998091.25</v>
      </c>
      <c r="U94" s="33" t="n">
        <f aca="false">(1-'3. Assumptions'!$B$15)*SUMPRODUCT((('2. The tape'!$C$5:$C$13*'2. The tape'!$D$5:$D$13*(1-'2. The tape'!$J$5:$J$13)^($A94/4)*(1+$T$5)^($A94/4)*((1-'3. Assumptions'!$B$13)/($T$6)-'2. The tape'!$H$5:$H$13/12-'3. Assumptions'!$B$16)-'2. The tape'!$C$5:$C$13*'2. The tape'!$I$5:$I$13*(1+$T$5)^($A94/4))&gt;0)*('2. The tape'!$C$5:$C$13*'2. The tape'!$D$5:$D$13*(1-'2. The tape'!$J$5:$J$13)^($A94/4)*(1+$T$5)^($A94/4)*((1-'3. Assumptions'!$B$13)/($T$6)-'2. The tape'!$H$5:$H$13/12-'3. Assumptions'!$B$16)-'2. The tape'!$C$5:$C$13*'2. The tape'!$I$5:$I$13*(1+$T$5)^($A94/4)))</f>
        <v>28522937.3977375</v>
      </c>
      <c r="V94" s="33" t="n">
        <f aca="false">'2. The tape'!$C$17*(1+MIN(MAX($V$5,'3. Assumptions'!$B$11),'3. Assumptions'!$B$10))^INT(($A94-1)/4)/4*(1-'3. Assumptions'!$B$13)</f>
        <v>2998091.25</v>
      </c>
      <c r="W94" s="33" t="n">
        <f aca="false">(1-'3. Assumptions'!$B$15)*SUMPRODUCT((('2. The tape'!$C$5:$C$13*'2. The tape'!$D$5:$D$13*(1-'2. The tape'!$J$5:$J$13)^($A94/4)*(1+$V$5)^($A94/4)*((1-'3. Assumptions'!$B$13)/($V$6)-'2. The tape'!$H$5:$H$13/12-'3. Assumptions'!$B$16)-'2. The tape'!$C$5:$C$13*'2. The tape'!$I$5:$I$13*(1+$V$5)^($A94/4))&gt;0)*('2. The tape'!$C$5:$C$13*'2. The tape'!$D$5:$D$13*(1-'2. The tape'!$J$5:$J$13)^($A94/4)*(1+$V$5)^($A94/4)*((1-'3. Assumptions'!$B$13)/($V$6)-'2. The tape'!$H$5:$H$13/12-'3. Assumptions'!$B$16)-'2. The tape'!$C$5:$C$13*'2. The tape'!$I$5:$I$13*(1+$V$5)^($A94/4)))</f>
        <v>28526754.089786</v>
      </c>
      <c r="X94" s="33" t="n">
        <f aca="false">'2. The tape'!$C$17*(1+MIN(MAX($X$5,'3. Assumptions'!$B$11),'3. Assumptions'!$B$10))^INT(($A94-1)/4)/4*(1-'3. Assumptions'!$B$13)</f>
        <v>2998091.25</v>
      </c>
      <c r="Y94" s="33" t="n">
        <f aca="false">(1-'3. Assumptions'!$B$15)*SUMPRODUCT((('2. The tape'!$C$5:$C$13*'2. The tape'!$D$5:$D$13*(1-'2. The tape'!$J$5:$J$13)^($A94/4)*(1+$X$5)^($A94/4)*((1-'3. Assumptions'!$B$13)/($X$6)-'2. The tape'!$H$5:$H$13/12-'3. Assumptions'!$B$16)-'2. The tape'!$C$5:$C$13*'2. The tape'!$I$5:$I$13*(1+$X$5)^($A94/4))&gt;0)*('2. The tape'!$C$5:$C$13*'2. The tape'!$D$5:$D$13*(1-'2. The tape'!$J$5:$J$13)^($A94/4)*(1+$X$5)^($A94/4)*((1-'3. Assumptions'!$B$13)/($X$6)-'2. The tape'!$H$5:$H$13/12-'3. Assumptions'!$B$16)-'2. The tape'!$C$5:$C$13*'2. The tape'!$I$5:$I$13*(1+$X$5)^($A94/4)))</f>
        <v>28526750.0760423</v>
      </c>
      <c r="Z94" s="33" t="n">
        <f aca="false">'2. The tape'!$C$17*(1+MIN(MAX($Z$5,'3. Assumptions'!$B$11),'3. Assumptions'!$B$10))^INT(($A94-1)/4)/4*(1-'3. Assumptions'!$B$13)</f>
        <v>2998091.25</v>
      </c>
      <c r="AA94" s="33" t="n">
        <f aca="false">(1-'3. Assumptions'!$B$15)*SUMPRODUCT((('2. The tape'!$C$5:$C$13*'2. The tape'!$D$5:$D$13*(1-'2. The tape'!$J$5:$J$13)^($A94/4)*(1+$Z$5)^($A94/4)*((1-'3. Assumptions'!$B$13)/($Z$6)-'2. The tape'!$H$5:$H$13/12-'3. Assumptions'!$B$16)-'2. The tape'!$C$5:$C$13*'2. The tape'!$I$5:$I$13*(1+$Z$5)^($A94/4))&gt;0)*('2. The tape'!$C$5:$C$13*'2. The tape'!$D$5:$D$13*(1-'2. The tape'!$J$5:$J$13)^($A94/4)*(1+$Z$5)^($A94/4)*((1-'3. Assumptions'!$B$13)/($Z$6)-'2. The tape'!$H$5:$H$13/12-'3. Assumptions'!$B$16)-'2. The tape'!$C$5:$C$13*'2. The tape'!$I$5:$I$13*(1+$Z$5)^($A94/4)))</f>
        <v>28526750.0758656</v>
      </c>
      <c r="AB94" s="33" t="n">
        <f aca="false">'2. The tape'!$C$17*(1+MIN(MAX($AB$5,'3. Assumptions'!$B$11),'3. Assumptions'!$B$10))^INT(($A94-1)/4)/4*(1-'3. Assumptions'!$B$13)</f>
        <v>2998091.25</v>
      </c>
      <c r="AC94" s="33" t="n">
        <f aca="false">(1-'3. Assumptions'!$B$15)*SUMPRODUCT((('2. The tape'!$C$5:$C$13*'2. The tape'!$D$5:$D$13*(1-'2. The tape'!$J$5:$J$13)^($A94/4)*(1+$AB$5)^($A94/4)*((1-'3. Assumptions'!$B$13)/($AB$6)-'2. The tape'!$H$5:$H$13/12-'3. Assumptions'!$B$16)-'2. The tape'!$C$5:$C$13*'2. The tape'!$I$5:$I$13*(1+$AB$5)^($A94/4))&gt;0)*('2. The tape'!$C$5:$C$13*'2. The tape'!$D$5:$D$13*(1-'2. The tape'!$J$5:$J$13)^($A94/4)*(1+$AB$5)^($A94/4)*((1-'3. Assumptions'!$B$13)/($AB$6)-'2. The tape'!$H$5:$H$13/12-'3. Assumptions'!$B$16)-'2. The tape'!$C$5:$C$13*'2. The tape'!$I$5:$I$13*(1+$AB$5)^($A94/4)))</f>
        <v>28526750.0758656</v>
      </c>
      <c r="AD94" s="33" t="n">
        <f aca="false">'2. The tape'!$C$17*(1+MIN(MAX($AD$5,'3. Assumptions'!$B$11),'3. Assumptions'!$B$10))^INT(($A94-1)/4)/4*(1-'3. Assumptions'!$B$13)</f>
        <v>2998091.25</v>
      </c>
      <c r="AE94" s="33" t="n">
        <f aca="false">(1-'3. Assumptions'!$B$15)*SUMPRODUCT((('2. The tape'!$C$5:$C$13*'2. The tape'!$D$5:$D$13*(1-'2. The tape'!$J$5:$J$13)^($A94/4)*(1+$AD$5)^($A94/4)*((1-'3. Assumptions'!$B$13)/($AD$6)-'2. The tape'!$H$5:$H$13/12-'3. Assumptions'!$B$16)-'2. The tape'!$C$5:$C$13*'2. The tape'!$I$5:$I$13*(1+$AD$5)^($A94/4))&gt;0)*('2. The tape'!$C$5:$C$13*'2. The tape'!$D$5:$D$13*(1-'2. The tape'!$J$5:$J$13)^($A94/4)*(1+$AD$5)^($A94/4)*((1-'3. Assumptions'!$B$13)/($AD$6)-'2. The tape'!$H$5:$H$13/12-'3. Assumptions'!$B$16)-'2. The tape'!$C$5:$C$13*'2. The tape'!$I$5:$I$13*(1+$AD$5)^($A94/4)))</f>
        <v>28526750.0758656</v>
      </c>
      <c r="AF94" s="33" t="n">
        <f aca="false">'2. The tape'!$C$17*(1+MIN(MAX($AF$5,'3. Assumptions'!$B$11),'3. Assumptions'!$B$10))^INT(($A94-1)/4)/4*(1-'3. Assumptions'!$B$13)</f>
        <v>2998091.25</v>
      </c>
      <c r="AG94" s="33" t="n">
        <f aca="false">(1-'3. Assumptions'!$B$15)*SUMPRODUCT((('2. The tape'!$C$5:$C$13*'2. The tape'!$D$5:$D$13*(1-'2. The tape'!$J$5:$J$13)^($A94/4)*(1+$AF$5)^($A94/4)*((1-'3. Assumptions'!$B$13)/($AF$6)-'2. The tape'!$H$5:$H$13/12-'3. Assumptions'!$B$16)-'2. The tape'!$C$5:$C$13*'2. The tape'!$I$5:$I$13*(1+$AF$5)^($A94/4))&gt;0)*('2. The tape'!$C$5:$C$13*'2. The tape'!$D$5:$D$13*(1-'2. The tape'!$J$5:$J$13)^($A94/4)*(1+$AF$5)^($A94/4)*((1-'3. Assumptions'!$B$13)/($AF$6)-'2. The tape'!$H$5:$H$13/12-'3. Assumptions'!$B$16)-'2. The tape'!$C$5:$C$13*'2. The tape'!$I$5:$I$13*(1+$AF$5)^($A94/4)))</f>
        <v>28526750.0758656</v>
      </c>
      <c r="AH94" s="33" t="n">
        <f aca="false">'2. The tape'!$C$17*(1+MIN(MAX($AH$5,'3. Assumptions'!$B$11),'3. Assumptions'!$B$10))^INT(($A94-1)/4)/4*(1-'3. Assumptions'!$B$13)</f>
        <v>4533272.93137586</v>
      </c>
      <c r="AI94" s="33" t="n">
        <f aca="false">(1-'3. Assumptions'!$B$15)*SUMPRODUCT((('2. The tape'!$C$5:$C$13*'2. The tape'!$D$5:$D$13*(1-'2. The tape'!$J$5:$J$13)^($A94/4)*(1+$AH$5)^($A94/4)*((1-'3. Assumptions'!$B$13)/($AH$6)-'2. The tape'!$H$5:$H$13/12-'3. Assumptions'!$B$16)-'2. The tape'!$C$5:$C$13*'2. The tape'!$I$5:$I$13*(1+$AH$5)^($A94/4))&gt;0)*('2. The tape'!$C$5:$C$13*'2. The tape'!$D$5:$D$13*(1-'2. The tape'!$J$5:$J$13)^($A94/4)*(1+$AH$5)^($A94/4)*((1-'3. Assumptions'!$B$13)/($AH$6)-'2. The tape'!$H$5:$H$13/12-'3. Assumptions'!$B$16)-'2. The tape'!$C$5:$C$13*'2. The tape'!$I$5:$I$13*(1+$AH$5)^($A94/4)))</f>
        <v>150815613.438516</v>
      </c>
      <c r="AJ94" s="33" t="n">
        <f aca="false">'2. The tape'!$C$17*(1+MIN(MAX($AJ$5,'3. Assumptions'!$B$11),'3. Assumptions'!$B$10))^INT(($A94-1)/4)/4*(1-'3. Assumptions'!$B$13)</f>
        <v>4533272.93137586</v>
      </c>
      <c r="AK94" s="33" t="n">
        <f aca="false">(1-'3. Assumptions'!$B$15)*SUMPRODUCT((('2. The tape'!$C$5:$C$13*'2. The tape'!$D$5:$D$13*(1-'2. The tape'!$J$5:$J$13)^($A94/4)*(1+$AJ$5)^($A94/4)*((1-'3. Assumptions'!$B$13)/($AJ$6)-'2. The tape'!$H$5:$H$13/12-'3. Assumptions'!$B$16)-'2. The tape'!$C$5:$C$13*'2. The tape'!$I$5:$I$13*(1+$AJ$5)^($A94/4))&gt;0)*('2. The tape'!$C$5:$C$13*'2. The tape'!$D$5:$D$13*(1-'2. The tape'!$J$5:$J$13)^($A94/4)*(1+$AJ$5)^($A94/4)*((1-'3. Assumptions'!$B$13)/($AJ$6)-'2. The tape'!$H$5:$H$13/12-'3. Assumptions'!$B$16)-'2. The tape'!$C$5:$C$13*'2. The tape'!$I$5:$I$13*(1+$AJ$5)^($A94/4)))</f>
        <v>107812464.87635</v>
      </c>
      <c r="AL94" s="33" t="n">
        <f aca="false">'2. The tape'!$C$17*(1+MIN(MAX($AL$5,'3. Assumptions'!$B$11),'3. Assumptions'!$B$10))^INT(($A94-1)/4)/4*(1-'3. Assumptions'!$B$13)</f>
        <v>4533272.93137586</v>
      </c>
      <c r="AM94" s="33" t="n">
        <f aca="false">(1-'3. Assumptions'!$B$15)*SUMPRODUCT((('2. The tape'!$C$5:$C$13*'2. The tape'!$D$5:$D$13*(1-'2. The tape'!$J$5:$J$13)^($A94/4)*(1+$AL$5)^($A94/4)*((1-'3. Assumptions'!$B$13)/($AL$6)-'2. The tape'!$H$5:$H$13/12-'3. Assumptions'!$B$16)-'2. The tape'!$C$5:$C$13*'2. The tape'!$I$5:$I$13*(1+$AL$5)^($A94/4))&gt;0)*('2. The tape'!$C$5:$C$13*'2. The tape'!$D$5:$D$13*(1-'2. The tape'!$J$5:$J$13)^($A94/4)*(1+$AL$5)^($A94/4)*((1-'3. Assumptions'!$B$13)/($AL$6)-'2. The tape'!$H$5:$H$13/12-'3. Assumptions'!$B$16)-'2. The tape'!$C$5:$C$13*'2. The tape'!$I$5:$I$13*(1+$AL$5)^($A94/4)))</f>
        <v>124490954.373446</v>
      </c>
      <c r="AN94" s="33" t="n">
        <f aca="false">'2. The tape'!$C$17*(1+MIN(MAX($AN$5,'3. Assumptions'!$B$11),'3. Assumptions'!$B$10))^INT(($A94-1)/4)/4*(1-'3. Assumptions'!$B$13)</f>
        <v>4533272.93137586</v>
      </c>
      <c r="AO94" s="33" t="n">
        <f aca="false">(1-'3. Assumptions'!$B$15)*SUMPRODUCT((('2. The tape'!$C$5:$C$13*'2. The tape'!$D$5:$D$13*(1-'2. The tape'!$J$5:$J$13)^($A94/4)*(1+$AN$5)^($A94/4)*((1-'3. Assumptions'!$B$13)/($AN$6)-'2. The tape'!$H$5:$H$13/12-'3. Assumptions'!$B$16)-'2. The tape'!$C$5:$C$13*'2. The tape'!$I$5:$I$13*(1+$AN$5)^($A94/4))&gt;0)*('2. The tape'!$C$5:$C$13*'2. The tape'!$D$5:$D$13*(1-'2. The tape'!$J$5:$J$13)^($A94/4)*(1+$AN$5)^($A94/4)*((1-'3. Assumptions'!$B$13)/($AN$6)-'2. The tape'!$H$5:$H$13/12-'3. Assumptions'!$B$16)-'2. The tape'!$C$5:$C$13*'2. The tape'!$I$5:$I$13*(1+$AN$5)^($A94/4)))</f>
        <v>127613679.789693</v>
      </c>
      <c r="AP94" s="33" t="n">
        <f aca="false">'2. The tape'!$C$17*(1+MIN(MAX($AP$5,'3. Assumptions'!$B$11),'3. Assumptions'!$B$10))^INT(($A94-1)/4)/4*(1-'3. Assumptions'!$B$13)</f>
        <v>4533272.93137586</v>
      </c>
      <c r="AQ94" s="33" t="n">
        <f aca="false">(1-'3. Assumptions'!$B$15)*SUMPRODUCT((('2. The tape'!$C$5:$C$13*'2. The tape'!$D$5:$D$13*(1-'2. The tape'!$J$5:$J$13)^($A94/4)*(1+$AP$5)^($A94/4)*((1-'3. Assumptions'!$B$13)/($AP$6)-'2. The tape'!$H$5:$H$13/12-'3. Assumptions'!$B$16)-'2. The tape'!$C$5:$C$13*'2. The tape'!$I$5:$I$13*(1+$AP$5)^($A94/4))&gt;0)*('2. The tape'!$C$5:$C$13*'2. The tape'!$D$5:$D$13*(1-'2. The tape'!$J$5:$J$13)^($A94/4)*(1+$AP$5)^($A94/4)*((1-'3. Assumptions'!$B$13)/($AP$6)-'2. The tape'!$H$5:$H$13/12-'3. Assumptions'!$B$16)-'2. The tape'!$C$5:$C$13*'2. The tape'!$I$5:$I$13*(1+$AP$5)^($A94/4)))</f>
        <v>127228185.745008</v>
      </c>
      <c r="AR94" s="33" t="n">
        <f aca="false">'2. The tape'!$C$17*(1+MIN(MAX($AR$5,'3. Assumptions'!$B$11),'3. Assumptions'!$B$10))^INT(($A94-1)/4)/4*(1-'3. Assumptions'!$B$13)</f>
        <v>4533272.93137586</v>
      </c>
      <c r="AS94" s="33" t="n">
        <f aca="false">(1-'3. Assumptions'!$B$15)*SUMPRODUCT((('2. The tape'!$C$5:$C$13*'2. The tape'!$D$5:$D$13*(1-'2. The tape'!$J$5:$J$13)^($A94/4)*(1+$AR$5)^($A94/4)*((1-'3. Assumptions'!$B$13)/($AR$6)-'2. The tape'!$H$5:$H$13/12-'3. Assumptions'!$B$16)-'2. The tape'!$C$5:$C$13*'2. The tape'!$I$5:$I$13*(1+$AR$5)^($A94/4))&gt;0)*('2. The tape'!$C$5:$C$13*'2. The tape'!$D$5:$D$13*(1-'2. The tape'!$J$5:$J$13)^($A94/4)*(1+$AR$5)^($A94/4)*((1-'3. Assumptions'!$B$13)/($AR$6)-'2. The tape'!$H$5:$H$13/12-'3. Assumptions'!$B$16)-'2. The tape'!$C$5:$C$13*'2. The tape'!$I$5:$I$13*(1+$AR$5)^($A94/4)))</f>
        <v>127234653.782916</v>
      </c>
      <c r="AT94" s="33" t="n">
        <f aca="false">'2. The tape'!$C$17*(1+MIN(MAX($AT$5,'3. Assumptions'!$B$11),'3. Assumptions'!$B$10))^INT(($A94-1)/4)/4*(1-'3. Assumptions'!$B$13)</f>
        <v>4533272.93137586</v>
      </c>
      <c r="AU94" s="33" t="n">
        <f aca="false">(1-'3. Assumptions'!$B$15)*SUMPRODUCT((('2. The tape'!$C$5:$C$13*'2. The tape'!$D$5:$D$13*(1-'2. The tape'!$J$5:$J$13)^($A94/4)*(1+$AT$5)^($A94/4)*((1-'3. Assumptions'!$B$13)/($AT$6)-'2. The tape'!$H$5:$H$13/12-'3. Assumptions'!$B$16)-'2. The tape'!$C$5:$C$13*'2. The tape'!$I$5:$I$13*(1+$AT$5)^($A94/4))&gt;0)*('2. The tape'!$C$5:$C$13*'2. The tape'!$D$5:$D$13*(1-'2. The tape'!$J$5:$J$13)^($A94/4)*(1+$AT$5)^($A94/4)*((1-'3. Assumptions'!$B$13)/($AT$6)-'2. The tape'!$H$5:$H$13/12-'3. Assumptions'!$B$16)-'2. The tape'!$C$5:$C$13*'2. The tape'!$I$5:$I$13*(1+$AT$5)^($A94/4)))</f>
        <v>127234668.845349</v>
      </c>
      <c r="AV94" s="33" t="n">
        <f aca="false">'2. The tape'!$C$17*(1+MIN(MAX($AV$5,'3. Assumptions'!$B$11),'3. Assumptions'!$B$10))^INT(($A94-1)/4)/4*(1-'3. Assumptions'!$B$13)</f>
        <v>4533272.93137586</v>
      </c>
      <c r="AW94" s="33" t="n">
        <f aca="false">(1-'3. Assumptions'!$B$15)*SUMPRODUCT((('2. The tape'!$C$5:$C$13*'2. The tape'!$D$5:$D$13*(1-'2. The tape'!$J$5:$J$13)^($A94/4)*(1+$AV$5)^($A94/4)*((1-'3. Assumptions'!$B$13)/($AV$6)-'2. The tape'!$H$5:$H$13/12-'3. Assumptions'!$B$16)-'2. The tape'!$C$5:$C$13*'2. The tape'!$I$5:$I$13*(1+$AV$5)^($A94/4))&gt;0)*('2. The tape'!$C$5:$C$13*'2. The tape'!$D$5:$D$13*(1-'2. The tape'!$J$5:$J$13)^($A94/4)*(1+$AV$5)^($A94/4)*((1-'3. Assumptions'!$B$13)/($AV$6)-'2. The tape'!$H$5:$H$13/12-'3. Assumptions'!$B$16)-'2. The tape'!$C$5:$C$13*'2. The tape'!$I$5:$I$13*(1+$AV$5)^($A94/4)))</f>
        <v>127234668.844749</v>
      </c>
      <c r="AX94" s="33" t="n">
        <f aca="false">'2. The tape'!$C$17*(1+MIN(MAX($AX$5,'3. Assumptions'!$B$11),'3. Assumptions'!$B$10))^INT(($A94-1)/4)/4*(1-'3. Assumptions'!$B$13)</f>
        <v>4533272.93137586</v>
      </c>
      <c r="AY94" s="33" t="n">
        <f aca="false">(1-'3. Assumptions'!$B$15)*SUMPRODUCT((('2. The tape'!$C$5:$C$13*'2. The tape'!$D$5:$D$13*(1-'2. The tape'!$J$5:$J$13)^($A94/4)*(1+$AX$5)^($A94/4)*((1-'3. Assumptions'!$B$13)/($AX$6)-'2. The tape'!$H$5:$H$13/12-'3. Assumptions'!$B$16)-'2. The tape'!$C$5:$C$13*'2. The tape'!$I$5:$I$13*(1+$AX$5)^($A94/4))&gt;0)*('2. The tape'!$C$5:$C$13*'2. The tape'!$D$5:$D$13*(1-'2. The tape'!$J$5:$J$13)^($A94/4)*(1+$AX$5)^($A94/4)*((1-'3. Assumptions'!$B$13)/($AX$6)-'2. The tape'!$H$5:$H$13/12-'3. Assumptions'!$B$16)-'2. The tape'!$C$5:$C$13*'2. The tape'!$I$5:$I$13*(1+$AX$5)^($A94/4)))</f>
        <v>127234668.844749</v>
      </c>
      <c r="AZ94" s="33" t="n">
        <f aca="false">'2. The tape'!$C$17*(1+MIN(MAX($AZ$5,'3. Assumptions'!$B$11),'3. Assumptions'!$B$10))^INT(($A94-1)/4)/4*(1-'3. Assumptions'!$B$13)</f>
        <v>4533272.93137586</v>
      </c>
      <c r="BA94" s="33" t="n">
        <f aca="false">(1-'3. Assumptions'!$B$15)*SUMPRODUCT((('2. The tape'!$C$5:$C$13*'2. The tape'!$D$5:$D$13*(1-'2. The tape'!$J$5:$J$13)^($A94/4)*(1+$AZ$5)^($A94/4)*((1-'3. Assumptions'!$B$13)/($AZ$6)-'2. The tape'!$H$5:$H$13/12-'3. Assumptions'!$B$16)-'2. The tape'!$C$5:$C$13*'2. The tape'!$I$5:$I$13*(1+$AZ$5)^($A94/4))&gt;0)*('2. The tape'!$C$5:$C$13*'2. The tape'!$D$5:$D$13*(1-'2. The tape'!$J$5:$J$13)^($A94/4)*(1+$AZ$5)^($A94/4)*((1-'3. Assumptions'!$B$13)/($AZ$6)-'2. The tape'!$H$5:$H$13/12-'3. Assumptions'!$B$16)-'2. The tape'!$C$5:$C$13*'2. The tape'!$I$5:$I$13*(1+$AZ$5)^($A94/4)))</f>
        <v>127234668.844749</v>
      </c>
    </row>
    <row r="95" customFormat="false" ht="15" hidden="false" customHeight="false" outlineLevel="0" collapsed="false">
      <c r="A95" s="20" t="n">
        <v>80</v>
      </c>
      <c r="B95" s="33" t="n">
        <f aca="false">'2. The tape'!$C$17*(1+MIN(MAX($B$5,'3. Assumptions'!$B$11),'3. Assumptions'!$B$10))^INT(($A95-1)/4)/4*(1-'3. Assumptions'!$B$13)</f>
        <v>4533272.93137586</v>
      </c>
      <c r="C95" s="33" t="n">
        <f aca="false">(1-'3. Assumptions'!$B$15)*SUMPRODUCT((('2. The tape'!$C$5:$C$13*'2. The tape'!$D$5:$D$13*(1-'2. The tape'!$J$5:$J$13)^($A95/4)*(1+$B$5)^($A95/4)*((1-'3. Assumptions'!$B$13)/($B$6)-'2. The tape'!$H$5:$H$13/12-'3. Assumptions'!$B$16)-'2. The tape'!$C$5:$C$13*'2. The tape'!$I$5:$I$13*(1+$B$5)^($A95/4))&gt;0)*('2. The tape'!$C$5:$C$13*'2. The tape'!$D$5:$D$13*(1-'2. The tape'!$J$5:$J$13)^($A95/4)*(1+$B$5)^($A95/4)*((1-'3. Assumptions'!$B$13)/($B$6)-'2. The tape'!$H$5:$H$13/12-'3. Assumptions'!$B$16)-'2. The tape'!$C$5:$C$13*'2. The tape'!$I$5:$I$13*(1+$B$5)^($A95/4)))</f>
        <v>73972713.2726463</v>
      </c>
      <c r="D95" s="33" t="n">
        <f aca="false">'2. The tape'!$C$17*(1+MIN(MAX($D$5,'3. Assumptions'!$B$11),'3. Assumptions'!$B$10))^INT(($A95-1)/4)/4*(1-'3. Assumptions'!$B$13)</f>
        <v>5257171.15455249</v>
      </c>
      <c r="E95" s="33" t="n">
        <f aca="false">(1-'3. Assumptions'!$B$15)*SUMPRODUCT((('2. The tape'!$C$5:$C$13*'2. The tape'!$D$5:$D$13*(1-'2. The tape'!$J$5:$J$13)^($A95/4)*(1+$D$5)^($A95/4)*((1-'3. Assumptions'!$B$13)/($D$6)-'2. The tape'!$H$5:$H$13/12-'3. Assumptions'!$B$16)-'2. The tape'!$C$5:$C$13*'2. The tape'!$I$5:$I$13*(1+$D$5)^($A95/4))&gt;0)*('2. The tape'!$C$5:$C$13*'2. The tape'!$D$5:$D$13*(1-'2. The tape'!$J$5:$J$13)^($A95/4)*(1+$D$5)^($A95/4)*((1-'3. Assumptions'!$B$13)/($D$6)-'2. The tape'!$H$5:$H$13/12-'3. Assumptions'!$B$16)-'2. The tape'!$C$5:$C$13*'2. The tape'!$I$5:$I$13*(1+$D$5)^($A95/4)))</f>
        <v>95249044.6809874</v>
      </c>
      <c r="F95" s="33" t="n">
        <f aca="false">'2. The tape'!$C$17*(1+MIN(MAX($F$5,'3. Assumptions'!$B$11),'3. Assumptions'!$B$10))^INT(($A95-1)/4)/4*(1-'3. Assumptions'!$B$13)</f>
        <v>3622020.87337144</v>
      </c>
      <c r="G95" s="33" t="n">
        <f aca="false">(1-'3. Assumptions'!$B$15)*SUMPRODUCT((('2. The tape'!$C$5:$C$13*'2. The tape'!$D$5:$D$13*(1-'2. The tape'!$J$5:$J$13)^($A95/4)*(1+$F$5)^($A95/4)*((1-'3. Assumptions'!$B$13)/($F$6)-'2. The tape'!$H$5:$H$13/12-'3. Assumptions'!$B$16)-'2. The tape'!$C$5:$C$13*'2. The tape'!$I$5:$I$13*(1+$F$5)^($A95/4))&gt;0)*('2. The tape'!$C$5:$C$13*'2. The tape'!$D$5:$D$13*(1-'2. The tape'!$J$5:$J$13)^($A95/4)*(1+$F$5)^($A95/4)*((1-'3. Assumptions'!$B$13)/($F$6)-'2. The tape'!$H$5:$H$13/12-'3. Assumptions'!$B$16)-'2. The tape'!$C$5:$C$13*'2. The tape'!$I$5:$I$13*(1+$F$5)^($A95/4)))</f>
        <v>58409179.8724125</v>
      </c>
      <c r="H95" s="33" t="n">
        <f aca="false">'2. The tape'!$C$17*(1+MIN(MAX($H$5,'3. Assumptions'!$B$11),'3. Assumptions'!$B$10))^INT(($A95-1)/4)/4*(1-'3. Assumptions'!$B$13)</f>
        <v>5257171.15455249</v>
      </c>
      <c r="I95" s="33" t="n">
        <f aca="false">(1-'3. Assumptions'!$B$15)*SUMPRODUCT((('2. The tape'!$C$5:$C$13*'2. The tape'!$D$5:$D$13*(1-'2. The tape'!$J$5:$J$13)^($A95/4)*(1+$H$5)^($A95/4)*((1-'3. Assumptions'!$B$13)/($H$6)-'2. The tape'!$H$5:$H$13/12-'3. Assumptions'!$B$16)-'2. The tape'!$C$5:$C$13*'2. The tape'!$I$5:$I$13*(1+$H$5)^($A95/4))&gt;0)*('2. The tape'!$C$5:$C$13*'2. The tape'!$D$5:$D$13*(1-'2. The tape'!$J$5:$J$13)^($A95/4)*(1+$H$5)^($A95/4)*((1-'3. Assumptions'!$B$13)/($H$6)-'2. The tape'!$H$5:$H$13/12-'3. Assumptions'!$B$16)-'2. The tape'!$C$5:$C$13*'2. The tape'!$I$5:$I$13*(1+$H$5)^($A95/4)))</f>
        <v>95249044.6809874</v>
      </c>
      <c r="J95" s="33" t="n">
        <f aca="false">'2. The tape'!$C$17*(1+MIN(MAX($J$5,'3. Assumptions'!$B$11),'3. Assumptions'!$B$10))^INT(($A95-1)/4)/4*(1-'3. Assumptions'!$B$13)</f>
        <v>4533272.93137586</v>
      </c>
      <c r="K95" s="33" t="n">
        <f aca="false">(1-'3. Assumptions'!$B$15)*SUMPRODUCT((('2. The tape'!$C$5:$C$13*'2. The tape'!$D$5:$D$13*(1-'2. The tape'!$J$5:$J$13)^($A95/4)*(1+$J$5)^($A95/4)*((1-'3. Assumptions'!$B$13)/($J$6)-'2. The tape'!$H$5:$H$13/12-'3. Assumptions'!$B$16)-'2. The tape'!$C$5:$C$13*'2. The tape'!$I$5:$I$13*(1+$J$5)^($A95/4))&gt;0)*('2. The tape'!$C$5:$C$13*'2. The tape'!$D$5:$D$13*(1-'2. The tape'!$J$5:$J$13)^($A95/4)*(1+$J$5)^($A95/4)*((1-'3. Assumptions'!$B$13)/($J$6)-'2. The tape'!$H$5:$H$13/12-'3. Assumptions'!$B$16)-'2. The tape'!$C$5:$C$13*'2. The tape'!$I$5:$I$13*(1+$J$5)^($A95/4)))</f>
        <v>59918755.4031319</v>
      </c>
      <c r="L95" s="33" t="n">
        <f aca="false">'2. The tape'!$C$17*(1+MIN(MAX($L$5,'3. Assumptions'!$B$11),'3. Assumptions'!$B$10))^INT(($A95-1)/4)/4*(1-'3. Assumptions'!$B$13)</f>
        <v>5257171.15455249</v>
      </c>
      <c r="M95" s="33" t="n">
        <f aca="false">(1-'3. Assumptions'!$B$15)*SUMPRODUCT((('2. The tape'!$C$5:$C$13*'2. The tape'!$D$5:$D$13*(1-'2. The tape'!$J$5:$J$13)^($A95/4)*(1+$L$5)^($A95/4)*((1-'3. Assumptions'!$B$13)/($L$6)-'2. The tape'!$H$5:$H$13/12-'3. Assumptions'!$B$16)-'2. The tape'!$C$5:$C$13*'2. The tape'!$I$5:$I$13*(1+$L$5)^($A95/4))&gt;0)*('2. The tape'!$C$5:$C$13*'2. The tape'!$D$5:$D$13*(1-'2. The tape'!$J$5:$J$13)^($A95/4)*(1+$L$5)^($A95/4)*((1-'3. Assumptions'!$B$13)/($L$6)-'2. The tape'!$H$5:$H$13/12-'3. Assumptions'!$B$16)-'2. The tape'!$C$5:$C$13*'2. The tape'!$I$5:$I$13*(1+$L$5)^($A95/4)))</f>
        <v>9097470977.90631</v>
      </c>
      <c r="N95" s="33" t="n">
        <f aca="false">'2. The tape'!$C$17*(1+MIN(MAX($N$5,'3. Assumptions'!$B$11),'3. Assumptions'!$B$10))^INT(($A95-1)/4)/4*(1-'3. Assumptions'!$B$13)</f>
        <v>2998091.25</v>
      </c>
      <c r="O95" s="33" t="n">
        <f aca="false">(1-'3. Assumptions'!$B$15)*SUMPRODUCT((('2. The tape'!$C$5:$C$13*'2. The tape'!$D$5:$D$13*(1-'2. The tape'!$J$5:$J$13)^($A95/4)*(1+$N$5)^($A95/4)*((1-'3. Assumptions'!$B$13)/($N$6)-'2. The tape'!$H$5:$H$13/12-'3. Assumptions'!$B$16)-'2. The tape'!$C$5:$C$13*'2. The tape'!$I$5:$I$13*(1+$N$5)^($A95/4))&gt;0)*('2. The tape'!$C$5:$C$13*'2. The tape'!$D$5:$D$13*(1-'2. The tape'!$J$5:$J$13)^($A95/4)*(1+$N$5)^($A95/4)*((1-'3. Assumptions'!$B$13)/($N$6)-'2. The tape'!$H$5:$H$13/12-'3. Assumptions'!$B$16)-'2. The tape'!$C$5:$C$13*'2. The tape'!$I$5:$I$13*(1+$N$5)^($A95/4)))</f>
        <v>26030848.105401</v>
      </c>
      <c r="P95" s="33" t="n">
        <f aca="false">'2. The tape'!$C$17*(1+MIN(MAX($P$5,'3. Assumptions'!$B$11),'3. Assumptions'!$B$10))^INT(($A95-1)/4)/4*(1-'3. Assumptions'!$B$13)</f>
        <v>2998091.25</v>
      </c>
      <c r="Q95" s="33" t="n">
        <f aca="false">(1-'3. Assumptions'!$B$15)*SUMPRODUCT((('2. The tape'!$C$5:$C$13*'2. The tape'!$D$5:$D$13*(1-'2. The tape'!$J$5:$J$13)^($A95/4)*(1+$P$5)^($A95/4)*((1-'3. Assumptions'!$B$13)/($P$6)-'2. The tape'!$H$5:$H$13/12-'3. Assumptions'!$B$16)-'2. The tape'!$C$5:$C$13*'2. The tape'!$I$5:$I$13*(1+$P$5)^($A95/4))&gt;0)*('2. The tape'!$C$5:$C$13*'2. The tape'!$D$5:$D$13*(1-'2. The tape'!$J$5:$J$13)^($A95/4)*(1+$P$5)^($A95/4)*((1-'3. Assumptions'!$B$13)/($P$6)-'2. The tape'!$H$5:$H$13/12-'3. Assumptions'!$B$16)-'2. The tape'!$C$5:$C$13*'2. The tape'!$I$5:$I$13*(1+$P$5)^($A95/4)))</f>
        <v>31957672.8459139</v>
      </c>
      <c r="R95" s="33" t="n">
        <f aca="false">'2. The tape'!$C$17*(1+MIN(MAX($R$5,'3. Assumptions'!$B$11),'3. Assumptions'!$B$10))^INT(($A95-1)/4)/4*(1-'3. Assumptions'!$B$13)</f>
        <v>2998091.25</v>
      </c>
      <c r="S95" s="33" t="n">
        <f aca="false">(1-'3. Assumptions'!$B$15)*SUMPRODUCT((('2. The tape'!$C$5:$C$13*'2. The tape'!$D$5:$D$13*(1-'2. The tape'!$J$5:$J$13)^($A95/4)*(1+$R$5)^($A95/4)*((1-'3. Assumptions'!$B$13)/($R$6)-'2. The tape'!$H$5:$H$13/12-'3. Assumptions'!$B$16)-'2. The tape'!$C$5:$C$13*'2. The tape'!$I$5:$I$13*(1+$R$5)^($A95/4))&gt;0)*('2. The tape'!$C$5:$C$13*'2. The tape'!$D$5:$D$13*(1-'2. The tape'!$J$5:$J$13)^($A95/4)*(1+$R$5)^($A95/4)*((1-'3. Assumptions'!$B$13)/($R$6)-'2. The tape'!$H$5:$H$13/12-'3. Assumptions'!$B$16)-'2. The tape'!$C$5:$C$13*'2. The tape'!$I$5:$I$13*(1+$R$5)^($A95/4)))</f>
        <v>28232908.0533366</v>
      </c>
      <c r="T95" s="33" t="n">
        <f aca="false">'2. The tape'!$C$17*(1+MIN(MAX($T$5,'3. Assumptions'!$B$11),'3. Assumptions'!$B$10))^INT(($A95-1)/4)/4*(1-'3. Assumptions'!$B$13)</f>
        <v>2998091.25</v>
      </c>
      <c r="U95" s="33" t="n">
        <f aca="false">(1-'3. Assumptions'!$B$15)*SUMPRODUCT((('2. The tape'!$C$5:$C$13*'2. The tape'!$D$5:$D$13*(1-'2. The tape'!$J$5:$J$13)^($A95/4)*(1+$T$5)^($A95/4)*((1-'3. Assumptions'!$B$13)/($T$6)-'2. The tape'!$H$5:$H$13/12-'3. Assumptions'!$B$16)-'2. The tape'!$C$5:$C$13*'2. The tape'!$I$5:$I$13*(1+$T$5)^($A95/4))&gt;0)*('2. The tape'!$C$5:$C$13*'2. The tape'!$D$5:$D$13*(1-'2. The tape'!$J$5:$J$13)^($A95/4)*(1+$T$5)^($A95/4)*((1-'3. Assumptions'!$B$13)/($T$6)-'2. The tape'!$H$5:$H$13/12-'3. Assumptions'!$B$16)-'2. The tape'!$C$5:$C$13*'2. The tape'!$I$5:$I$13*(1+$T$5)^($A95/4)))</f>
        <v>28137866.0429536</v>
      </c>
      <c r="V95" s="33" t="n">
        <f aca="false">'2. The tape'!$C$17*(1+MIN(MAX($V$5,'3. Assumptions'!$B$11),'3. Assumptions'!$B$10))^INT(($A95-1)/4)/4*(1-'3. Assumptions'!$B$13)</f>
        <v>2998091.25</v>
      </c>
      <c r="W95" s="33" t="n">
        <f aca="false">(1-'3. Assumptions'!$B$15)*SUMPRODUCT((('2. The tape'!$C$5:$C$13*'2. The tape'!$D$5:$D$13*(1-'2. The tape'!$J$5:$J$13)^($A95/4)*(1+$V$5)^($A95/4)*((1-'3. Assumptions'!$B$13)/($V$6)-'2. The tape'!$H$5:$H$13/12-'3. Assumptions'!$B$16)-'2. The tape'!$C$5:$C$13*'2. The tape'!$I$5:$I$13*(1+$V$5)^($A95/4))&gt;0)*('2. The tape'!$C$5:$C$13*'2. The tape'!$D$5:$D$13*(1-'2. The tape'!$J$5:$J$13)^($A95/4)*(1+$V$5)^($A95/4)*((1-'3. Assumptions'!$B$13)/($V$6)-'2. The tape'!$H$5:$H$13/12-'3. Assumptions'!$B$16)-'2. The tape'!$C$5:$C$13*'2. The tape'!$I$5:$I$13*(1+$V$5)^($A95/4)))</f>
        <v>28141678.8716411</v>
      </c>
      <c r="X95" s="33" t="n">
        <f aca="false">'2. The tape'!$C$17*(1+MIN(MAX($X$5,'3. Assumptions'!$B$11),'3. Assumptions'!$B$10))^INT(($A95-1)/4)/4*(1-'3. Assumptions'!$B$13)</f>
        <v>2998091.25</v>
      </c>
      <c r="Y95" s="33" t="n">
        <f aca="false">(1-'3. Assumptions'!$B$15)*SUMPRODUCT((('2. The tape'!$C$5:$C$13*'2. The tape'!$D$5:$D$13*(1-'2. The tape'!$J$5:$J$13)^($A95/4)*(1+$X$5)^($A95/4)*((1-'3. Assumptions'!$B$13)/($X$6)-'2. The tape'!$H$5:$H$13/12-'3. Assumptions'!$B$16)-'2. The tape'!$C$5:$C$13*'2. The tape'!$I$5:$I$13*(1+$X$5)^($A95/4))&gt;0)*('2. The tape'!$C$5:$C$13*'2. The tape'!$D$5:$D$13*(1-'2. The tape'!$J$5:$J$13)^($A95/4)*(1+$X$5)^($A95/4)*((1-'3. Assumptions'!$B$13)/($X$6)-'2. The tape'!$H$5:$H$13/12-'3. Assumptions'!$B$16)-'2. The tape'!$C$5:$C$13*'2. The tape'!$I$5:$I$13*(1+$X$5)^($A95/4)))</f>
        <v>28141674.8619567</v>
      </c>
      <c r="Z95" s="33" t="n">
        <f aca="false">'2. The tape'!$C$17*(1+MIN(MAX($Z$5,'3. Assumptions'!$B$11),'3. Assumptions'!$B$10))^INT(($A95-1)/4)/4*(1-'3. Assumptions'!$B$13)</f>
        <v>2998091.25</v>
      </c>
      <c r="AA95" s="33" t="n">
        <f aca="false">(1-'3. Assumptions'!$B$15)*SUMPRODUCT((('2. The tape'!$C$5:$C$13*'2. The tape'!$D$5:$D$13*(1-'2. The tape'!$J$5:$J$13)^($A95/4)*(1+$Z$5)^($A95/4)*((1-'3. Assumptions'!$B$13)/($Z$6)-'2. The tape'!$H$5:$H$13/12-'3. Assumptions'!$B$16)-'2. The tape'!$C$5:$C$13*'2. The tape'!$I$5:$I$13*(1+$Z$5)^($A95/4))&gt;0)*('2. The tape'!$C$5:$C$13*'2. The tape'!$D$5:$D$13*(1-'2. The tape'!$J$5:$J$13)^($A95/4)*(1+$Z$5)^($A95/4)*((1-'3. Assumptions'!$B$13)/($Z$6)-'2. The tape'!$H$5:$H$13/12-'3. Assumptions'!$B$16)-'2. The tape'!$C$5:$C$13*'2. The tape'!$I$5:$I$13*(1+$Z$5)^($A95/4)))</f>
        <v>28141674.8617803</v>
      </c>
      <c r="AB95" s="33" t="n">
        <f aca="false">'2. The tape'!$C$17*(1+MIN(MAX($AB$5,'3. Assumptions'!$B$11),'3. Assumptions'!$B$10))^INT(($A95-1)/4)/4*(1-'3. Assumptions'!$B$13)</f>
        <v>2998091.25</v>
      </c>
      <c r="AC95" s="33" t="n">
        <f aca="false">(1-'3. Assumptions'!$B$15)*SUMPRODUCT((('2. The tape'!$C$5:$C$13*'2. The tape'!$D$5:$D$13*(1-'2. The tape'!$J$5:$J$13)^($A95/4)*(1+$AB$5)^($A95/4)*((1-'3. Assumptions'!$B$13)/($AB$6)-'2. The tape'!$H$5:$H$13/12-'3. Assumptions'!$B$16)-'2. The tape'!$C$5:$C$13*'2. The tape'!$I$5:$I$13*(1+$AB$5)^($A95/4))&gt;0)*('2. The tape'!$C$5:$C$13*'2. The tape'!$D$5:$D$13*(1-'2. The tape'!$J$5:$J$13)^($A95/4)*(1+$AB$5)^($A95/4)*((1-'3. Assumptions'!$B$13)/($AB$6)-'2. The tape'!$H$5:$H$13/12-'3. Assumptions'!$B$16)-'2. The tape'!$C$5:$C$13*'2. The tape'!$I$5:$I$13*(1+$AB$5)^($A95/4)))</f>
        <v>28141674.8617803</v>
      </c>
      <c r="AD95" s="33" t="n">
        <f aca="false">'2. The tape'!$C$17*(1+MIN(MAX($AD$5,'3. Assumptions'!$B$11),'3. Assumptions'!$B$10))^INT(($A95-1)/4)/4*(1-'3. Assumptions'!$B$13)</f>
        <v>2998091.25</v>
      </c>
      <c r="AE95" s="33" t="n">
        <f aca="false">(1-'3. Assumptions'!$B$15)*SUMPRODUCT((('2. The tape'!$C$5:$C$13*'2. The tape'!$D$5:$D$13*(1-'2. The tape'!$J$5:$J$13)^($A95/4)*(1+$AD$5)^($A95/4)*((1-'3. Assumptions'!$B$13)/($AD$6)-'2. The tape'!$H$5:$H$13/12-'3. Assumptions'!$B$16)-'2. The tape'!$C$5:$C$13*'2. The tape'!$I$5:$I$13*(1+$AD$5)^($A95/4))&gt;0)*('2. The tape'!$C$5:$C$13*'2. The tape'!$D$5:$D$13*(1-'2. The tape'!$J$5:$J$13)^($A95/4)*(1+$AD$5)^($A95/4)*((1-'3. Assumptions'!$B$13)/($AD$6)-'2. The tape'!$H$5:$H$13/12-'3. Assumptions'!$B$16)-'2. The tape'!$C$5:$C$13*'2. The tape'!$I$5:$I$13*(1+$AD$5)^($A95/4)))</f>
        <v>28141674.8617803</v>
      </c>
      <c r="AF95" s="33" t="n">
        <f aca="false">'2. The tape'!$C$17*(1+MIN(MAX($AF$5,'3. Assumptions'!$B$11),'3. Assumptions'!$B$10))^INT(($A95-1)/4)/4*(1-'3. Assumptions'!$B$13)</f>
        <v>2998091.25</v>
      </c>
      <c r="AG95" s="33" t="n">
        <f aca="false">(1-'3. Assumptions'!$B$15)*SUMPRODUCT((('2. The tape'!$C$5:$C$13*'2. The tape'!$D$5:$D$13*(1-'2. The tape'!$J$5:$J$13)^($A95/4)*(1+$AF$5)^($A95/4)*((1-'3. Assumptions'!$B$13)/($AF$6)-'2. The tape'!$H$5:$H$13/12-'3. Assumptions'!$B$16)-'2. The tape'!$C$5:$C$13*'2. The tape'!$I$5:$I$13*(1+$AF$5)^($A95/4))&gt;0)*('2. The tape'!$C$5:$C$13*'2. The tape'!$D$5:$D$13*(1-'2. The tape'!$J$5:$J$13)^($A95/4)*(1+$AF$5)^($A95/4)*((1-'3. Assumptions'!$B$13)/($AF$6)-'2. The tape'!$H$5:$H$13/12-'3. Assumptions'!$B$16)-'2. The tape'!$C$5:$C$13*'2. The tape'!$I$5:$I$13*(1+$AF$5)^($A95/4)))</f>
        <v>28141674.8617803</v>
      </c>
      <c r="AH95" s="33" t="n">
        <f aca="false">'2. The tape'!$C$17*(1+MIN(MAX($AH$5,'3. Assumptions'!$B$11),'3. Assumptions'!$B$10))^INT(($A95-1)/4)/4*(1-'3. Assumptions'!$B$13)</f>
        <v>4533272.93137586</v>
      </c>
      <c r="AI95" s="33" t="n">
        <f aca="false">(1-'3. Assumptions'!$B$15)*SUMPRODUCT((('2. The tape'!$C$5:$C$13*'2. The tape'!$D$5:$D$13*(1-'2. The tape'!$J$5:$J$13)^($A95/4)*(1+$AH$5)^($A95/4)*((1-'3. Assumptions'!$B$13)/($AH$6)-'2. The tape'!$H$5:$H$13/12-'3. Assumptions'!$B$16)-'2. The tape'!$C$5:$C$13*'2. The tape'!$I$5:$I$13*(1+$AH$5)^($A95/4))&gt;0)*('2. The tape'!$C$5:$C$13*'2. The tape'!$D$5:$D$13*(1-'2. The tape'!$J$5:$J$13)^($A95/4)*(1+$AH$5)^($A95/4)*((1-'3. Assumptions'!$B$13)/($AH$6)-'2. The tape'!$H$5:$H$13/12-'3. Assumptions'!$B$16)-'2. The tape'!$C$5:$C$13*'2. The tape'!$I$5:$I$13*(1+$AH$5)^($A95/4)))</f>
        <v>150707323.240195</v>
      </c>
      <c r="AJ95" s="33" t="n">
        <f aca="false">'2. The tape'!$C$17*(1+MIN(MAX($AJ$5,'3. Assumptions'!$B$11),'3. Assumptions'!$B$10))^INT(($A95-1)/4)/4*(1-'3. Assumptions'!$B$13)</f>
        <v>4533272.93137586</v>
      </c>
      <c r="AK95" s="33" t="n">
        <f aca="false">(1-'3. Assumptions'!$B$15)*SUMPRODUCT((('2. The tape'!$C$5:$C$13*'2. The tape'!$D$5:$D$13*(1-'2. The tape'!$J$5:$J$13)^($A95/4)*(1+$AJ$5)^($A95/4)*((1-'3. Assumptions'!$B$13)/($AJ$6)-'2. The tape'!$H$5:$H$13/12-'3. Assumptions'!$B$16)-'2. The tape'!$C$5:$C$13*'2. The tape'!$I$5:$I$13*(1+$AJ$5)^($A95/4))&gt;0)*('2. The tape'!$C$5:$C$13*'2. The tape'!$D$5:$D$13*(1-'2. The tape'!$J$5:$J$13)^($A95/4)*(1+$AJ$5)^($A95/4)*((1-'3. Assumptions'!$B$13)/($AJ$6)-'2. The tape'!$H$5:$H$13/12-'3. Assumptions'!$B$16)-'2. The tape'!$C$5:$C$13*'2. The tape'!$I$5:$I$13*(1+$AJ$5)^($A95/4)))</f>
        <v>107702212.159481</v>
      </c>
      <c r="AL95" s="33" t="n">
        <f aca="false">'2. The tape'!$C$17*(1+MIN(MAX($AL$5,'3. Assumptions'!$B$11),'3. Assumptions'!$B$10))^INT(($A95-1)/4)/4*(1-'3. Assumptions'!$B$13)</f>
        <v>4533272.93137586</v>
      </c>
      <c r="AM95" s="33" t="n">
        <f aca="false">(1-'3. Assumptions'!$B$15)*SUMPRODUCT((('2. The tape'!$C$5:$C$13*'2. The tape'!$D$5:$D$13*(1-'2. The tape'!$J$5:$J$13)^($A95/4)*(1+$AL$5)^($A95/4)*((1-'3. Assumptions'!$B$13)/($AL$6)-'2. The tape'!$H$5:$H$13/12-'3. Assumptions'!$B$16)-'2. The tape'!$C$5:$C$13*'2. The tape'!$I$5:$I$13*(1+$AL$5)^($A95/4))&gt;0)*('2. The tape'!$C$5:$C$13*'2. The tape'!$D$5:$D$13*(1-'2. The tape'!$J$5:$J$13)^($A95/4)*(1+$AL$5)^($A95/4)*((1-'3. Assumptions'!$B$13)/($AL$6)-'2. The tape'!$H$5:$H$13/12-'3. Assumptions'!$B$16)-'2. The tape'!$C$5:$C$13*'2. The tape'!$I$5:$I$13*(1+$AL$5)^($A95/4)))</f>
        <v>124381462.806541</v>
      </c>
      <c r="AN95" s="33" t="n">
        <f aca="false">'2. The tape'!$C$17*(1+MIN(MAX($AN$5,'3. Assumptions'!$B$11),'3. Assumptions'!$B$10))^INT(($A95-1)/4)/4*(1-'3. Assumptions'!$B$13)</f>
        <v>4533272.93137586</v>
      </c>
      <c r="AO95" s="33" t="n">
        <f aca="false">(1-'3. Assumptions'!$B$15)*SUMPRODUCT((('2. The tape'!$C$5:$C$13*'2. The tape'!$D$5:$D$13*(1-'2. The tape'!$J$5:$J$13)^($A95/4)*(1+$AN$5)^($A95/4)*((1-'3. Assumptions'!$B$13)/($AN$6)-'2. The tape'!$H$5:$H$13/12-'3. Assumptions'!$B$16)-'2. The tape'!$C$5:$C$13*'2. The tape'!$I$5:$I$13*(1+$AN$5)^($A95/4))&gt;0)*('2. The tape'!$C$5:$C$13*'2. The tape'!$D$5:$D$13*(1-'2. The tape'!$J$5:$J$13)^($A95/4)*(1+$AN$5)^($A95/4)*((1-'3. Assumptions'!$B$13)/($AN$6)-'2. The tape'!$H$5:$H$13/12-'3. Assumptions'!$B$16)-'2. The tape'!$C$5:$C$13*'2. The tape'!$I$5:$I$13*(1+$AN$5)^($A95/4)))</f>
        <v>127504330.733436</v>
      </c>
      <c r="AP95" s="33" t="n">
        <f aca="false">'2. The tape'!$C$17*(1+MIN(MAX($AP$5,'3. Assumptions'!$B$11),'3. Assumptions'!$B$10))^INT(($A95-1)/4)/4*(1-'3. Assumptions'!$B$13)</f>
        <v>4533272.93137586</v>
      </c>
      <c r="AQ95" s="33" t="n">
        <f aca="false">(1-'3. Assumptions'!$B$15)*SUMPRODUCT((('2. The tape'!$C$5:$C$13*'2. The tape'!$D$5:$D$13*(1-'2. The tape'!$J$5:$J$13)^($A95/4)*(1+$AP$5)^($A95/4)*((1-'3. Assumptions'!$B$13)/($AP$6)-'2. The tape'!$H$5:$H$13/12-'3. Assumptions'!$B$16)-'2. The tape'!$C$5:$C$13*'2. The tape'!$I$5:$I$13*(1+$AP$5)^($A95/4))&gt;0)*('2. The tape'!$C$5:$C$13*'2. The tape'!$D$5:$D$13*(1-'2. The tape'!$J$5:$J$13)^($A95/4)*(1+$AP$5)^($A95/4)*((1-'3. Assumptions'!$B$13)/($AP$6)-'2. The tape'!$H$5:$H$13/12-'3. Assumptions'!$B$16)-'2. The tape'!$C$5:$C$13*'2. The tape'!$I$5:$I$13*(1+$AP$5)^($A95/4)))</f>
        <v>127118819.096103</v>
      </c>
      <c r="AR95" s="33" t="n">
        <f aca="false">'2. The tape'!$C$17*(1+MIN(MAX($AR$5,'3. Assumptions'!$B$11),'3. Assumptions'!$B$10))^INT(($A95-1)/4)/4*(1-'3. Assumptions'!$B$13)</f>
        <v>4533272.93137586</v>
      </c>
      <c r="AS95" s="33" t="n">
        <f aca="false">(1-'3. Assumptions'!$B$15)*SUMPRODUCT((('2. The tape'!$C$5:$C$13*'2. The tape'!$D$5:$D$13*(1-'2. The tape'!$J$5:$J$13)^($A95/4)*(1+$AR$5)^($A95/4)*((1-'3. Assumptions'!$B$13)/($AR$6)-'2. The tape'!$H$5:$H$13/12-'3. Assumptions'!$B$16)-'2. The tape'!$C$5:$C$13*'2. The tape'!$I$5:$I$13*(1+$AR$5)^($A95/4))&gt;0)*('2. The tape'!$C$5:$C$13*'2. The tape'!$D$5:$D$13*(1-'2. The tape'!$J$5:$J$13)^($A95/4)*(1+$AR$5)^($A95/4)*((1-'3. Assumptions'!$B$13)/($AR$6)-'2. The tape'!$H$5:$H$13/12-'3. Assumptions'!$B$16)-'2. The tape'!$C$5:$C$13*'2. The tape'!$I$5:$I$13*(1+$AR$5)^($A95/4)))</f>
        <v>127125287.429191</v>
      </c>
      <c r="AT95" s="33" t="n">
        <f aca="false">'2. The tape'!$C$17*(1+MIN(MAX($AT$5,'3. Assumptions'!$B$11),'3. Assumptions'!$B$10))^INT(($A95-1)/4)/4*(1-'3. Assumptions'!$B$13)</f>
        <v>4533272.93137586</v>
      </c>
      <c r="AU95" s="33" t="n">
        <f aca="false">(1-'3. Assumptions'!$B$15)*SUMPRODUCT((('2. The tape'!$C$5:$C$13*'2. The tape'!$D$5:$D$13*(1-'2. The tape'!$J$5:$J$13)^($A95/4)*(1+$AT$5)^($A95/4)*((1-'3. Assumptions'!$B$13)/($AT$6)-'2. The tape'!$H$5:$H$13/12-'3. Assumptions'!$B$16)-'2. The tape'!$C$5:$C$13*'2. The tape'!$I$5:$I$13*(1+$AT$5)^($A95/4))&gt;0)*('2. The tape'!$C$5:$C$13*'2. The tape'!$D$5:$D$13*(1-'2. The tape'!$J$5:$J$13)^($A95/4)*(1+$AT$5)^($A95/4)*((1-'3. Assumptions'!$B$13)/($AT$6)-'2. The tape'!$H$5:$H$13/12-'3. Assumptions'!$B$16)-'2. The tape'!$C$5:$C$13*'2. The tape'!$I$5:$I$13*(1+$AT$5)^($A95/4)))</f>
        <v>127125302.492311</v>
      </c>
      <c r="AV95" s="33" t="n">
        <f aca="false">'2. The tape'!$C$17*(1+MIN(MAX($AV$5,'3. Assumptions'!$B$11),'3. Assumptions'!$B$10))^INT(($A95-1)/4)/4*(1-'3. Assumptions'!$B$13)</f>
        <v>4533272.93137586</v>
      </c>
      <c r="AW95" s="33" t="n">
        <f aca="false">(1-'3. Assumptions'!$B$15)*SUMPRODUCT((('2. The tape'!$C$5:$C$13*'2. The tape'!$D$5:$D$13*(1-'2. The tape'!$J$5:$J$13)^($A95/4)*(1+$AV$5)^($A95/4)*((1-'3. Assumptions'!$B$13)/($AV$6)-'2. The tape'!$H$5:$H$13/12-'3. Assumptions'!$B$16)-'2. The tape'!$C$5:$C$13*'2. The tape'!$I$5:$I$13*(1+$AV$5)^($A95/4))&gt;0)*('2. The tape'!$C$5:$C$13*'2. The tape'!$D$5:$D$13*(1-'2. The tape'!$J$5:$J$13)^($A95/4)*(1+$AV$5)^($A95/4)*((1-'3. Assumptions'!$B$13)/($AV$6)-'2. The tape'!$H$5:$H$13/12-'3. Assumptions'!$B$16)-'2. The tape'!$C$5:$C$13*'2. The tape'!$I$5:$I$13*(1+$AV$5)^($A95/4)))</f>
        <v>127125302.491711</v>
      </c>
      <c r="AX95" s="33" t="n">
        <f aca="false">'2. The tape'!$C$17*(1+MIN(MAX($AX$5,'3. Assumptions'!$B$11),'3. Assumptions'!$B$10))^INT(($A95-1)/4)/4*(1-'3. Assumptions'!$B$13)</f>
        <v>4533272.93137586</v>
      </c>
      <c r="AY95" s="33" t="n">
        <f aca="false">(1-'3. Assumptions'!$B$15)*SUMPRODUCT((('2. The tape'!$C$5:$C$13*'2. The tape'!$D$5:$D$13*(1-'2. The tape'!$J$5:$J$13)^($A95/4)*(1+$AX$5)^($A95/4)*((1-'3. Assumptions'!$B$13)/($AX$6)-'2. The tape'!$H$5:$H$13/12-'3. Assumptions'!$B$16)-'2. The tape'!$C$5:$C$13*'2. The tape'!$I$5:$I$13*(1+$AX$5)^($A95/4))&gt;0)*('2. The tape'!$C$5:$C$13*'2. The tape'!$D$5:$D$13*(1-'2. The tape'!$J$5:$J$13)^($A95/4)*(1+$AX$5)^($A95/4)*((1-'3. Assumptions'!$B$13)/($AX$6)-'2. The tape'!$H$5:$H$13/12-'3. Assumptions'!$B$16)-'2. The tape'!$C$5:$C$13*'2. The tape'!$I$5:$I$13*(1+$AX$5)^($A95/4)))</f>
        <v>127125302.491711</v>
      </c>
      <c r="AZ95" s="33" t="n">
        <f aca="false">'2. The tape'!$C$17*(1+MIN(MAX($AZ$5,'3. Assumptions'!$B$11),'3. Assumptions'!$B$10))^INT(($A95-1)/4)/4*(1-'3. Assumptions'!$B$13)</f>
        <v>4533272.93137586</v>
      </c>
      <c r="BA95" s="33" t="n">
        <f aca="false">(1-'3. Assumptions'!$B$15)*SUMPRODUCT((('2. The tape'!$C$5:$C$13*'2. The tape'!$D$5:$D$13*(1-'2. The tape'!$J$5:$J$13)^($A95/4)*(1+$AZ$5)^($A95/4)*((1-'3. Assumptions'!$B$13)/($AZ$6)-'2. The tape'!$H$5:$H$13/12-'3. Assumptions'!$B$16)-'2. The tape'!$C$5:$C$13*'2. The tape'!$I$5:$I$13*(1+$AZ$5)^($A95/4))&gt;0)*('2. The tape'!$C$5:$C$13*'2. The tape'!$D$5:$D$13*(1-'2. The tape'!$J$5:$J$13)^($A95/4)*(1+$AZ$5)^($A95/4)*((1-'3. Assumptions'!$B$13)/($AZ$6)-'2. The tape'!$H$5:$H$13/12-'3. Assumptions'!$B$16)-'2. The tape'!$C$5:$C$13*'2. The tape'!$I$5:$I$13*(1+$AZ$5)^($A95/4)))</f>
        <v>127125302.491711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3" min="2" style="0" width="15"/>
    <col collapsed="false" customWidth="true" hidden="false" outlineLevel="0" max="4" min="4" style="0" width="10"/>
    <col collapsed="false" customWidth="true" hidden="false" outlineLevel="0" max="5" min="5" style="0" width="60"/>
  </cols>
  <sheetData>
    <row r="1" customFormat="false" ht="16.15" hidden="false" customHeight="false" outlineLevel="0" collapsed="false">
      <c r="A1" s="38" t="s">
        <v>389</v>
      </c>
    </row>
    <row r="2" customFormat="false" ht="15" hidden="false" customHeight="false" outlineLevel="0" collapsed="false">
      <c r="A2" s="22" t="s">
        <v>390</v>
      </c>
    </row>
    <row r="4" customFormat="false" ht="15" hidden="false" customHeight="false" outlineLevel="0" collapsed="false">
      <c r="A4" s="28" t="s">
        <v>391</v>
      </c>
      <c r="B4" s="28" t="s">
        <v>392</v>
      </c>
      <c r="C4" s="28" t="s">
        <v>393</v>
      </c>
      <c r="D4" s="28" t="s">
        <v>394</v>
      </c>
      <c r="E4" s="28" t="s">
        <v>57</v>
      </c>
    </row>
    <row r="5" customFormat="false" ht="15" hidden="false" customHeight="false" outlineLevel="0" collapsed="false">
      <c r="A5" s="5" t="s">
        <v>395</v>
      </c>
      <c r="B5" s="33" t="n">
        <v>169000</v>
      </c>
      <c r="C5" s="33" t="n">
        <f aca="false">'2. The tape'!C14</f>
        <v>169000</v>
      </c>
      <c r="D5" s="30" t="str">
        <f aca="false">IF(ISNUMBER(C5)=FALSE(),"CHECK",IF(ABS(C5-B5)&lt;=0,"OK","CHECK"))</f>
        <v>OK</v>
      </c>
      <c r="E5" s="45"/>
    </row>
    <row r="6" customFormat="false" ht="15" hidden="false" customHeight="false" outlineLevel="0" collapsed="false">
      <c r="A6" s="5" t="s">
        <v>396</v>
      </c>
      <c r="B6" s="33" t="n">
        <v>9610000</v>
      </c>
      <c r="C6" s="33" t="n">
        <f aca="false">'2. The tape'!C16</f>
        <v>9606000</v>
      </c>
      <c r="D6" s="30" t="str">
        <f aca="false">IF(ISNUMBER(C6)=FALSE(),"CHECK",IF(ABS(C6-B6)&lt;=5000,"OK","CHECK"))</f>
        <v>OK</v>
      </c>
      <c r="E6" s="45"/>
    </row>
    <row r="7" customFormat="false" ht="15" hidden="false" customHeight="false" outlineLevel="0" collapsed="false">
      <c r="A7" s="5" t="s">
        <v>397</v>
      </c>
      <c r="B7" s="33" t="n">
        <v>12110000</v>
      </c>
      <c r="C7" s="33" t="n">
        <f aca="false">'2. The tape'!C17</f>
        <v>12113500</v>
      </c>
      <c r="D7" s="30" t="str">
        <f aca="false">IF(ISNUMBER(C7)=FALSE(),"CHECK",IF(ABS(C7-B7)&lt;=5000,"OK","CHECK"))</f>
        <v>OK</v>
      </c>
      <c r="E7" s="45"/>
    </row>
    <row r="8" customFormat="false" ht="15" hidden="false" customHeight="false" outlineLevel="0" collapsed="false">
      <c r="A8" s="5" t="s">
        <v>398</v>
      </c>
      <c r="B8" s="33" t="n">
        <v>2510000</v>
      </c>
      <c r="C8" s="33" t="n">
        <f aca="false">'2. The tape'!C18</f>
        <v>2507500</v>
      </c>
      <c r="D8" s="30" t="str">
        <f aca="false">IF(ISNUMBER(C8)=FALSE(),"CHECK",IF(ABS(C8-B8)&lt;=5000,"OK","CHECK"))</f>
        <v>OK</v>
      </c>
      <c r="E8" s="45"/>
    </row>
    <row r="9" customFormat="false" ht="15" hidden="false" customHeight="false" outlineLevel="0" collapsed="false">
      <c r="A9" s="5" t="s">
        <v>399</v>
      </c>
      <c r="B9" s="13" t="n">
        <v>0.261</v>
      </c>
      <c r="C9" s="13" t="n">
        <f aca="false">'2. The tape'!C19</f>
        <v>0.261034769935457</v>
      </c>
      <c r="D9" s="30" t="str">
        <f aca="false">IF(ISNUMBER(C9)=FALSE(),"CHECK",IF(ABS(C9-B9)&lt;=0.0005,"OK","CHECK"))</f>
        <v>OK</v>
      </c>
      <c r="E9" s="45"/>
    </row>
    <row r="10" customFormat="false" ht="15" hidden="false" customHeight="false" outlineLevel="0" collapsed="false">
      <c r="A10" s="5" t="s">
        <v>400</v>
      </c>
      <c r="B10" s="33" t="n">
        <v>179500000</v>
      </c>
      <c r="C10" s="33" t="n">
        <f aca="false">('2. The tape'!$C$17/'3. Assumptions'!$B$4)</f>
        <v>179459259.259259</v>
      </c>
      <c r="D10" s="30" t="str">
        <f aca="false">IF(ISNUMBER(C10)=FALSE(),"CHECK",IF(ABS(C10-B10)&lt;=50000,"OK","CHECK"))</f>
        <v>OK</v>
      </c>
      <c r="E10" s="45"/>
    </row>
    <row r="11" customFormat="false" ht="15" hidden="false" customHeight="false" outlineLevel="0" collapsed="false">
      <c r="A11" s="5" t="s">
        <v>401</v>
      </c>
      <c r="B11" s="33" t="n">
        <v>142300000</v>
      </c>
      <c r="C11" s="33" t="n">
        <f aca="false">'2. The tape'!C16/'3. Assumptions'!$B$4</f>
        <v>142311111.111111</v>
      </c>
      <c r="D11" s="30" t="str">
        <f aca="false">IF(ISNUMBER(C11)=FALSE(),"CHECK",IF(ABS(C11-B11)&lt;=50000,"OK","CHECK"))</f>
        <v>OK</v>
      </c>
      <c r="E11" s="45"/>
    </row>
    <row r="12" customFormat="false" ht="15" hidden="false" customHeight="false" outlineLevel="0" collapsed="false">
      <c r="A12" s="5" t="s">
        <v>402</v>
      </c>
      <c r="B12" s="33" t="n">
        <v>37150000</v>
      </c>
      <c r="C12" s="33" t="n">
        <f aca="false">'2. The tape'!C18/'3. Assumptions'!$B$4</f>
        <v>37148148.1481482</v>
      </c>
      <c r="D12" s="30" t="str">
        <f aca="false">IF(ISNUMBER(C12)=FALSE(),"CHECK",IF(ABS(C12-B12)&lt;=5000,"OK","CHECK"))</f>
        <v>OK</v>
      </c>
      <c r="E12" s="45"/>
    </row>
    <row r="13" customFormat="false" ht="15" hidden="false" customHeight="false" outlineLevel="0" collapsed="false">
      <c r="A13" s="5" t="s">
        <v>403</v>
      </c>
      <c r="B13" s="31" t="n">
        <v>14.81</v>
      </c>
      <c r="C13" s="31" t="n">
        <f aca="false">1/'3. Assumptions'!$B$4</f>
        <v>14.8148148148148</v>
      </c>
      <c r="D13" s="30" t="str">
        <f aca="false">IF(ISNUMBER(C13)=FALSE(),"CHECK",IF(ABS(C13-B13)&lt;=0.005,"OK","CHECK"))</f>
        <v>OK</v>
      </c>
      <c r="E13" s="45"/>
    </row>
    <row r="14" customFormat="false" ht="15" hidden="false" customHeight="false" outlineLevel="0" collapsed="false">
      <c r="A14" s="5" t="s">
        <v>404</v>
      </c>
      <c r="B14" s="33" t="n">
        <v>45600000</v>
      </c>
      <c r="C14" s="33" t="n">
        <f aca="false">'2. The tape'!C18/0.055</f>
        <v>45590909.0909091</v>
      </c>
      <c r="D14" s="30" t="str">
        <f aca="false">IF(ISNUMBER(C14)=FALSE(),"CHECK",IF(ABS(C14-B14)&lt;=50000,"OK","CHECK"))</f>
        <v>OK</v>
      </c>
      <c r="E14" s="45"/>
    </row>
    <row r="15" customFormat="false" ht="15" hidden="false" customHeight="false" outlineLevel="0" collapsed="false">
      <c r="A15" s="5" t="s">
        <v>405</v>
      </c>
      <c r="B15" s="31" t="n">
        <v>4.79</v>
      </c>
      <c r="C15" s="31" t="n">
        <f aca="false">'4. Rent cover'!C4</f>
        <v>4.78804639451851</v>
      </c>
      <c r="D15" s="30" t="str">
        <f aca="false">IF(ISNUMBER(C15)=FALSE(),"CHECK",IF(ABS(C15-B15)&lt;=0.005,"OK","CHECK"))</f>
        <v>OK</v>
      </c>
      <c r="E15" s="45"/>
    </row>
    <row r="16" customFormat="false" ht="15" hidden="false" customHeight="false" outlineLevel="0" collapsed="false">
      <c r="A16" s="5" t="s">
        <v>406</v>
      </c>
      <c r="B16" s="31" t="n">
        <v>1.61</v>
      </c>
      <c r="C16" s="31" t="n">
        <f aca="false">'4. Rent cover'!C5</f>
        <v>1.60977421884674</v>
      </c>
      <c r="D16" s="30" t="str">
        <f aca="false">IF(ISNUMBER(C16)=FALSE(),"CHECK",IF(ABS(C16-B16)&lt;=0.005,"OK","CHECK"))</f>
        <v>OK</v>
      </c>
      <c r="E16" s="45"/>
    </row>
    <row r="17" customFormat="false" ht="15" hidden="false" customHeight="false" outlineLevel="0" collapsed="false">
      <c r="A17" s="5" t="s">
        <v>407</v>
      </c>
      <c r="B17" s="31" t="n">
        <v>2.03</v>
      </c>
      <c r="C17" s="31" t="n">
        <f aca="false">'4. Rent cover'!D5</f>
        <v>2.02998126171143</v>
      </c>
      <c r="D17" s="30" t="str">
        <f aca="false">IF(ISNUMBER(C17)=FALSE(),"CHECK",IF(ABS(C17-B17)&lt;=0.005,"OK","CHECK"))</f>
        <v>OK</v>
      </c>
      <c r="E17" s="45"/>
    </row>
    <row r="18" customFormat="false" ht="15" hidden="false" customHeight="false" outlineLevel="0" collapsed="false">
      <c r="A18" s="5" t="s">
        <v>408</v>
      </c>
      <c r="B18" s="13" t="n">
        <v>0.664</v>
      </c>
      <c r="C18" s="13" t="n">
        <f aca="false">'4. Rent cover'!C7</f>
        <v>0.663793103448276</v>
      </c>
      <c r="D18" s="30" t="str">
        <f aca="false">IF(ISNUMBER(C18)=FALSE(),"CHECK",IF(ABS(C18-B18)&lt;=0.0005,"OK","CHECK"))</f>
        <v>OK</v>
      </c>
      <c r="E18" s="45"/>
    </row>
    <row r="19" customFormat="false" ht="15" hidden="false" customHeight="false" outlineLevel="0" collapsed="false">
      <c r="A19" s="5" t="s">
        <v>409</v>
      </c>
      <c r="B19" s="33" t="n">
        <v>144400000</v>
      </c>
      <c r="C19" s="33" t="n">
        <f aca="false">'4. Rent cover'!C12</f>
        <v>144444444.444444</v>
      </c>
      <c r="D19" s="30" t="str">
        <f aca="false">IF(ISNUMBER(C19)=FALSE(),"CHECK",IF(ABS(C19-B19)&lt;=50000,"OK","CHECK"))</f>
        <v>OK</v>
      </c>
      <c r="E19" s="45"/>
    </row>
    <row r="20" customFormat="false" ht="15" hidden="false" customHeight="false" outlineLevel="0" collapsed="false">
      <c r="A20" s="5" t="s">
        <v>410</v>
      </c>
      <c r="B20" s="31" t="n">
        <v>1.32</v>
      </c>
      <c r="C20" s="31" t="n">
        <f aca="false">'13. Credit, lender, seller'!$C$45</f>
        <v>1.32344807177899</v>
      </c>
      <c r="D20" s="30" t="str">
        <f aca="false">IF(ISNUMBER(C20)=FALSE(),"CHECK",IF(ABS(C20-B20)&lt;=0.005,"OK","CHECK"))</f>
        <v>OK</v>
      </c>
      <c r="E20" s="45"/>
    </row>
    <row r="21" customFormat="false" ht="15" hidden="false" customHeight="false" outlineLevel="0" collapsed="false">
      <c r="A21" s="5" t="s">
        <v>411</v>
      </c>
      <c r="B21" s="31" t="n">
        <v>1.06</v>
      </c>
      <c r="C21" s="31" t="n">
        <f aca="false">'13. Credit, lender, seller'!$C$46</f>
        <v>1.06462815565248</v>
      </c>
      <c r="D21" s="30" t="str">
        <f aca="false">IF(ISNUMBER(C21)=FALSE(),"CHECK",IF(ABS(C21-B21)&lt;=0.005,"OK","CHECK"))</f>
        <v>OK</v>
      </c>
      <c r="E21" s="45"/>
    </row>
    <row r="22" customFormat="false" ht="15" hidden="false" customHeight="false" outlineLevel="0" collapsed="false">
      <c r="A22" s="5" t="s">
        <v>412</v>
      </c>
      <c r="B22" s="33" t="n">
        <v>111900000</v>
      </c>
      <c r="C22" s="33" t="n">
        <f aca="false">'5. Decomposition'!C14</f>
        <v>111881647.058824</v>
      </c>
      <c r="D22" s="30" t="str">
        <f aca="false">IF(ISNUMBER(C22)=FALSE(),"CHECK",IF(ABS(C22-B22)&lt;=50000,"OK","CHECK"))</f>
        <v>OK</v>
      </c>
      <c r="E22" s="45"/>
    </row>
    <row r="23" customFormat="false" ht="15" hidden="false" customHeight="false" outlineLevel="0" collapsed="false">
      <c r="A23" s="5" t="s">
        <v>413</v>
      </c>
      <c r="B23" s="33" t="n">
        <v>12200000</v>
      </c>
      <c r="C23" s="33" t="n">
        <f aca="false">'5. Decomposition'!D14</f>
        <v>12188916.6666667</v>
      </c>
      <c r="D23" s="30" t="str">
        <f aca="false">IF(ISNUMBER(C23)=FALSE(),"CHECK",IF(ABS(C23-B23)&lt;=50000,"OK","CHECK"))</f>
        <v>OK</v>
      </c>
      <c r="E23" s="45"/>
    </row>
    <row r="24" customFormat="false" ht="15" hidden="false" customHeight="false" outlineLevel="0" collapsed="false">
      <c r="A24" s="5" t="s">
        <v>414</v>
      </c>
      <c r="B24" s="33" t="n">
        <v>15100000</v>
      </c>
      <c r="C24" s="33" t="n">
        <f aca="false">'5. Decomposition'!E14</f>
        <v>15100000</v>
      </c>
      <c r="D24" s="30" t="str">
        <f aca="false">IF(ISNUMBER(C24)=FALSE(),"CHECK",IF(ABS(C24-B24)&lt;=50000,"OK","CHECK"))</f>
        <v>OK</v>
      </c>
      <c r="E24" s="45"/>
    </row>
    <row r="25" customFormat="false" ht="15" hidden="false" customHeight="false" outlineLevel="0" collapsed="false">
      <c r="A25" s="5" t="s">
        <v>415</v>
      </c>
      <c r="B25" s="33" t="n">
        <v>1400000</v>
      </c>
      <c r="C25" s="33" t="n">
        <f aca="false">'5. Decomposition'!F14</f>
        <v>1440900</v>
      </c>
      <c r="D25" s="30" t="str">
        <f aca="false">IF(ISNUMBER(C25)=FALSE(),"CHECK",IF(ABS(C25-B25)&lt;=50000,"OK","CHECK"))</f>
        <v>OK</v>
      </c>
      <c r="E25" s="45"/>
    </row>
    <row r="26" customFormat="false" ht="15" hidden="false" customHeight="false" outlineLevel="0" collapsed="false">
      <c r="A26" s="5" t="s">
        <v>416</v>
      </c>
      <c r="B26" s="33" t="n">
        <v>83200000</v>
      </c>
      <c r="C26" s="33" t="n">
        <f aca="false">'5. Decomposition'!G14</f>
        <v>83151830.3921569</v>
      </c>
      <c r="D26" s="30" t="str">
        <f aca="false">IF(ISNUMBER(C26)=FALSE(),"CHECK",IF(ABS(C26-B26)&lt;=50000,"OK","CHECK"))</f>
        <v>OK</v>
      </c>
      <c r="E26" s="45"/>
    </row>
    <row r="27" customFormat="false" ht="15" hidden="false" customHeight="false" outlineLevel="0" collapsed="false">
      <c r="A27" s="5" t="s">
        <v>417</v>
      </c>
      <c r="B27" s="13" t="n">
        <v>0.257</v>
      </c>
      <c r="C27" s="13" t="n">
        <f aca="false">'5. Decomposition'!B64</f>
        <v>0.256787573493278</v>
      </c>
      <c r="D27" s="30" t="str">
        <f aca="false">IF(ISNUMBER(C27)=FALSE(),"CHECK",IF(ABS(C27-B27)&lt;=0.0005,"OK","CHECK"))</f>
        <v>OK</v>
      </c>
      <c r="E27" s="45"/>
    </row>
    <row r="28" customFormat="false" ht="15" hidden="false" customHeight="false" outlineLevel="0" collapsed="false">
      <c r="A28" s="5" t="s">
        <v>418</v>
      </c>
      <c r="B28" s="33" t="n">
        <v>492</v>
      </c>
      <c r="C28" s="33" t="n">
        <f aca="false">'5. Decomposition'!B65</f>
        <v>492.022665042348</v>
      </c>
      <c r="D28" s="30" t="str">
        <f aca="false">IF(ISNUMBER(C28)=FALSE(),"CHECK",IF(ABS(C28-B28)&lt;=0.5,"OK","CHECK"))</f>
        <v>OK</v>
      </c>
      <c r="E28" s="45"/>
    </row>
    <row r="29" customFormat="false" ht="15" hidden="false" customHeight="false" outlineLevel="0" collapsed="false">
      <c r="A29" s="5" t="s">
        <v>419</v>
      </c>
      <c r="B29" s="33" t="n">
        <v>94000000</v>
      </c>
      <c r="C29" s="33" t="n">
        <f aca="false">'5. Decomposition'!B66</f>
        <v>93955000</v>
      </c>
      <c r="D29" s="30" t="str">
        <f aca="false">IF(ISNUMBER(C29)=FALSE(),"CHECK",IF(ABS(C29-B29)&lt;=50000,"OK","CHECK"))</f>
        <v>OK</v>
      </c>
      <c r="E29" s="45"/>
    </row>
    <row r="30" customFormat="false" ht="15" hidden="false" customHeight="false" outlineLevel="0" collapsed="false">
      <c r="A30" s="5" t="s">
        <v>420</v>
      </c>
      <c r="B30" s="33" t="n">
        <v>556</v>
      </c>
      <c r="C30" s="33" t="n">
        <f aca="false">'5. Decomposition'!C66</f>
        <v>555.94674556213</v>
      </c>
      <c r="D30" s="30" t="str">
        <f aca="false">IF(ISNUMBER(C30)=FALSE(),"CHECK",IF(ABS(C30-B30)&lt;=0.5,"OK","CHECK"))</f>
        <v>OK</v>
      </c>
      <c r="E30" s="45"/>
    </row>
    <row r="31" customFormat="false" ht="15" hidden="false" customHeight="false" outlineLevel="0" collapsed="false">
      <c r="A31" s="5" t="s">
        <v>421</v>
      </c>
      <c r="B31" s="33" t="n">
        <v>28700000</v>
      </c>
      <c r="C31" s="33" t="n">
        <f aca="false">'5. Decomposition'!I14</f>
        <v>28729816.6666667</v>
      </c>
      <c r="D31" s="30" t="str">
        <f aca="false">IF(ISNUMBER(C31)=FALSE(),"CHECK",IF(ABS(C31-B31)&lt;=50000,"OK","CHECK"))</f>
        <v>OK</v>
      </c>
      <c r="E31" s="45"/>
    </row>
    <row r="32" customFormat="false" ht="15" hidden="false" customHeight="false" outlineLevel="0" collapsed="false">
      <c r="A32" s="5" t="s">
        <v>422</v>
      </c>
      <c r="B32" s="33" t="n">
        <v>29000000</v>
      </c>
      <c r="C32" s="33" t="n">
        <f aca="false">'5. Decomposition'!J14</f>
        <v>29006352.9411765</v>
      </c>
      <c r="D32" s="30" t="str">
        <f aca="false">IF(ISNUMBER(C32)=FALSE(),"CHECK",IF(ABS(C32-B32)&lt;=50000,"OK","CHECK"))</f>
        <v>OK</v>
      </c>
      <c r="E32" s="45"/>
    </row>
    <row r="33" customFormat="false" ht="15" hidden="false" customHeight="false" outlineLevel="0" collapsed="false">
      <c r="A33" s="5" t="s">
        <v>423</v>
      </c>
      <c r="B33" s="33" t="n">
        <v>1800000</v>
      </c>
      <c r="C33" s="33" t="n">
        <f aca="false">'5. Decomposition'!K14</f>
        <v>1794592.59259259</v>
      </c>
      <c r="D33" s="30" t="str">
        <f aca="false">IF(ISNUMBER(C33)=FALSE(),"CHECK",IF(ABS(C33-B33)&lt;=50000,"OK","CHECK"))</f>
        <v>OK</v>
      </c>
      <c r="E33" s="45"/>
    </row>
    <row r="34" customFormat="false" ht="15" hidden="false" customHeight="false" outlineLevel="0" collapsed="false">
      <c r="A34" s="5" t="s">
        <v>424</v>
      </c>
      <c r="B34" s="33" t="n">
        <v>36800000</v>
      </c>
      <c r="C34" s="33" t="n">
        <f aca="false">'5. Decomposition'!L14</f>
        <v>36776666.6666667</v>
      </c>
      <c r="D34" s="30" t="str">
        <f aca="false">IF(ISNUMBER(C34)=FALSE(),"CHECK",IF(ABS(C34-B34)&lt;=50000,"OK","CHECK"))</f>
        <v>OK</v>
      </c>
      <c r="E34" s="45"/>
    </row>
    <row r="35" customFormat="false" ht="15" hidden="false" customHeight="false" outlineLevel="0" collapsed="false">
      <c r="A35" s="5" t="s">
        <v>425</v>
      </c>
      <c r="B35" s="13" t="n">
        <v>0.463</v>
      </c>
      <c r="C35" s="13" t="n">
        <f aca="false">'5. Decomposition'!G14/'5. Decomposition'!H14</f>
        <v>0.463346559744961</v>
      </c>
      <c r="D35" s="30" t="str">
        <f aca="false">IF(ISNUMBER(C35)=FALSE(),"CHECK",IF(ABS(C35-B35)&lt;=0.0005,"OK","CHECK"))</f>
        <v>OK</v>
      </c>
      <c r="E35" s="45"/>
    </row>
    <row r="36" customFormat="false" ht="15" hidden="false" customHeight="false" outlineLevel="0" collapsed="false">
      <c r="A36" s="5" t="s">
        <v>426</v>
      </c>
      <c r="B36" s="13" t="n">
        <v>0.16</v>
      </c>
      <c r="C36" s="13" t="n">
        <f aca="false">'5. Decomposition'!I14/'5. Decomposition'!H14</f>
        <v>0.160091024476823</v>
      </c>
      <c r="D36" s="30" t="str">
        <f aca="false">IF(ISNUMBER(C36)=FALSE(),"CHECK",IF(ABS(C36-B36)&lt;=0.0005,"OK","CHECK"))</f>
        <v>OK</v>
      </c>
      <c r="E36" s="45"/>
    </row>
    <row r="37" customFormat="false" ht="15" hidden="false" customHeight="false" outlineLevel="0" collapsed="false">
      <c r="A37" s="5" t="s">
        <v>427</v>
      </c>
      <c r="B37" s="13" t="n">
        <v>0.162</v>
      </c>
      <c r="C37" s="13" t="n">
        <f aca="false">'5. Decomposition'!J14/'5. Decomposition'!H14</f>
        <v>0.161631966279722</v>
      </c>
      <c r="D37" s="30" t="str">
        <f aca="false">IF(ISNUMBER(C37)=FALSE(),"CHECK",IF(ABS(C37-B37)&lt;=0.0005,"OK","CHECK"))</f>
        <v>OK</v>
      </c>
      <c r="E37" s="45"/>
    </row>
    <row r="38" customFormat="false" ht="15" hidden="false" customHeight="false" outlineLevel="0" collapsed="false">
      <c r="A38" s="5" t="s">
        <v>428</v>
      </c>
      <c r="B38" s="13" t="n">
        <v>0.205</v>
      </c>
      <c r="C38" s="13" t="n">
        <f aca="false">'5. Decomposition'!L14/'5. Decomposition'!H14</f>
        <v>0.204930449498493</v>
      </c>
      <c r="D38" s="30" t="str">
        <f aca="false">IF(ISNUMBER(C38)=FALSE(),"CHECK",IF(ABS(C38-B38)&lt;=0.0005,"OK","CHECK"))</f>
        <v>OK</v>
      </c>
      <c r="E38" s="45"/>
    </row>
    <row r="39" customFormat="false" ht="15" hidden="false" customHeight="false" outlineLevel="0" collapsed="false">
      <c r="A39" s="5" t="s">
        <v>429</v>
      </c>
      <c r="B39" s="13" t="n">
        <v>0.623</v>
      </c>
      <c r="C39" s="13" t="n">
        <f aca="false">'5. Decomposition'!C16</f>
        <v>0.623437584221785</v>
      </c>
      <c r="D39" s="30" t="str">
        <f aca="false">IF(ISNUMBER(C39)=FALSE(),"CHECK",IF(ABS(C39-B39)&lt;=0.0005,"OK","CHECK"))</f>
        <v>OK</v>
      </c>
      <c r="E39" s="45"/>
    </row>
    <row r="40" customFormat="false" ht="15" hidden="false" customHeight="false" outlineLevel="0" collapsed="false">
      <c r="A40" s="5" t="s">
        <v>430</v>
      </c>
      <c r="B40" s="13" t="n">
        <v>0.367</v>
      </c>
      <c r="C40" s="13" t="n">
        <f aca="false">'5. Decomposition'!C17</f>
        <v>0.366562415778215</v>
      </c>
      <c r="D40" s="30" t="str">
        <f aca="false">IF(ISNUMBER(C40)=FALSE(),"CHECK",IF(ABS(C40-B40)&lt;=0.0005,"OK","CHECK"))</f>
        <v>OK</v>
      </c>
      <c r="E40" s="45"/>
    </row>
    <row r="41" customFormat="false" ht="15" hidden="false" customHeight="false" outlineLevel="0" collapsed="false">
      <c r="A41" s="5" t="s">
        <v>431</v>
      </c>
      <c r="B41" s="33" t="n">
        <v>96300000</v>
      </c>
      <c r="C41" s="33" t="n">
        <f aca="false">'5. Decomposition'!B63</f>
        <v>96307428.8671024</v>
      </c>
      <c r="D41" s="30" t="str">
        <f aca="false">IF(ISNUMBER(C41)=FALSE(),"CHECK",IF(ABS(C41-B41)&lt;=50000,"OK","CHECK"))</f>
        <v>OK</v>
      </c>
      <c r="E41" s="45"/>
    </row>
    <row r="42" customFormat="false" ht="15" hidden="false" customHeight="false" outlineLevel="0" collapsed="false">
      <c r="A42" s="5" t="s">
        <v>432</v>
      </c>
      <c r="B42" s="13" t="n">
        <v>0.537</v>
      </c>
      <c r="C42" s="13" t="n">
        <f aca="false">'5. Decomposition'!C63</f>
        <v>0.536653440255039</v>
      </c>
      <c r="D42" s="30" t="str">
        <f aca="false">IF(ISNUMBER(C42)=FALSE(),"CHECK",IF(ABS(C42-B42)&lt;=0.0005,"OK","CHECK"))</f>
        <v>OK</v>
      </c>
      <c r="E42" s="45"/>
    </row>
    <row r="43" customFormat="false" ht="15" hidden="false" customHeight="false" outlineLevel="0" collapsed="false">
      <c r="A43" s="5" t="s">
        <v>433</v>
      </c>
      <c r="B43" s="13" t="n">
        <v>0.635</v>
      </c>
      <c r="C43" s="13" t="n">
        <f aca="false">'5. Decomposition'!M13</f>
        <v>0.634844919786096</v>
      </c>
      <c r="D43" s="30" t="str">
        <f aca="false">IF(ISNUMBER(C43)=FALSE(),"CHECK",IF(ABS(C43-B43)&lt;=0.0005,"OK","CHECK"))</f>
        <v>OK</v>
      </c>
      <c r="E43" s="45"/>
    </row>
    <row r="44" customFormat="false" ht="15" hidden="false" customHeight="false" outlineLevel="0" collapsed="false">
      <c r="A44" s="5" t="s">
        <v>434</v>
      </c>
      <c r="B44" s="13" t="n">
        <v>0.615</v>
      </c>
      <c r="C44" s="13" t="n">
        <f aca="false">'5. Decomposition'!M8</f>
        <v>0.615054457720588</v>
      </c>
      <c r="D44" s="30" t="str">
        <f aca="false">IF(ISNUMBER(C44)=FALSE(),"CHECK",IF(ABS(C44-B44)&lt;=0.0005,"OK","CHECK"))</f>
        <v>OK</v>
      </c>
      <c r="E44" s="45"/>
    </row>
    <row r="45" customFormat="false" ht="15" hidden="false" customHeight="false" outlineLevel="0" collapsed="false">
      <c r="A45" s="5" t="s">
        <v>435</v>
      </c>
      <c r="B45" s="13" t="n">
        <v>0.293</v>
      </c>
      <c r="C45" s="13" t="n">
        <f aca="false">'5. Decomposition'!M11</f>
        <v>0.293280612244898</v>
      </c>
      <c r="D45" s="30" t="str">
        <f aca="false">IF(ISNUMBER(C45)=FALSE(),"CHECK",IF(ABS(C45-B45)&lt;=0.0005,"OK","CHECK"))</f>
        <v>OK</v>
      </c>
      <c r="E45" s="45"/>
    </row>
    <row r="46" customFormat="false" ht="15" hidden="false" customHeight="false" outlineLevel="0" collapsed="false">
      <c r="A46" s="5" t="s">
        <v>436</v>
      </c>
      <c r="B46" s="13" t="n">
        <v>0.319</v>
      </c>
      <c r="C46" s="13" t="n">
        <f aca="false">'5. Decomposition'!M9</f>
        <v>0.319302402651201</v>
      </c>
      <c r="D46" s="30" t="str">
        <f aca="false">IF(ISNUMBER(C46)=FALSE(),"CHECK",IF(ABS(C46-B46)&lt;=0.0005,"OK","CHECK"))</f>
        <v>OK</v>
      </c>
      <c r="E46" s="45"/>
    </row>
    <row r="47" customFormat="false" ht="15" hidden="false" customHeight="false" outlineLevel="0" collapsed="false">
      <c r="A47" s="5" t="s">
        <v>437</v>
      </c>
      <c r="C47" s="20" t="str">
        <f aca="false">IF(ABS('5. Decomposition'!G14+'5. Decomposition'!I14+'5. Decomposition'!J14+'5. Decomposition'!K14+'5. Decomposition'!L14-'5. Decomposition'!H14)&lt;1,"OK","CHECK")</f>
        <v>OK</v>
      </c>
      <c r="D47" s="30" t="str">
        <f aca="false">IF(C47="","",IF(C47="OK","OK","CHECK"))</f>
        <v>OK</v>
      </c>
      <c r="E47" s="45" t="s">
        <v>438</v>
      </c>
    </row>
    <row r="48" customFormat="false" ht="15" hidden="false" customHeight="false" outlineLevel="0" collapsed="false">
      <c r="A48" s="5" t="s">
        <v>439</v>
      </c>
      <c r="B48" s="31" t="n">
        <v>-0.7</v>
      </c>
      <c r="C48" s="31" t="n">
        <f aca="false">'5. Decomposition'!B31</f>
        <v>-0.7</v>
      </c>
      <c r="D48" s="30" t="str">
        <f aca="false">IF(ISNUMBER(C48)=FALSE(),"CHECK",IF(ABS(C48-B48)&lt;=0.005,"OK","CHECK"))</f>
        <v>OK</v>
      </c>
      <c r="E48" s="45"/>
    </row>
    <row r="49" customFormat="false" ht="15" hidden="false" customHeight="false" outlineLevel="0" collapsed="false">
      <c r="A49" s="5" t="s">
        <v>440</v>
      </c>
      <c r="B49" s="13" t="n">
        <v>0.351</v>
      </c>
      <c r="C49" s="13" t="n">
        <f aca="false">'5. Decomposition'!C35</f>
        <v>0.35087277737051</v>
      </c>
      <c r="D49" s="30" t="str">
        <f aca="false">IF(ISNUMBER(C49)=FALSE(),"CHECK",IF(ABS(C49-B49)&lt;=0.0005,"OK","CHECK"))</f>
        <v>OK</v>
      </c>
      <c r="E49" s="45"/>
    </row>
    <row r="50" customFormat="false" ht="15" hidden="false" customHeight="false" outlineLevel="0" collapsed="false">
      <c r="A50" s="5" t="s">
        <v>441</v>
      </c>
      <c r="B50" s="13" t="n">
        <v>0.567</v>
      </c>
      <c r="C50" s="13" t="n">
        <f aca="false">'5. Decomposition'!C36</f>
        <v>0.567272263201659</v>
      </c>
      <c r="D50" s="30" t="str">
        <f aca="false">IF(ISNUMBER(C50)=FALSE(),"CHECK",IF(ABS(C50-B50)&lt;=0.0005,"OK","CHECK"))</f>
        <v>OK</v>
      </c>
      <c r="E50" s="45"/>
    </row>
    <row r="51" customFormat="false" ht="15" hidden="false" customHeight="false" outlineLevel="0" collapsed="false">
      <c r="A51" s="5" t="s">
        <v>442</v>
      </c>
      <c r="B51" s="13" t="n">
        <v>0.339</v>
      </c>
      <c r="C51" s="13" t="n">
        <f aca="false">'5. Decomposition'!D35</f>
        <v>0.338833025205835</v>
      </c>
      <c r="D51" s="30" t="str">
        <f aca="false">IF(ISNUMBER(C51)=FALSE(),"CHECK",IF(ABS(C51-B51)&lt;=0.0005,"OK","CHECK"))</f>
        <v>OK</v>
      </c>
      <c r="E51" s="45"/>
    </row>
    <row r="52" customFormat="false" ht="15" hidden="false" customHeight="false" outlineLevel="0" collapsed="false">
      <c r="A52" s="5" t="s">
        <v>443</v>
      </c>
      <c r="B52" s="13" t="n">
        <v>0.548</v>
      </c>
      <c r="C52" s="13" t="n">
        <f aca="false">'5. Decomposition'!D36</f>
        <v>0.547807038483955</v>
      </c>
      <c r="D52" s="30" t="str">
        <f aca="false">IF(ISNUMBER(C52)=FALSE(),"CHECK",IF(ABS(C52-B52)&lt;=0.0005,"OK","CHECK"))</f>
        <v>OK</v>
      </c>
      <c r="E52" s="45"/>
    </row>
    <row r="53" customFormat="false" ht="15" hidden="false" customHeight="false" outlineLevel="0" collapsed="false">
      <c r="A53" s="5" t="s">
        <v>444</v>
      </c>
      <c r="B53" s="13" t="n">
        <v>0.283</v>
      </c>
      <c r="C53" s="13" t="n">
        <f aca="false">'5. Decomposition'!B27</f>
        <v>0.28321706182473</v>
      </c>
      <c r="D53" s="30" t="str">
        <f aca="false">IF(ISNUMBER(C53)=FALSE(),"CHECK",IF(ABS(C53-B53)&lt;=0.0005,"OK","CHECK"))</f>
        <v>OK</v>
      </c>
      <c r="E53" s="45"/>
    </row>
    <row r="54" customFormat="false" ht="15" hidden="false" customHeight="false" outlineLevel="0" collapsed="false">
      <c r="A54" s="5" t="s">
        <v>445</v>
      </c>
      <c r="B54" s="13" t="n">
        <v>0.613</v>
      </c>
      <c r="C54" s="13" t="n">
        <f aca="false">'5. Decomposition'!B29</f>
        <v>0.613061025479711</v>
      </c>
      <c r="D54" s="30" t="str">
        <f aca="false">IF(ISNUMBER(C54)=FALSE(),"CHECK",IF(ABS(C54-B54)&lt;=0.0005,"OK","CHECK"))</f>
        <v>OK</v>
      </c>
      <c r="E54" s="45"/>
    </row>
    <row r="55" customFormat="false" ht="15" hidden="false" customHeight="false" outlineLevel="0" collapsed="false">
      <c r="A55" s="5" t="s">
        <v>446</v>
      </c>
      <c r="B55" s="46" t="n">
        <v>0.48</v>
      </c>
      <c r="C55" s="46" t="n">
        <f aca="false">'5. Decomposition'!B35</f>
        <v>0.480249308622611</v>
      </c>
      <c r="D55" s="30" t="str">
        <f aca="false">IF(ISNUMBER(C55)=FALSE(),"CHECK",IF(ABS(C55-B55)&lt;=0.005,"OK","CHECK"))</f>
        <v>OK</v>
      </c>
      <c r="E55" s="45"/>
    </row>
    <row r="56" customFormat="false" ht="15" hidden="false" customHeight="false" outlineLevel="0" collapsed="false">
      <c r="A56" s="5" t="s">
        <v>447</v>
      </c>
      <c r="B56" s="31" t="n">
        <v>0.92</v>
      </c>
      <c r="C56" s="31" t="n">
        <f aca="false">'5. Decomposition'!E35</f>
        <v>0.917189514396218</v>
      </c>
      <c r="D56" s="30" t="str">
        <f aca="false">IF(ISNUMBER(C56)=FALSE(),"CHECK",IF(ABS(C56-B56)&lt;=0.005,"OK","CHECK"))</f>
        <v>OK</v>
      </c>
      <c r="E56" s="45"/>
    </row>
    <row r="57" customFormat="false" ht="15" hidden="false" customHeight="false" outlineLevel="0" collapsed="false">
      <c r="A57" s="5" t="s">
        <v>448</v>
      </c>
      <c r="B57" s="31" t="n">
        <v>0.36</v>
      </c>
      <c r="C57" s="31" t="n">
        <f aca="false">'5. Decomposition'!E36</f>
        <v>0.362603240152478</v>
      </c>
      <c r="D57" s="30" t="str">
        <f aca="false">IF(ISNUMBER(C57)=FALSE(),"CHECK",IF(ABS(C57-B57)&lt;=0.005,"OK","CHECK"))</f>
        <v>OK</v>
      </c>
      <c r="E57" s="45"/>
    </row>
    <row r="58" customFormat="false" ht="15" hidden="false" customHeight="false" outlineLevel="0" collapsed="false">
      <c r="A58" s="5" t="s">
        <v>449</v>
      </c>
      <c r="B58" s="35" t="n">
        <v>0.0269</v>
      </c>
      <c r="C58" s="35" t="n">
        <f aca="false">'13. Credit, lender, seller'!$C$11</f>
        <v>0.0268681351316365</v>
      </c>
      <c r="D58" s="30" t="str">
        <f aca="false">IF(ISNUMBER(C58)=FALSE(),"CHECK",IF(ABS(C58-B58)&lt;=0.00005,"OK","CHECK"))</f>
        <v>OK</v>
      </c>
      <c r="E58" s="45" t="s">
        <v>450</v>
      </c>
    </row>
    <row r="59" customFormat="false" ht="15" hidden="false" customHeight="false" outlineLevel="0" collapsed="false">
      <c r="A59" s="5" t="s">
        <v>451</v>
      </c>
      <c r="B59" s="35" t="n">
        <v>0.0529</v>
      </c>
      <c r="C59" s="35" t="n">
        <f aca="false">'13. Credit, lender, seller'!$C$10</f>
        <v>0.0528681351316365</v>
      </c>
      <c r="D59" s="30" t="str">
        <f aca="false">IF(ISNUMBER(C59)=FALSE(),"CHECK",IF(ABS(C59-B59)&lt;=0.00005,"OK","CHECK"))</f>
        <v>OK</v>
      </c>
      <c r="E59" s="45"/>
    </row>
    <row r="60" customFormat="false" ht="15" hidden="false" customHeight="false" outlineLevel="0" collapsed="false">
      <c r="A60" s="5" t="s">
        <v>452</v>
      </c>
      <c r="B60" s="35" t="n">
        <v>-0.0116</v>
      </c>
      <c r="C60" s="35" t="n">
        <f aca="false">'13. Credit, lender, seller'!$C$12</f>
        <v>-0.0116318648683635</v>
      </c>
      <c r="D60" s="30" t="str">
        <f aca="false">IF(ISNUMBER(C60)=FALSE(),"CHECK",IF(ABS(C60-B60)&lt;=0.00005,"OK","CHECK"))</f>
        <v>OK</v>
      </c>
      <c r="E60" s="45"/>
    </row>
    <row r="61" customFormat="false" ht="15" hidden="false" customHeight="false" outlineLevel="0" collapsed="false">
      <c r="A61" s="5" t="s">
        <v>453</v>
      </c>
      <c r="B61" s="35" t="n">
        <v>0.0086</v>
      </c>
      <c r="C61" s="35" t="n">
        <f aca="false">'13. Credit, lender, seller'!$C$14</f>
        <v>0.00863186486836354</v>
      </c>
      <c r="D61" s="30" t="str">
        <f aca="false">IF(ISNUMBER(C61)=FALSE(),"CHECK",IF(ABS(C61-B61)&lt;=0.00005,"OK","CHECK"))</f>
        <v>OK</v>
      </c>
      <c r="E61" s="45"/>
    </row>
    <row r="62" customFormat="false" ht="15" hidden="false" customHeight="false" outlineLevel="0" collapsed="false">
      <c r="A62" s="5" t="s">
        <v>454</v>
      </c>
      <c r="B62" s="33" t="n">
        <v>61500000</v>
      </c>
      <c r="C62" s="33" t="n">
        <f aca="false">'13. Credit, lender, seller'!$C$8</f>
        <v>61532340.9615765</v>
      </c>
      <c r="D62" s="30" t="str">
        <f aca="false">IF(ISNUMBER(C62)=FALSE(),"CHECK",IF(ABS(C62-B62)&lt;=50000,"OK","CHECK"))</f>
        <v>OK</v>
      </c>
      <c r="E62" s="45"/>
    </row>
    <row r="63" customFormat="false" ht="15" hidden="false" customHeight="false" outlineLevel="0" collapsed="false">
      <c r="A63" s="5" t="s">
        <v>455</v>
      </c>
      <c r="B63" s="31" t="n">
        <v>1.67</v>
      </c>
      <c r="C63" s="31" t="n">
        <f aca="false">'13. Credit, lender, seller'!$C$9</f>
        <v>1.67313534745518</v>
      </c>
      <c r="D63" s="30" t="str">
        <f aca="false">IF(ISNUMBER(C63)=FALSE(),"CHECK",IF(ABS(C63-B63)&lt;=0.005,"OK","CHECK"))</f>
        <v>OK</v>
      </c>
      <c r="E63" s="45"/>
    </row>
    <row r="64" customFormat="false" ht="15" hidden="false" customHeight="false" outlineLevel="0" collapsed="false">
      <c r="A64" s="5" t="s">
        <v>456</v>
      </c>
      <c r="B64" s="13" t="n">
        <v>0.447</v>
      </c>
      <c r="C64" s="13" t="n">
        <f aca="false">'5. Decomposition'!B51</f>
        <v>0.447447413087046</v>
      </c>
      <c r="D64" s="30" t="str">
        <f aca="false">IF(ISNUMBER(C64)=FALSE(),"CHECK",IF(ABS(C64-B64)&lt;=0.0005,"OK","CHECK"))</f>
        <v>OK</v>
      </c>
      <c r="E64" s="45"/>
    </row>
    <row r="65" customFormat="false" ht="15" hidden="false" customHeight="false" outlineLevel="0" collapsed="false">
      <c r="A65" s="5" t="s">
        <v>457</v>
      </c>
      <c r="B65" s="33" t="n">
        <v>185000000</v>
      </c>
      <c r="C65" s="33" t="n">
        <f aca="false">'6. The ladder'!F6</f>
        <v>184980684.941636</v>
      </c>
      <c r="D65" s="30" t="str">
        <f aca="false">IF(ISNUMBER(C65)=FALSE(),"CHECK",IF(ABS(C65-B65)&lt;=50000,"OK","CHECK"))</f>
        <v>OK</v>
      </c>
      <c r="E65" s="45"/>
    </row>
    <row r="66" customFormat="false" ht="15" hidden="false" customHeight="false" outlineLevel="0" collapsed="false">
      <c r="A66" s="5" t="s">
        <v>458</v>
      </c>
      <c r="B66" s="35" t="n">
        <v>0.0703</v>
      </c>
      <c r="C66" s="35" t="n">
        <f aca="false">'6. The ladder'!H6</f>
        <v>0.0702608454046763</v>
      </c>
      <c r="D66" s="30" t="str">
        <f aca="false">IF(ISNUMBER(C66)=FALSE(),"CHECK",IF(ABS(C66-B66)&lt;=0.00005,"OK","CHECK"))</f>
        <v>OK</v>
      </c>
      <c r="E66" s="45"/>
    </row>
    <row r="67" customFormat="false" ht="15" hidden="false" customHeight="false" outlineLevel="0" collapsed="false">
      <c r="A67" s="5" t="s">
        <v>459</v>
      </c>
      <c r="B67" s="33" t="n">
        <v>174000000</v>
      </c>
      <c r="C67" s="33" t="n">
        <f aca="false">'6. The ladder'!F7</f>
        <v>174015852.542027</v>
      </c>
      <c r="D67" s="30" t="str">
        <f aca="false">IF(ISNUMBER(C67)=FALSE(),"CHECK",IF(ABS(C67-B67)&lt;=50000,"OK","CHECK"))</f>
        <v>OK</v>
      </c>
      <c r="E67" s="45"/>
    </row>
    <row r="68" customFormat="false" ht="15" hidden="false" customHeight="false" outlineLevel="0" collapsed="false">
      <c r="A68" s="5" t="s">
        <v>460</v>
      </c>
      <c r="B68" s="35" t="n">
        <v>0.0577</v>
      </c>
      <c r="C68" s="35" t="n">
        <f aca="false">'6. The ladder'!H7</f>
        <v>0.0576608620644231</v>
      </c>
      <c r="D68" s="30" t="str">
        <f aca="false">IF(ISNUMBER(C68)=FALSE(),"CHECK",IF(ABS(C68-B68)&lt;=0.00005,"OK","CHECK"))</f>
        <v>OK</v>
      </c>
      <c r="E68" s="45"/>
    </row>
    <row r="69" customFormat="false" ht="15" hidden="false" customHeight="false" outlineLevel="0" collapsed="false">
      <c r="A69" s="5" t="s">
        <v>461</v>
      </c>
      <c r="B69" s="33" t="n">
        <v>163600000</v>
      </c>
      <c r="C69" s="33" t="n">
        <f aca="false">'6. The ladder'!F8</f>
        <v>163580608.969078</v>
      </c>
      <c r="D69" s="30" t="str">
        <f aca="false">IF(ISNUMBER(C69)=FALSE(),"CHECK",IF(ABS(C69-B69)&lt;=50000,"OK","CHECK"))</f>
        <v>OK</v>
      </c>
      <c r="E69" s="45"/>
    </row>
    <row r="70" customFormat="false" ht="15" hidden="false" customHeight="false" outlineLevel="0" collapsed="false">
      <c r="A70" s="5" t="s">
        <v>462</v>
      </c>
      <c r="B70" s="35" t="n">
        <v>0.0449</v>
      </c>
      <c r="C70" s="35" t="n">
        <f aca="false">'6. The ladder'!H8</f>
        <v>0.0449128327103397</v>
      </c>
      <c r="D70" s="30" t="str">
        <f aca="false">IF(ISNUMBER(C70)=FALSE(),"CHECK",IF(ABS(C70-B70)&lt;=0.00005,"OK","CHECK"))</f>
        <v>OK</v>
      </c>
      <c r="E70" s="45"/>
    </row>
    <row r="71" customFormat="false" ht="15" hidden="false" customHeight="false" outlineLevel="0" collapsed="false">
      <c r="A71" s="5" t="s">
        <v>463</v>
      </c>
      <c r="B71" s="33" t="n">
        <v>153000000</v>
      </c>
      <c r="C71" s="33" t="n">
        <f aca="false">'6. The ladder'!F9</f>
        <v>152990676.905815</v>
      </c>
      <c r="D71" s="30" t="str">
        <f aca="false">IF(ISNUMBER(C71)=FALSE(),"CHECK",IF(ABS(C71-B71)&lt;=50000,"OK","CHECK"))</f>
        <v>OK</v>
      </c>
      <c r="E71" s="45"/>
    </row>
    <row r="72" customFormat="false" ht="15" hidden="false" customHeight="false" outlineLevel="0" collapsed="false">
      <c r="A72" s="5" t="s">
        <v>464</v>
      </c>
      <c r="B72" s="35" t="n">
        <v>0.0323</v>
      </c>
      <c r="C72" s="35" t="n">
        <f aca="false">'6. The ladder'!H9</f>
        <v>0.032285034807498</v>
      </c>
      <c r="D72" s="30" t="str">
        <f aca="false">IF(ISNUMBER(C72)=FALSE(),"CHECK",IF(ABS(C72-B72)&lt;=0.00005,"OK","CHECK"))</f>
        <v>OK</v>
      </c>
      <c r="E72" s="45"/>
    </row>
    <row r="73" customFormat="false" ht="15" hidden="false" customHeight="false" outlineLevel="0" collapsed="false">
      <c r="A73" s="5" t="s">
        <v>465</v>
      </c>
      <c r="B73" s="35" t="n">
        <v>0.0036</v>
      </c>
      <c r="C73" s="35" t="n">
        <f aca="false">'6. The ladder'!B13</f>
        <v>0.00364530202843607</v>
      </c>
      <c r="D73" s="30" t="str">
        <f aca="false">IF(ISNUMBER(C73)=FALSE(),"CHECK",IF(ABS(C73-B73)&lt;=0.00005,"OK","CHECK"))</f>
        <v>OK</v>
      </c>
      <c r="E73" s="45" t="s">
        <v>466</v>
      </c>
    </row>
    <row r="74" customFormat="false" ht="15" hidden="false" customHeight="false" outlineLevel="0" collapsed="false">
      <c r="A74" s="5" t="s">
        <v>467</v>
      </c>
      <c r="B74" s="35" t="n">
        <v>0.0241</v>
      </c>
      <c r="C74" s="35" t="n">
        <f aca="false">'6. The ladder'!B14</f>
        <v>0.0241035708211505</v>
      </c>
      <c r="D74" s="30" t="str">
        <f aca="false">IF(ISNUMBER(C74)=FALSE(),"CHECK",IF(ABS(C74-B74)&lt;=0.00005,"OK","CHECK"))</f>
        <v>OK</v>
      </c>
      <c r="E74" s="45" t="s">
        <v>468</v>
      </c>
    </row>
    <row r="75" customFormat="false" ht="15" hidden="false" customHeight="false" outlineLevel="0" collapsed="false">
      <c r="A75" s="5" t="s">
        <v>469</v>
      </c>
      <c r="B75" s="35" t="n">
        <v>0.0205</v>
      </c>
      <c r="C75" s="35" t="n">
        <f aca="false">'6. The ladder'!B15</f>
        <v>0.0204582687927144</v>
      </c>
      <c r="D75" s="30" t="str">
        <f aca="false">IF(ISNUMBER(C75)=FALSE(),"CHECK",IF(ABS(C75-B75)&lt;=0.00005,"OK","CHECK"))</f>
        <v>OK</v>
      </c>
      <c r="E75" s="45" t="s">
        <v>470</v>
      </c>
    </row>
    <row r="76" customFormat="false" ht="15" hidden="false" customHeight="false" outlineLevel="0" collapsed="false">
      <c r="A76" s="5" t="s">
        <v>471</v>
      </c>
      <c r="B76" s="35" t="n">
        <v>-0.0018</v>
      </c>
      <c r="C76" s="35" t="n">
        <f aca="false">'6. The ladder'!B16</f>
        <v>-0.00180680470795946</v>
      </c>
      <c r="D76" s="30" t="str">
        <f aca="false">IF(ISNUMBER(C76)=FALSE(),"CHECK",IF(ABS(C76-B76)&lt;=0.00005,"OK","CHECK"))</f>
        <v>OK</v>
      </c>
      <c r="E76" s="45" t="s">
        <v>472</v>
      </c>
    </row>
    <row r="77" customFormat="false" ht="15" hidden="false" customHeight="false" outlineLevel="0" collapsed="false">
      <c r="A77" s="5" t="s">
        <v>473</v>
      </c>
      <c r="B77" s="35" t="n">
        <v>0.0501</v>
      </c>
      <c r="C77" s="35" t="n">
        <f aca="false">'6. The ladder'!B18</f>
        <v>0.0501035708211505</v>
      </c>
      <c r="D77" s="30" t="str">
        <f aca="false">IF(ISNUMBER(C77)=FALSE(),"CHECK",IF(ABS(C77-B77)&lt;=0.00005,"OK","CHECK"))</f>
        <v>OK</v>
      </c>
      <c r="E77" s="45"/>
    </row>
    <row r="78" customFormat="false" ht="15" hidden="false" customHeight="false" outlineLevel="0" collapsed="false">
      <c r="A78" s="5" t="s">
        <v>474</v>
      </c>
      <c r="B78" s="33" t="n">
        <v>157200000</v>
      </c>
      <c r="C78" s="33" t="n">
        <f aca="false">'6. The ladder'!C19</f>
        <v>157177896.537133</v>
      </c>
      <c r="D78" s="30" t="str">
        <f aca="false">IF(ISNUMBER(C78)=FALSE(),"CHECK",IF(ABS(C78-B78)&lt;=50000,"OK","CHECK"))</f>
        <v>OK</v>
      </c>
      <c r="E78" s="45"/>
    </row>
    <row r="79" customFormat="false" ht="15" hidden="false" customHeight="false" outlineLevel="0" collapsed="false">
      <c r="A79" s="5" t="s">
        <v>475</v>
      </c>
      <c r="B79" s="33" t="n">
        <v>164000000</v>
      </c>
      <c r="C79" s="33" t="n">
        <f aca="false">'6. The ladder'!C20</f>
        <v>163955509.305425</v>
      </c>
      <c r="D79" s="30" t="str">
        <f aca="false">IF(ISNUMBER(C79)=FALSE(),"CHECK",IF(ABS(C79-B79)&lt;=50000,"OK","CHECK"))</f>
        <v>OK</v>
      </c>
      <c r="E79" s="45"/>
    </row>
    <row r="80" customFormat="false" ht="15" hidden="false" customHeight="false" outlineLevel="0" collapsed="false">
      <c r="A80" s="5" t="s">
        <v>476</v>
      </c>
      <c r="B80" s="35" t="n">
        <v>0.0428</v>
      </c>
      <c r="C80" s="35" t="n">
        <f aca="false">'6. The ladder'!B21</f>
        <v>0.0427777777777778</v>
      </c>
      <c r="D80" s="30" t="str">
        <f aca="false">IF(ISNUMBER(C80)=FALSE(),"CHECK",IF(ABS(C80-B80)&lt;=0.00005,"OK","CHECK"))</f>
        <v>OK</v>
      </c>
      <c r="E80" s="45"/>
    </row>
    <row r="81" customFormat="false" ht="15" hidden="false" customHeight="false" outlineLevel="0" collapsed="false">
      <c r="A81" s="5" t="s">
        <v>477</v>
      </c>
      <c r="C81" s="20" t="str">
        <f aca="false">IF(COUNTIF('9. Solvers'!A6:AO6,"converged")=8,"OK","CHECK")</f>
        <v>OK</v>
      </c>
      <c r="D81" s="30" t="str">
        <f aca="false">IF(C81="","",IF(C81="OK","OK","CHECK"))</f>
        <v>OK</v>
      </c>
      <c r="E81" s="45" t="s">
        <v>438</v>
      </c>
    </row>
    <row r="82" customFormat="false" ht="15" hidden="false" customHeight="false" outlineLevel="0" collapsed="false">
      <c r="A82" s="5" t="s">
        <v>478</v>
      </c>
      <c r="B82" s="13" t="n">
        <v>0.447</v>
      </c>
      <c r="C82" s="13" t="n">
        <f aca="false">'5. Decomposition'!B51</f>
        <v>0.447447413087046</v>
      </c>
      <c r="D82" s="30" t="str">
        <f aca="false">IF(ISNUMBER(C82)=FALSE(),"CHECK",IF(ABS(C82-B82)&lt;=0.0005,"OK","CHECK"))</f>
        <v>OK</v>
      </c>
      <c r="E82" s="45"/>
    </row>
    <row r="83" customFormat="false" ht="15" hidden="false" customHeight="false" outlineLevel="0" collapsed="false">
      <c r="A83" s="5" t="s">
        <v>479</v>
      </c>
      <c r="B83" s="13" t="n">
        <v>0.404</v>
      </c>
      <c r="C83" s="13" t="n">
        <f aca="false">'5. Decomposition'!E51</f>
        <v>0.404115497933648</v>
      </c>
      <c r="D83" s="30" t="str">
        <f aca="false">IF(ISNUMBER(C83)=FALSE(),"CHECK",IF(ABS(C83-B83)&lt;=0.0005,"OK","CHECK"))</f>
        <v>OK</v>
      </c>
      <c r="E83" s="45"/>
    </row>
    <row r="84" customFormat="false" ht="15" hidden="false" customHeight="false" outlineLevel="0" collapsed="false">
      <c r="A84" s="5" t="s">
        <v>480</v>
      </c>
      <c r="B84" s="13" t="n">
        <v>0.135</v>
      </c>
      <c r="C84" s="13" t="n">
        <f aca="false">'5. Decomposition'!E48</f>
        <v>0.134836415846942</v>
      </c>
      <c r="D84" s="30" t="str">
        <f aca="false">IF(ISNUMBER(C84)=FALSE(),"CHECK",IF(ABS(C84-B84)&lt;=0.0005,"OK","CHECK"))</f>
        <v>OK</v>
      </c>
      <c r="E84" s="45"/>
    </row>
    <row r="85" customFormat="false" ht="15" hidden="false" customHeight="false" outlineLevel="0" collapsed="false">
      <c r="A85" s="5" t="s">
        <v>481</v>
      </c>
      <c r="B85" s="13" t="n">
        <v>0.682</v>
      </c>
      <c r="C85" s="13" t="n">
        <f aca="false">'5. Decomposition'!E50</f>
        <v>0.682322953667079</v>
      </c>
      <c r="D85" s="30" t="str">
        <f aca="false">IF(ISNUMBER(C85)=FALSE(),"CHECK",IF(ABS(C85-B85)&lt;=0.0005,"OK","CHECK"))</f>
        <v>OK</v>
      </c>
      <c r="E85" s="45"/>
    </row>
    <row r="86" customFormat="false" ht="15" hidden="false" customHeight="false" outlineLevel="0" collapsed="false">
      <c r="A86" s="5" t="s">
        <v>482</v>
      </c>
      <c r="B86" s="13" t="n">
        <v>0.181</v>
      </c>
      <c r="C86" s="13" t="n">
        <f aca="false">'5. Decomposition'!E46</f>
        <v>0.181446125805624</v>
      </c>
      <c r="D86" s="30" t="str">
        <f aca="false">IF(ISNUMBER(C86)=FALSE(),"CHECK",IF(ABS(C86-B86)&lt;=0.0005,"OK","CHECK"))</f>
        <v>OK</v>
      </c>
      <c r="E86" s="45"/>
    </row>
    <row r="87" customFormat="false" ht="28.35" hidden="false" customHeight="false" outlineLevel="0" collapsed="false">
      <c r="A87" s="5" t="s">
        <v>483</v>
      </c>
      <c r="C87" s="20" t="str">
        <f aca="false">IF('5. Decomposition'!E52&gt;0.5,"OK","CHECK")</f>
        <v>OK</v>
      </c>
      <c r="D87" s="30" t="str">
        <f aca="false">IF(C87="","",IF(C87="OK","OK","CHECK"))</f>
        <v>OK</v>
      </c>
      <c r="E87" s="45"/>
    </row>
    <row r="88" customFormat="false" ht="15" hidden="false" customHeight="false" outlineLevel="0" collapsed="false">
      <c r="A88" s="5" t="s">
        <v>484</v>
      </c>
      <c r="B88" s="46" t="n">
        <v>0.41</v>
      </c>
      <c r="C88" s="46" t="n">
        <f aca="false">('2. The tape'!C7+'2. The tape'!C8+'2. The tape'!C13)/'2. The tape'!C14</f>
        <v>0.414201183431953</v>
      </c>
      <c r="D88" s="30" t="str">
        <f aca="false">IF(ISNUMBER(C88)=FALSE(),"CHECK",IF(ABS(C88-B88)&lt;=0.005,"OK","CHECK"))</f>
        <v>OK</v>
      </c>
      <c r="E88" s="45"/>
    </row>
    <row r="89" customFormat="false" ht="15" hidden="false" customHeight="false" outlineLevel="0" collapsed="false">
      <c r="A89" s="5" t="s">
        <v>485</v>
      </c>
      <c r="B89" s="46" t="n">
        <v>0.28</v>
      </c>
      <c r="C89" s="46" t="n">
        <f aca="false">1-(1-('3. Assumptions'!$B$21/(1-'3. Assumptions'!$B$22)))^5</f>
        <v>0.282218020085101</v>
      </c>
      <c r="D89" s="30" t="str">
        <f aca="false">IF(ISNUMBER(C89)=FALSE(),"CHECK",IF(ABS(C89-B89)&lt;=0.005,"OK","CHECK"))</f>
        <v>OK</v>
      </c>
      <c r="E89" s="45" t="s">
        <v>486</v>
      </c>
    </row>
    <row r="90" customFormat="false" ht="15" hidden="false" customHeight="false" outlineLevel="0" collapsed="false">
      <c r="A90" s="5" t="s">
        <v>487</v>
      </c>
      <c r="B90" s="47" t="n">
        <v>3</v>
      </c>
      <c r="C90" s="47" t="n">
        <f aca="false">'12. Master lease'!B15</f>
        <v>3</v>
      </c>
      <c r="D90" s="30" t="str">
        <f aca="false">IF(ISNUMBER(C90)=FALSE(),"CHECK",IF(ABS(C90-B90)&lt;=0,"OK","CHECK"))</f>
        <v>OK</v>
      </c>
      <c r="E90" s="45"/>
    </row>
    <row r="91" customFormat="false" ht="15" hidden="false" customHeight="false" outlineLevel="0" collapsed="false">
      <c r="A91" s="5" t="s">
        <v>488</v>
      </c>
      <c r="B91" s="33" t="n">
        <v>25300000</v>
      </c>
      <c r="C91" s="33" t="n">
        <f aca="false">'12. Master lease'!K15</f>
        <v>25286268.1917211</v>
      </c>
      <c r="D91" s="30" t="str">
        <f aca="false">IF(ISNUMBER(C91)=FALSE(),"CHECK",IF(ABS(C91-B91)&lt;=50000,"OK","CHECK"))</f>
        <v>OK</v>
      </c>
      <c r="E91" s="45"/>
    </row>
    <row r="92" customFormat="false" ht="15" hidden="false" customHeight="false" outlineLevel="0" collapsed="false">
      <c r="A92" s="5" t="s">
        <v>489</v>
      </c>
      <c r="B92" s="13" t="n">
        <v>0.141</v>
      </c>
      <c r="C92" s="13" t="n">
        <f aca="false">'12. Master lease'!K16</f>
        <v>0.140902555243421</v>
      </c>
      <c r="D92" s="30" t="str">
        <f aca="false">IF(ISNUMBER(C92)=FALSE(),"CHECK",IF(ABS(C92-B92)&lt;=0.0005,"OK","CHECK"))</f>
        <v>OK</v>
      </c>
      <c r="E92" s="45"/>
    </row>
    <row r="93" customFormat="false" ht="15" hidden="false" customHeight="false" outlineLevel="0" collapsed="false">
      <c r="A93" s="5" t="s">
        <v>490</v>
      </c>
      <c r="B93" s="33" t="n">
        <v>40400000</v>
      </c>
      <c r="C93" s="33" t="n">
        <f aca="false">'12. Master lease'!C20</f>
        <v>40362278.9760349</v>
      </c>
      <c r="D93" s="30" t="str">
        <f aca="false">IF(ISNUMBER(C93)=FALSE(),"CHECK",IF(ABS(C93-B93)&lt;=50000,"OK","CHECK"))</f>
        <v>OK</v>
      </c>
      <c r="E93" s="45"/>
    </row>
    <row r="94" customFormat="false" ht="15" hidden="false" customHeight="false" outlineLevel="0" collapsed="false">
      <c r="A94" s="5" t="s">
        <v>491</v>
      </c>
      <c r="B94" s="47" t="n">
        <v>5</v>
      </c>
      <c r="C94" s="47" t="n">
        <f aca="false">'12. Master lease'!C19</f>
        <v>5</v>
      </c>
      <c r="D94" s="30" t="str">
        <f aca="false">IF(ISNUMBER(C94)=FALSE(),"CHECK",IF(ABS(C94-B94)&lt;=0,"OK","CHECK"))</f>
        <v>OK</v>
      </c>
      <c r="E94" s="45"/>
    </row>
    <row r="95" customFormat="false" ht="15" hidden="false" customHeight="false" outlineLevel="0" collapsed="false">
      <c r="A95" s="5" t="s">
        <v>492</v>
      </c>
      <c r="B95" s="33" t="n">
        <v>13600000</v>
      </c>
      <c r="C95" s="33" t="n">
        <f aca="false">'12. Master lease'!F5</f>
        <v>13646151.9740567</v>
      </c>
      <c r="D95" s="30" t="str">
        <f aca="false">IF(ISNUMBER(C95)=FALSE(),"CHECK",IF(ABS(C95-B95)&lt;=50000,"OK","CHECK"))</f>
        <v>OK</v>
      </c>
      <c r="E95" s="45"/>
    </row>
    <row r="96" customFormat="false" ht="15" hidden="false" customHeight="false" outlineLevel="0" collapsed="false">
      <c r="A96" s="5" t="s">
        <v>493</v>
      </c>
      <c r="B96" s="33" t="n">
        <v>4300000</v>
      </c>
      <c r="C96" s="33" t="n">
        <f aca="false">'12. Master lease'!E5</f>
        <v>4263532.43940904</v>
      </c>
      <c r="D96" s="30" t="str">
        <f aca="false">IF(ISNUMBER(C96)=FALSE(),"CHECK",IF(ABS(C96-B96)&lt;=50000,"OK","CHECK"))</f>
        <v>OK</v>
      </c>
      <c r="E96" s="45"/>
    </row>
    <row r="97" customFormat="false" ht="15" hidden="false" customHeight="false" outlineLevel="0" collapsed="false">
      <c r="A97" s="5" t="s">
        <v>494</v>
      </c>
      <c r="B97" s="48" t="n">
        <v>1.8</v>
      </c>
      <c r="C97" s="48" t="n">
        <f aca="false">'12. Master lease'!B21</f>
        <v>1.78953552291431</v>
      </c>
      <c r="D97" s="30" t="str">
        <f aca="false">IF(ISNUMBER(C97)=FALSE(),"CHECK",IF(ABS(C97-B97)&lt;=0.05,"OK","CHECK"))</f>
        <v>OK</v>
      </c>
      <c r="E97" s="45"/>
    </row>
    <row r="98" customFormat="false" ht="15" hidden="false" customHeight="false" outlineLevel="0" collapsed="false">
      <c r="A98" s="5" t="s">
        <v>495</v>
      </c>
      <c r="C98" s="20" t="str">
        <f aca="false">IF(AND(ABS('12. Master lease'!J8)&lt;0.02,ABS('12. Master lease'!J10)&lt;0.02),"OK","CHECK")</f>
        <v>OK</v>
      </c>
      <c r="D98" s="30" t="str">
        <f aca="false">IF(C98="","",IF(C98="OK","OK","CHECK"))</f>
        <v>OK</v>
      </c>
      <c r="E98" s="45"/>
    </row>
    <row r="99" customFormat="false" ht="15" hidden="false" customHeight="false" outlineLevel="0" collapsed="false">
      <c r="A99" s="5" t="s">
        <v>496</v>
      </c>
      <c r="B99" s="33" t="n">
        <v>18300000</v>
      </c>
      <c r="C99" s="33" t="n">
        <f aca="false">'8. Indexation'!B8</f>
        <v>18316254.2681853</v>
      </c>
      <c r="D99" s="30" t="str">
        <f aca="false">IF(ISNUMBER(C99)=FALSE(),"CHECK",IF(ABS(C99-B99)&lt;=50000,"OK","CHECK"))</f>
        <v>OK</v>
      </c>
      <c r="E99" s="45"/>
    </row>
    <row r="100" customFormat="false" ht="15" hidden="false" customHeight="false" outlineLevel="0" collapsed="false">
      <c r="A100" s="5" t="s">
        <v>497</v>
      </c>
      <c r="B100" s="33" t="n">
        <v>14600000</v>
      </c>
      <c r="C100" s="33" t="n">
        <f aca="false">'8. Indexation'!B7</f>
        <v>14634427.7711977</v>
      </c>
      <c r="D100" s="30" t="str">
        <f aca="false">IF(ISNUMBER(C100)=FALSE(),"CHECK",IF(ABS(C100-B100)&lt;=50000,"OK","CHECK"))</f>
        <v>OK</v>
      </c>
      <c r="E100" s="45"/>
    </row>
    <row r="101" customFormat="false" ht="15" hidden="false" customHeight="false" outlineLevel="0" collapsed="false">
      <c r="A101" s="5" t="s">
        <v>498</v>
      </c>
      <c r="B101" s="33" t="n">
        <v>21200000</v>
      </c>
      <c r="C101" s="33" t="n">
        <f aca="false">'8. Indexation'!B9</f>
        <v>21241095.5739495</v>
      </c>
      <c r="D101" s="30" t="str">
        <f aca="false">IF(ISNUMBER(C101)=FALSE(),"CHECK",IF(ABS(C101-B101)&lt;=50000,"OK","CHECK"))</f>
        <v>OK</v>
      </c>
      <c r="E101" s="45"/>
    </row>
    <row r="102" customFormat="false" ht="28.35" hidden="false" customHeight="false" outlineLevel="0" collapsed="false">
      <c r="A102" s="5" t="s">
        <v>499</v>
      </c>
      <c r="B102" s="33" t="n">
        <v>31800000</v>
      </c>
      <c r="C102" s="33" t="n">
        <f aca="false">'8. Indexation'!G11</f>
        <v>31818071.4812228</v>
      </c>
      <c r="D102" s="30" t="str">
        <f aca="false">IF(ISNUMBER(C102)=FALSE(),"CHECK",IF(ABS(C102-B102)&lt;=50000,"OK","CHECK"))</f>
        <v>OK</v>
      </c>
      <c r="E102" s="45" t="s">
        <v>500</v>
      </c>
    </row>
    <row r="103" customFormat="false" ht="15" hidden="false" customHeight="false" outlineLevel="0" collapsed="false">
      <c r="A103" s="5" t="s">
        <v>501</v>
      </c>
      <c r="B103" s="33" t="n">
        <v>69700000</v>
      </c>
      <c r="C103" s="33" t="n">
        <f aca="false">'8. Indexation'!G13</f>
        <v>69687757.704977</v>
      </c>
      <c r="D103" s="30" t="str">
        <f aca="false">IF(ISNUMBER(C103)=FALSE(),"CHECK",IF(ABS(C103-B103)&lt;=50000,"OK","CHECK"))</f>
        <v>OK</v>
      </c>
      <c r="E103" s="45"/>
    </row>
    <row r="104" customFormat="false" ht="15" hidden="false" customHeight="false" outlineLevel="0" collapsed="false">
      <c r="A104" s="5" t="s">
        <v>502</v>
      </c>
      <c r="B104" s="33" t="n">
        <v>13100000</v>
      </c>
      <c r="C104" s="33" t="n">
        <f aca="false">'8. Indexation'!H5</f>
        <v>13089000.7641831</v>
      </c>
      <c r="D104" s="30" t="str">
        <f aca="false">IF(ISNUMBER(C104)=FALSE(),"CHECK",IF(ABS(C104-B104)&lt;=50000,"OK","CHECK"))</f>
        <v>OK</v>
      </c>
      <c r="E104" s="45"/>
    </row>
    <row r="105" customFormat="false" ht="15" hidden="false" customHeight="false" outlineLevel="0" collapsed="false">
      <c r="A105" s="5" t="s">
        <v>503</v>
      </c>
      <c r="B105" s="33" t="n">
        <v>23700000</v>
      </c>
      <c r="C105" s="33" t="n">
        <f aca="false">'8. Indexation'!C11</f>
        <v>23739912.1394994</v>
      </c>
      <c r="D105" s="30" t="str">
        <f aca="false">IF(ISNUMBER(C105)=FALSE(),"CHECK",IF(ABS(C105-B105)&lt;=50000,"OK","CHECK"))</f>
        <v>OK</v>
      </c>
      <c r="E105" s="45" t="s">
        <v>504</v>
      </c>
    </row>
    <row r="106" customFormat="false" ht="15" hidden="false" customHeight="false" outlineLevel="0" collapsed="false">
      <c r="A106" s="5" t="s">
        <v>505</v>
      </c>
      <c r="B106" s="33" t="n">
        <v>16400000</v>
      </c>
      <c r="C106" s="33" t="n">
        <f aca="false">'8. Indexation'!C10</f>
        <v>16367272.7215199</v>
      </c>
      <c r="D106" s="30" t="str">
        <f aca="false">IF(ISNUMBER(C106)=FALSE(),"CHECK",IF(ABS(C106-B106)&lt;=50000,"OK","CHECK"))</f>
        <v>OK</v>
      </c>
      <c r="E106" s="45" t="s">
        <v>506</v>
      </c>
    </row>
    <row r="107" customFormat="false" ht="15" hidden="false" customHeight="false" outlineLevel="0" collapsed="false">
      <c r="A107" s="5" t="s">
        <v>507</v>
      </c>
      <c r="B107" s="33" t="n">
        <v>30600000</v>
      </c>
      <c r="C107" s="33" t="n">
        <f aca="false">'8. Indexation'!C12</f>
        <v>30625990.3869345</v>
      </c>
      <c r="D107" s="30" t="str">
        <f aca="false">IF(ISNUMBER(C107)=FALSE(),"CHECK",IF(ABS(C107-B107)&lt;=50000,"OK","CHECK"))</f>
        <v>OK</v>
      </c>
      <c r="E107" s="45" t="s">
        <v>508</v>
      </c>
    </row>
    <row r="108" customFormat="false" ht="15" hidden="false" customHeight="false" outlineLevel="0" collapsed="false">
      <c r="A108" s="5" t="s">
        <v>509</v>
      </c>
      <c r="B108" s="33" t="n">
        <v>43100000</v>
      </c>
      <c r="C108" s="33" t="n">
        <f aca="false">'8. Indexation'!C13</f>
        <v>43080829.2253428</v>
      </c>
      <c r="D108" s="30" t="str">
        <f aca="false">IF(ISNUMBER(C108)=FALSE(),"CHECK",IF(ABS(C108-B108)&lt;=50000,"OK","CHECK"))</f>
        <v>OK</v>
      </c>
      <c r="E108" s="45" t="s">
        <v>510</v>
      </c>
    </row>
    <row r="109" customFormat="false" ht="15" hidden="false" customHeight="false" outlineLevel="0" collapsed="false">
      <c r="A109" s="5" t="s">
        <v>511</v>
      </c>
      <c r="B109" s="33" t="n">
        <v>19700000</v>
      </c>
      <c r="C109" s="33" t="n">
        <f aca="false">'8. Indexation'!D5</f>
        <v>19682353.115474</v>
      </c>
      <c r="D109" s="30" t="str">
        <f aca="false">IF(ISNUMBER(C109)=FALSE(),"CHECK",IF(ABS(C109-B109)&lt;=50000,"OK","CHECK"))</f>
        <v>OK</v>
      </c>
      <c r="E109" s="45" t="s">
        <v>512</v>
      </c>
    </row>
    <row r="110" customFormat="false" ht="28.35" hidden="false" customHeight="false" outlineLevel="0" collapsed="false">
      <c r="A110" s="5" t="s">
        <v>513</v>
      </c>
      <c r="B110" s="33" t="n">
        <v>10500000</v>
      </c>
      <c r="C110" s="33" t="n">
        <f aca="false">'8. Indexation'!E11</f>
        <v>10456702.4897622</v>
      </c>
      <c r="D110" s="30" t="str">
        <f aca="false">IF(ISNUMBER(C110)=FALSE(),"CHECK",IF(ABS(C110-B110)&lt;=50000,"OK","CHECK"))</f>
        <v>OK</v>
      </c>
      <c r="E110" s="45" t="s">
        <v>514</v>
      </c>
    </row>
    <row r="111" customFormat="false" ht="15" hidden="false" customHeight="false" outlineLevel="0" collapsed="false">
      <c r="A111" s="5" t="s">
        <v>515</v>
      </c>
      <c r="B111" s="13" t="n">
        <v>0.132</v>
      </c>
      <c r="C111" s="13" t="n">
        <f aca="false">'8. Indexation'!C15</f>
        <v>0.132285802568722</v>
      </c>
      <c r="D111" s="30" t="str">
        <f aca="false">IF(ISNUMBER(C111)=FALSE(),"CHECK",IF(ABS(C111-B111)&lt;=0.0005,"OK","CHECK"))</f>
        <v>OK</v>
      </c>
      <c r="E111" s="45" t="s">
        <v>516</v>
      </c>
    </row>
    <row r="112" customFormat="false" ht="15" hidden="false" customHeight="false" outlineLevel="0" collapsed="false">
      <c r="A112" s="5" t="s">
        <v>517</v>
      </c>
      <c r="B112" s="13" t="n">
        <v>0.028</v>
      </c>
      <c r="C112" s="13" t="n">
        <f aca="false">'8. Indexation'!C16</f>
        <v>0.0283018867924528</v>
      </c>
      <c r="D112" s="30" t="str">
        <f aca="false">IF(ISNUMBER(C112)=FALSE(),"CHECK",IF(ABS(C112-B112)&lt;=0.0005,"OK","CHECK"))</f>
        <v>OK</v>
      </c>
      <c r="E112" s="45"/>
    </row>
    <row r="113" customFormat="false" ht="15" hidden="false" customHeight="false" outlineLevel="0" collapsed="false">
      <c r="A113" s="5" t="s">
        <v>518</v>
      </c>
      <c r="C113" s="20" t="str">
        <f aca="false">IF(SUM('8. Indexation'!C5:C9)=0,"OK","CHECK")</f>
        <v>OK</v>
      </c>
      <c r="D113" s="30" t="str">
        <f aca="false">IF(C113="","",IF(C113="OK","OK","CHECK"))</f>
        <v>OK</v>
      </c>
      <c r="E113" s="45"/>
    </row>
    <row r="114" customFormat="false" ht="15" hidden="false" customHeight="false" outlineLevel="0" collapsed="false">
      <c r="A114" s="5" t="s">
        <v>519</v>
      </c>
      <c r="B114" s="33" t="n">
        <v>97100000</v>
      </c>
      <c r="C114" s="33" t="n">
        <f aca="false">'5. Decomposition'!B56</f>
        <v>97078627.3279412</v>
      </c>
      <c r="D114" s="30" t="str">
        <f aca="false">IF(ISNUMBER(C114)=FALSE(),"CHECK",IF(ABS(C114-B114)&lt;=50000,"OK","CHECK"))</f>
        <v>OK</v>
      </c>
      <c r="E114" s="45"/>
    </row>
    <row r="115" customFormat="false" ht="15" hidden="false" customHeight="false" outlineLevel="0" collapsed="false">
      <c r="A115" s="5" t="s">
        <v>520</v>
      </c>
      <c r="B115" s="33" t="n">
        <v>81900000</v>
      </c>
      <c r="C115" s="33" t="n">
        <f aca="false">'5. Decomposition'!C56</f>
        <v>81904552.9362745</v>
      </c>
      <c r="D115" s="30" t="str">
        <f aca="false">IF(ISNUMBER(C115)=FALSE(),"CHECK",IF(ABS(C115-B115)&lt;=50000,"OK","CHECK"))</f>
        <v>OK</v>
      </c>
      <c r="E115" s="45"/>
    </row>
    <row r="116" customFormat="false" ht="15" hidden="false" customHeight="false" outlineLevel="0" collapsed="false">
      <c r="A116" s="5" t="s">
        <v>521</v>
      </c>
      <c r="B116" s="33" t="n">
        <v>93200000</v>
      </c>
      <c r="C116" s="33" t="n">
        <f aca="false">'5. Decomposition'!B60</f>
        <v>93190959.6467624</v>
      </c>
      <c r="D116" s="30" t="str">
        <f aca="false">IF(ISNUMBER(C116)=FALSE(),"CHECK",IF(ABS(C116-B116)&lt;=50000,"OK","CHECK"))</f>
        <v>OK</v>
      </c>
      <c r="E116" s="45"/>
    </row>
    <row r="117" customFormat="false" ht="15" hidden="false" customHeight="false" outlineLevel="0" collapsed="false">
      <c r="A117" s="5" t="s">
        <v>522</v>
      </c>
      <c r="B117" s="33" t="n">
        <v>74000000</v>
      </c>
      <c r="C117" s="33" t="n">
        <f aca="false">'5. Decomposition'!C60</f>
        <v>73972713.2726463</v>
      </c>
      <c r="D117" s="30" t="str">
        <f aca="false">IF(ISNUMBER(C117)=FALSE(),"CHECK",IF(ABS(C117-B117)&lt;=50000,"OK","CHECK"))</f>
        <v>OK</v>
      </c>
      <c r="E117" s="45"/>
    </row>
    <row r="118" customFormat="false" ht="15" hidden="false" customHeight="false" outlineLevel="0" collapsed="false">
      <c r="A118" s="5" t="s">
        <v>523</v>
      </c>
      <c r="B118" s="33" t="n">
        <v>19200000</v>
      </c>
      <c r="C118" s="33" t="n">
        <f aca="false">'5. Decomposition'!D60</f>
        <v>19218246.3741161</v>
      </c>
      <c r="D118" s="30" t="str">
        <f aca="false">IF(ISNUMBER(C118)=FALSE(),"CHECK",IF(ABS(C118-B118)&lt;=50000,"OK","CHECK"))</f>
        <v>OK</v>
      </c>
      <c r="E118" s="45"/>
    </row>
    <row r="119" customFormat="false" ht="15" hidden="false" customHeight="false" outlineLevel="0" collapsed="false">
      <c r="A119" s="5" t="s">
        <v>524</v>
      </c>
      <c r="B119" s="33" t="n">
        <v>21900000</v>
      </c>
      <c r="C119" s="33" t="n">
        <f aca="false">'5. Decomposition'!B62</f>
        <v>21938377.1812333</v>
      </c>
      <c r="D119" s="30" t="str">
        <f aca="false">IF(ISNUMBER(C119)=FALSE(),"CHECK",IF(ABS(C119-B119)&lt;=50000,"OK","CHECK"))</f>
        <v>OK</v>
      </c>
      <c r="E119" s="45"/>
    </row>
    <row r="120" customFormat="false" ht="15" hidden="false" customHeight="false" outlineLevel="0" collapsed="false">
      <c r="A120" s="5" t="s">
        <v>525</v>
      </c>
      <c r="B120" s="46" t="n">
        <v>0.12</v>
      </c>
      <c r="C120" s="46" t="n">
        <f aca="false">'5. Decomposition'!C62</f>
        <v>0.11985011534961</v>
      </c>
      <c r="D120" s="30" t="str">
        <f aca="false">IF(ISNUMBER(C120)=FALSE(),"CHECK",IF(ABS(C120-B120)&lt;=0.005,"OK","CHECK"))</f>
        <v>OK</v>
      </c>
      <c r="E120" s="45"/>
    </row>
    <row r="121" customFormat="false" ht="15" hidden="false" customHeight="false" outlineLevel="0" collapsed="false">
      <c r="A121" s="5" t="s">
        <v>526</v>
      </c>
      <c r="B121" s="33" t="n">
        <v>-1200000</v>
      </c>
      <c r="C121" s="33" t="n">
        <f aca="false">'10. Sensitivities'!C21</f>
        <v>-1177374.17105398</v>
      </c>
      <c r="D121" s="30" t="str">
        <f aca="false">IF(ISNUMBER(C121)=FALSE(),"CHECK",IF(ABS(C121-B121)&lt;=50000,"OK","CHECK"))</f>
        <v>OK</v>
      </c>
      <c r="E121" s="45"/>
    </row>
    <row r="122" customFormat="false" ht="15" hidden="false" customHeight="false" outlineLevel="0" collapsed="false">
      <c r="A122" s="5" t="s">
        <v>527</v>
      </c>
      <c r="B122" s="13" t="n">
        <v>0.265</v>
      </c>
      <c r="C122" s="13" t="n">
        <f aca="false">'7. Cash flow'!D97</f>
        <v>0.265442344319903</v>
      </c>
      <c r="D122" s="30" t="str">
        <f aca="false">IF(ISNUMBER(C122)=FALSE(),"CHECK",IF(ABS(C122-B122)&lt;=0.0005,"OK","CHECK"))</f>
        <v>OK</v>
      </c>
      <c r="E122" s="45"/>
    </row>
    <row r="123" customFormat="false" ht="15" hidden="false" customHeight="false" outlineLevel="0" collapsed="false">
      <c r="A123" s="5" t="s">
        <v>528</v>
      </c>
      <c r="B123" s="35" t="n">
        <v>0.0164</v>
      </c>
      <c r="C123" s="35" t="n">
        <f aca="false">'7. Cash flow'!D4</f>
        <v>0.0164427872620915</v>
      </c>
      <c r="D123" s="30" t="str">
        <f aca="false">IF(ISNUMBER(C123)=FALSE(),"CHECK",IF(ABS(C123-B123)&lt;=0.00005,"OK","CHECK"))</f>
        <v>OK</v>
      </c>
      <c r="E123" s="45"/>
    </row>
    <row r="124" customFormat="false" ht="15" hidden="false" customHeight="false" outlineLevel="0" collapsed="false">
      <c r="A124" s="5" t="s">
        <v>529</v>
      </c>
      <c r="B124" s="33" t="n">
        <v>219600000</v>
      </c>
      <c r="C124" s="33" t="n">
        <f aca="false">(SUMPRODUCT((1-(0))^('7. Cash flow'!$A$7:$A$86/4)*'7. Cash flow'!$C$7:$C$86/(1+('3. Assumptions'!$B$28))^('7. Cash flow'!$A$7:$A$86/4))+SUMPRODUCT((1-(0))^(('7. Cash flow'!$A$7:$A$86-1)/4)*(1-(1-(0))^0.25)*'7. Cash flow'!$D$7:$D$86/(1+('3. Assumptions'!$B$29))^('7. Cash flow'!$A$7:$A$86/4))+(1-(0))^'3. Assumptions'!$B$9*'7. Cash flow'!$D$87/(1+('3. Assumptions'!$B$29))^'3. Assumptions'!$B$9)/(1+'3. Assumptions'!$B$14)</f>
        <v>219604804.327798</v>
      </c>
      <c r="D124" s="30" t="str">
        <f aca="false">IF(ISNUMBER(C124)=FALSE(),"CHECK",IF(ABS(C124-B124)&lt;=50000,"OK","CHECK"))</f>
        <v>OK</v>
      </c>
      <c r="E124" s="45"/>
    </row>
    <row r="125" customFormat="false" ht="15" hidden="false" customHeight="false" outlineLevel="0" collapsed="false">
      <c r="A125" s="5" t="s">
        <v>530</v>
      </c>
      <c r="B125" s="33" t="n">
        <v>205400000</v>
      </c>
      <c r="C125" s="33" t="n">
        <f aca="false">(SUMPRODUCT((1-(0.01))^('7. Cash flow'!$A$7:$A$86/4)*'7. Cash flow'!$C$7:$C$86/(1+('3. Assumptions'!$B$28))^('7. Cash flow'!$A$7:$A$86/4))+SUMPRODUCT((1-(0.01))^(('7. Cash flow'!$A$7:$A$86-1)/4)*(1-(1-(0.01))^0.25)*'7. Cash flow'!$D$7:$D$86/(1+('3. Assumptions'!$B$29))^('7. Cash flow'!$A$7:$A$86/4))+(1-(0.01))^'3. Assumptions'!$B$9*'7. Cash flow'!$D$87/(1+('3. Assumptions'!$B$29))^'3. Assumptions'!$B$9)/(1+'3. Assumptions'!$B$14)</f>
        <v>205354987.13276</v>
      </c>
      <c r="D125" s="30" t="str">
        <f aca="false">IF(ISNUMBER(C125)=FALSE(),"CHECK",IF(ABS(C125-B125)&lt;=50000,"OK","CHECK"))</f>
        <v>OK</v>
      </c>
      <c r="E125" s="45"/>
    </row>
    <row r="126" customFormat="false" ht="15" hidden="false" customHeight="false" outlineLevel="0" collapsed="false">
      <c r="A126" s="5" t="s">
        <v>531</v>
      </c>
      <c r="B126" s="33" t="n">
        <v>163500000</v>
      </c>
      <c r="C126" s="33" t="n">
        <f aca="false">(SUMPRODUCT((1-(0.05))^('7. Cash flow'!$A$7:$A$86/4)*'7. Cash flow'!$C$7:$C$86/(1+('3. Assumptions'!$B$28))^('7. Cash flow'!$A$7:$A$86/4))+SUMPRODUCT((1-(0.05))^(('7. Cash flow'!$A$7:$A$86-1)/4)*(1-(1-(0.05))^0.25)*'7. Cash flow'!$D$7:$D$86/(1+('3. Assumptions'!$B$29))^('7. Cash flow'!$A$7:$A$86/4))+(1-(0.05))^'3. Assumptions'!$B$9*'7. Cash flow'!$D$87/(1+('3. Assumptions'!$B$29))^'3. Assumptions'!$B$9)/(1+'3. Assumptions'!$B$14)</f>
        <v>163479407.823912</v>
      </c>
      <c r="D126" s="30" t="str">
        <f aca="false">IF(ISNUMBER(C126)=FALSE(),"CHECK",IF(ABS(C126-B126)&lt;=50000,"OK","CHECK"))</f>
        <v>OK</v>
      </c>
      <c r="E126" s="45"/>
    </row>
    <row r="127" customFormat="false" ht="15" hidden="false" customHeight="false" outlineLevel="0" collapsed="false">
      <c r="A127" s="5" t="s">
        <v>532</v>
      </c>
      <c r="B127" s="33" t="n">
        <v>153000000</v>
      </c>
      <c r="C127" s="33" t="n">
        <f aca="false">'7. Cash flow'!D90</f>
        <v>152990676.905815</v>
      </c>
      <c r="D127" s="30" t="str">
        <f aca="false">IF(ISNUMBER(C127)=FALSE(),"CHECK",IF(ABS(C127-B127)&lt;=50000,"OK","CHECK"))</f>
        <v>OK</v>
      </c>
      <c r="E127" s="45"/>
    </row>
    <row r="128" customFormat="false" ht="15" hidden="false" customHeight="false" outlineLevel="0" collapsed="false">
      <c r="A128" s="5" t="s">
        <v>533</v>
      </c>
      <c r="B128" s="33" t="n">
        <v>137900000</v>
      </c>
      <c r="C128" s="33" t="n">
        <f aca="false">(SUMPRODUCT((1-(0.09))^('7. Cash flow'!$A$7:$A$86/4)*'7. Cash flow'!$C$7:$C$86/(1+('3. Assumptions'!$B$28))^('7. Cash flow'!$A$7:$A$86/4))+SUMPRODUCT((1-(0.09))^(('7. Cash flow'!$A$7:$A$86-1)/4)*(1-(1-(0.09))^0.25)*'7. Cash flow'!$D$7:$D$86/(1+('3. Assumptions'!$B$29))^('7. Cash flow'!$A$7:$A$86/4))+(1-(0.09))^'3. Assumptions'!$B$9*'7. Cash flow'!$D$87/(1+('3. Assumptions'!$B$29))^'3. Assumptions'!$B$9)/(1+'3. Assumptions'!$B$14)</f>
        <v>137912956.855978</v>
      </c>
      <c r="D128" s="30" t="str">
        <f aca="false">IF(ISNUMBER(C128)=FALSE(),"CHECK",IF(ABS(C128-B128)&lt;=50000,"OK","CHECK"))</f>
        <v>OK</v>
      </c>
      <c r="E128" s="45"/>
    </row>
    <row r="129" customFormat="false" ht="15" hidden="false" customHeight="false" outlineLevel="0" collapsed="false">
      <c r="A129" s="5" t="s">
        <v>534</v>
      </c>
      <c r="B129" s="33" t="n">
        <v>121900000</v>
      </c>
      <c r="C129" s="33" t="n">
        <f aca="false">(SUMPRODUCT((1-(0.13))^('7. Cash flow'!$A$7:$A$86/4)*'7. Cash flow'!$C$7:$C$86/(1+('3. Assumptions'!$B$28))^('7. Cash flow'!$A$7:$A$86/4))+SUMPRODUCT((1-(0.13))^(('7. Cash flow'!$A$7:$A$86-1)/4)*(1-(1-(0.13))^0.25)*'7. Cash flow'!$D$7:$D$86/(1+('3. Assumptions'!$B$29))^('7. Cash flow'!$A$7:$A$86/4))+(1-(0.13))^'3. Assumptions'!$B$9*'7. Cash flow'!$D$87/(1+('3. Assumptions'!$B$29))^'3. Assumptions'!$B$9)/(1+'3. Assumptions'!$B$14)</f>
        <v>121863919.90008</v>
      </c>
      <c r="D129" s="30" t="str">
        <f aca="false">IF(ISNUMBER(C129)=FALSE(),"CHECK",IF(ABS(C129-B129)&lt;=50000,"OK","CHECK"))</f>
        <v>OK</v>
      </c>
      <c r="E129" s="45"/>
    </row>
    <row r="130" customFormat="false" ht="15" hidden="false" customHeight="false" outlineLevel="0" collapsed="false">
      <c r="A130" s="5" t="s">
        <v>535</v>
      </c>
      <c r="B130" s="33" t="n">
        <v>179500000</v>
      </c>
      <c r="C130" s="33" t="n">
        <f aca="false">(SUMPRODUCT((1-('9. Solvers'!$V$6))^('7. Cash flow'!$A$7:$A$86/4)*'7. Cash flow'!$C$7:$C$86/(1+('3. Assumptions'!$B$28))^('7. Cash flow'!$A$7:$A$86/4))+SUMPRODUCT((1-('9. Solvers'!$V$6))^(('7. Cash flow'!$A$7:$A$86-1)/4)*(1-(1-('9. Solvers'!$V$6))^0.25)*'7. Cash flow'!$D$7:$D$86/(1+('3. Assumptions'!$B$29))^('7. Cash flow'!$A$7:$A$86/4))+(1-('9. Solvers'!$V$6))^'3. Assumptions'!$B$9*'7. Cash flow'!$D$87/(1+('3. Assumptions'!$B$29))^'3. Assumptions'!$B$9)/(1+'3. Assumptions'!$B$14)</f>
        <v>179459259.25926</v>
      </c>
      <c r="D130" s="30" t="str">
        <f aca="false">IF(ISNUMBER(C130)=FALSE(),"CHECK",IF(ABS(C130-B130)&lt;=50000,"OK","CHECK"))</f>
        <v>OK</v>
      </c>
      <c r="E130" s="45"/>
    </row>
    <row r="131" customFormat="false" ht="15" hidden="false" customHeight="false" outlineLevel="0" collapsed="false">
      <c r="A131" s="5" t="s">
        <v>536</v>
      </c>
      <c r="B131" s="33" t="n">
        <v>114800000</v>
      </c>
      <c r="C131" s="33" t="n">
        <f aca="false">'7. Cash flow'!D94</f>
        <v>114829166.426206</v>
      </c>
      <c r="D131" s="30" t="str">
        <f aca="false">IF(ISNUMBER(C131)=FALSE(),"CHECK",IF(ABS(C131-B131)&lt;=50000,"OK","CHECK"))</f>
        <v>OK</v>
      </c>
      <c r="E131" s="45"/>
    </row>
    <row r="132" customFormat="false" ht="15" hidden="false" customHeight="false" outlineLevel="0" collapsed="false">
      <c r="A132" s="5" t="s">
        <v>537</v>
      </c>
      <c r="B132" s="33" t="n">
        <v>35400000</v>
      </c>
      <c r="C132" s="33" t="n">
        <f aca="false">'7. Cash flow'!D95</f>
        <v>35397949.7481646</v>
      </c>
      <c r="D132" s="30" t="str">
        <f aca="false">IF(ISNUMBER(C132)=FALSE(),"CHECK",IF(ABS(C132-B132)&lt;=50000,"OK","CHECK"))</f>
        <v>OK</v>
      </c>
      <c r="E132" s="45"/>
    </row>
    <row r="133" customFormat="false" ht="15" hidden="false" customHeight="false" outlineLevel="0" collapsed="false">
      <c r="A133" s="5" t="s">
        <v>538</v>
      </c>
      <c r="B133" s="33" t="n">
        <v>5800000</v>
      </c>
      <c r="C133" s="33" t="n">
        <f aca="false">'7. Cash flow'!D96</f>
        <v>5823374.26956076</v>
      </c>
      <c r="D133" s="30" t="str">
        <f aca="false">IF(ISNUMBER(C133)=FALSE(),"CHECK",IF(ABS(C133-B133)&lt;=50000,"OK","CHECK"))</f>
        <v>OK</v>
      </c>
      <c r="E133" s="45"/>
    </row>
    <row r="134" customFormat="false" ht="15" hidden="false" customHeight="false" outlineLevel="0" collapsed="false">
      <c r="A134" s="5" t="s">
        <v>539</v>
      </c>
      <c r="B134" s="33" t="n">
        <v>156100000</v>
      </c>
      <c r="C134" s="33" t="n">
        <f aca="false">'7. Cash flow'!D89</f>
        <v>156050490.443931</v>
      </c>
      <c r="D134" s="30" t="str">
        <f aca="false">IF(ISNUMBER(C134)=FALSE(),"CHECK",IF(ABS(C134-B134)&lt;=50000,"OK","CHECK"))</f>
        <v>OK</v>
      </c>
      <c r="E134" s="45"/>
    </row>
    <row r="135" customFormat="false" ht="15" hidden="false" customHeight="false" outlineLevel="0" collapsed="false">
      <c r="A135" s="5" t="s">
        <v>540</v>
      </c>
      <c r="B135" s="13" t="n">
        <v>0.736</v>
      </c>
      <c r="C135" s="13" t="n">
        <f aca="false">'7. Cash flow'!D98</f>
        <v>0.735846238608675</v>
      </c>
      <c r="D135" s="30" t="str">
        <f aca="false">IF(ISNUMBER(C135)=FALSE(),"CHECK",IF(ABS(C135-B135)&lt;=0.0005,"OK","CHECK"))</f>
        <v>OK</v>
      </c>
      <c r="E135" s="45"/>
    </row>
    <row r="136" customFormat="false" ht="15" hidden="false" customHeight="false" outlineLevel="0" collapsed="false">
      <c r="A136" s="5" t="s">
        <v>541</v>
      </c>
      <c r="B136" s="13" t="n">
        <v>0.227</v>
      </c>
      <c r="C136" s="13" t="n">
        <f aca="false">'7. Cash flow'!D99</f>
        <v>0.226836517126379</v>
      </c>
      <c r="D136" s="30" t="str">
        <f aca="false">IF(ISNUMBER(C136)=FALSE(),"CHECK",IF(ABS(C136-B136)&lt;=0.0005,"OK","CHECK"))</f>
        <v>OK</v>
      </c>
      <c r="E136" s="45"/>
    </row>
    <row r="137" customFormat="false" ht="15" hidden="false" customHeight="false" outlineLevel="0" collapsed="false">
      <c r="A137" s="5" t="s">
        <v>542</v>
      </c>
      <c r="B137" s="13" t="n">
        <v>0.037</v>
      </c>
      <c r="C137" s="13" t="n">
        <f aca="false">'7. Cash flow'!D100</f>
        <v>0.0373172442649458</v>
      </c>
      <c r="D137" s="30" t="str">
        <f aca="false">IF(ISNUMBER(C137)=FALSE(),"CHECK",IF(ABS(C137-B137)&lt;=0.0005,"OK","CHECK"))</f>
        <v>OK</v>
      </c>
      <c r="E137" s="45"/>
    </row>
    <row r="138" customFormat="false" ht="15" hidden="false" customHeight="false" outlineLevel="0" collapsed="false">
      <c r="A138" s="5" t="s">
        <v>543</v>
      </c>
      <c r="B138" s="33" t="n">
        <v>45700000</v>
      </c>
      <c r="C138" s="33" t="n">
        <f aca="false">'13. Credit, lender, seller'!$C$16</f>
        <v>45733506.7156863</v>
      </c>
      <c r="D138" s="30" t="str">
        <f aca="false">IF(ISNUMBER(C138)=FALSE(),"CHECK",IF(ABS(C138-B138)&lt;=50000,"OK","CHECK"))</f>
        <v>OK</v>
      </c>
      <c r="E138" s="45"/>
    </row>
    <row r="139" customFormat="false" ht="15" hidden="false" customHeight="false" outlineLevel="0" collapsed="false">
      <c r="A139" s="5" t="s">
        <v>544</v>
      </c>
      <c r="B139" s="33" t="n">
        <v>98700000</v>
      </c>
      <c r="C139" s="33" t="n">
        <f aca="false">'13. Credit, lender, seller'!$C$17</f>
        <v>98702592.5925926</v>
      </c>
      <c r="D139" s="30" t="str">
        <f aca="false">IF(ISNUMBER(C139)=FALSE(),"CHECK",IF(ABS(C139-B139)&lt;=50000,"OK","CHECK"))</f>
        <v>OK</v>
      </c>
      <c r="E139" s="45"/>
    </row>
    <row r="140" customFormat="false" ht="15" hidden="false" customHeight="false" outlineLevel="0" collapsed="false">
      <c r="A140" s="5" t="s">
        <v>545</v>
      </c>
      <c r="B140" s="33" t="n">
        <v>106700000</v>
      </c>
      <c r="C140" s="33" t="n">
        <f aca="false">'13. Credit, lender, seller'!$C$18</f>
        <v>106733333.333333</v>
      </c>
      <c r="D140" s="30" t="str">
        <f aca="false">IF(ISNUMBER(C140)=FALSE(),"CHECK",IF(ABS(C140-B140)&lt;=50000,"OK","CHECK"))</f>
        <v>OK</v>
      </c>
      <c r="E140" s="45"/>
    </row>
    <row r="141" customFormat="false" ht="15" hidden="false" customHeight="false" outlineLevel="0" collapsed="false">
      <c r="A141" s="5" t="s">
        <v>546</v>
      </c>
      <c r="B141" s="33" t="n">
        <v>134600000</v>
      </c>
      <c r="C141" s="33" t="n">
        <f aca="false">'13. Credit, lender, seller'!$C$19</f>
        <v>134594444.444444</v>
      </c>
      <c r="D141" s="30" t="str">
        <f aca="false">IF(ISNUMBER(C141)=FALSE(),"CHECK",IF(ABS(C141-B141)&lt;=50000,"OK","CHECK"))</f>
        <v>OK</v>
      </c>
      <c r="E141" s="45"/>
    </row>
    <row r="142" customFormat="false" ht="15" hidden="false" customHeight="false" outlineLevel="0" collapsed="false">
      <c r="A142" s="5" t="s">
        <v>547</v>
      </c>
      <c r="B142" s="13" t="n">
        <v>0.255</v>
      </c>
      <c r="C142" s="13" t="n">
        <f aca="false">'13. Credit, lender, seller'!$C$21</f>
        <v>0.254840607859729</v>
      </c>
      <c r="D142" s="30" t="str">
        <f aca="false">IF(ISNUMBER(C142)=FALSE(),"CHECK",IF(ABS(C142-B142)&lt;=0.0005,"OK","CHECK"))</f>
        <v>OK</v>
      </c>
      <c r="E142" s="45"/>
    </row>
    <row r="143" customFormat="false" ht="15" hidden="false" customHeight="false" outlineLevel="0" collapsed="false">
      <c r="A143" s="5" t="s">
        <v>548</v>
      </c>
      <c r="B143" s="33" t="n">
        <v>137300000</v>
      </c>
      <c r="C143" s="33" t="n">
        <f aca="false">'13. Credit, lender, seller'!$C$22</f>
        <v>137314937.728758</v>
      </c>
      <c r="D143" s="30" t="str">
        <f aca="false">IF(ISNUMBER(C143)=FALSE(),"CHECK",IF(ABS(C143-B143)&lt;=50000,"OK","CHECK"))</f>
        <v>OK</v>
      </c>
      <c r="E143" s="45"/>
    </row>
    <row r="144" customFormat="false" ht="15" hidden="false" customHeight="false" outlineLevel="0" collapsed="false">
      <c r="A144" s="5" t="s">
        <v>549</v>
      </c>
      <c r="B144" s="33" t="n">
        <v>54200000</v>
      </c>
      <c r="C144" s="33" t="n">
        <f aca="false">'13. Credit, lender, seller'!$C$23</f>
        <v>54163107.3366013</v>
      </c>
      <c r="D144" s="30" t="str">
        <f aca="false">IF(ISNUMBER(C144)=FALSE(),"CHECK",IF(ABS(C144-B144)&lt;=50000,"OK","CHECK"))</f>
        <v>OK</v>
      </c>
      <c r="E144" s="45"/>
    </row>
    <row r="145" customFormat="false" ht="15" hidden="false" customHeight="false" outlineLevel="0" collapsed="false">
      <c r="A145" s="5" t="s">
        <v>550</v>
      </c>
      <c r="B145" s="35" t="n">
        <v>0.0683</v>
      </c>
      <c r="C145" s="35" t="n">
        <f aca="false">'13. Credit, lender, seller'!$C$25</f>
        <v>0.0683175841669079</v>
      </c>
      <c r="D145" s="30" t="str">
        <f aca="false">IF(ISNUMBER(C145)=FALSE(),"CHECK",IF(ABS(C145-B145)&lt;=0.00005,"OK","CHECK"))</f>
        <v>OK</v>
      </c>
      <c r="E145" s="45"/>
    </row>
    <row r="146" customFormat="false" ht="15" hidden="false" customHeight="false" outlineLevel="0" collapsed="false">
      <c r="A146" s="5" t="s">
        <v>551</v>
      </c>
      <c r="B146" s="35" t="n">
        <v>0.0714</v>
      </c>
      <c r="C146" s="35" t="n">
        <f aca="false">'13. Credit, lender, seller'!$C$26</f>
        <v>0.0713686190786866</v>
      </c>
      <c r="D146" s="30" t="str">
        <f aca="false">IF(ISNUMBER(C146)=FALSE(),"CHECK",IF(ABS(C146-B146)&lt;=0.00005,"OK","CHECK"))</f>
        <v>OK</v>
      </c>
      <c r="E146" s="45"/>
    </row>
    <row r="147" customFormat="false" ht="15" hidden="false" customHeight="false" outlineLevel="0" collapsed="false">
      <c r="A147" s="5" t="s">
        <v>552</v>
      </c>
      <c r="B147" s="35" t="n">
        <v>0.0529</v>
      </c>
      <c r="C147" s="35" t="n">
        <f aca="false">'13. Credit, lender, seller'!$C$27</f>
        <v>0.0528681351316365</v>
      </c>
      <c r="D147" s="30" t="str">
        <f aca="false">IF(ISNUMBER(C147)=FALSE(),"CHECK",IF(ABS(C147-B147)&lt;=0.00005,"OK","CHECK"))</f>
        <v>OK</v>
      </c>
      <c r="E147" s="45"/>
    </row>
    <row r="148" customFormat="false" ht="15" hidden="false" customHeight="false" outlineLevel="0" collapsed="false">
      <c r="A148" s="5" t="s">
        <v>553</v>
      </c>
      <c r="B148" s="35" t="n">
        <v>0.0188</v>
      </c>
      <c r="C148" s="35" t="n">
        <f aca="false">'13. Credit, lender, seller'!$C$28</f>
        <v>0.0188175841669079</v>
      </c>
      <c r="D148" s="30" t="str">
        <f aca="false">IF(ISNUMBER(C148)=FALSE(),"CHECK",IF(ABS(C148-B148)&lt;=0.00005,"OK","CHECK"))</f>
        <v>OK</v>
      </c>
      <c r="E148" s="45"/>
    </row>
    <row r="149" customFormat="false" ht="15" hidden="false" customHeight="false" outlineLevel="0" collapsed="false">
      <c r="A149" s="5" t="s">
        <v>554</v>
      </c>
      <c r="B149" s="35" t="n">
        <v>0.0038</v>
      </c>
      <c r="C149" s="35" t="n">
        <f aca="false">'13. Credit, lender, seller'!$C$29</f>
        <v>0.00381758416690792</v>
      </c>
      <c r="D149" s="30" t="str">
        <f aca="false">IF(ISNUMBER(C149)=FALSE(),"CHECK",IF(ABS(C149-B149)&lt;=0.00005,"OK","CHECK"))</f>
        <v>OK</v>
      </c>
      <c r="E149" s="45"/>
    </row>
    <row r="150" customFormat="false" ht="15" hidden="false" customHeight="false" outlineLevel="0" collapsed="false">
      <c r="A150" s="5" t="s">
        <v>555</v>
      </c>
      <c r="B150" s="33" t="n">
        <v>75100000</v>
      </c>
      <c r="C150" s="33" t="n">
        <f aca="false">'13. Credit, lender, seller'!$C$30</f>
        <v>75099201.2920267</v>
      </c>
      <c r="D150" s="30" t="str">
        <f aca="false">IF(ISNUMBER(C150)=FALSE(),"CHECK",IF(ABS(C150-B150)&lt;=50000,"OK","CHECK"))</f>
        <v>OK</v>
      </c>
      <c r="E150" s="45"/>
    </row>
    <row r="151" customFormat="false" ht="15" hidden="false" customHeight="false" outlineLevel="0" collapsed="false">
      <c r="A151" s="5" t="s">
        <v>556</v>
      </c>
      <c r="C151" s="20" t="str">
        <f aca="false">IF(ABS('13. Credit, lender, seller'!$C$10-'13. Credit, lender, seller'!$C$27)&lt;0.000000001,"OK","CHECK")</f>
        <v>OK</v>
      </c>
      <c r="D151" s="30" t="str">
        <f aca="false">IF(C151="","",IF(C151="OK","OK","CHECK"))</f>
        <v>OK</v>
      </c>
      <c r="E151" s="45" t="s">
        <v>438</v>
      </c>
    </row>
    <row r="152" customFormat="false" ht="15" hidden="false" customHeight="false" outlineLevel="0" collapsed="false">
      <c r="A152" s="5" t="s">
        <v>557</v>
      </c>
      <c r="B152" s="33" t="n">
        <v>177700000</v>
      </c>
      <c r="C152" s="33" t="n">
        <f aca="false">'13. Credit, lender, seller'!$C$32</f>
        <v>177664666.666667</v>
      </c>
      <c r="D152" s="30" t="str">
        <f aca="false">IF(ISNUMBER(C152)=FALSE(),"CHECK",IF(ABS(C152-B152)&lt;=50000,"OK","CHECK"))</f>
        <v>OK</v>
      </c>
      <c r="E152" s="45"/>
    </row>
    <row r="153" customFormat="false" ht="15" hidden="false" customHeight="false" outlineLevel="0" collapsed="false">
      <c r="A153" s="5" t="s">
        <v>558</v>
      </c>
      <c r="B153" s="33" t="n">
        <v>162300000</v>
      </c>
      <c r="C153" s="33" t="n">
        <f aca="false">'13. Credit, lender, seller'!$C$33</f>
        <v>162335333.333333</v>
      </c>
      <c r="D153" s="30" t="str">
        <f aca="false">IF(ISNUMBER(C153)=FALSE(),"CHECK",IF(ABS(C153-B153)&lt;=50000,"OK","CHECK"))</f>
        <v>OK</v>
      </c>
      <c r="E153" s="45"/>
    </row>
    <row r="154" customFormat="false" ht="15" hidden="false" customHeight="false" outlineLevel="0" collapsed="false">
      <c r="A154" s="5" t="s">
        <v>559</v>
      </c>
      <c r="B154" s="33" t="n">
        <v>154400000</v>
      </c>
      <c r="C154" s="33" t="n">
        <f aca="false">'13. Credit, lender, seller'!$C$34</f>
        <v>154388849.791213</v>
      </c>
      <c r="D154" s="30" t="str">
        <f aca="false">IF(ISNUMBER(C154)=FALSE(),"CHECK",IF(ABS(C154-B154)&lt;=50000,"OK","CHECK"))</f>
        <v>OK</v>
      </c>
      <c r="E154" s="45"/>
    </row>
    <row r="155" customFormat="false" ht="15" hidden="false" customHeight="false" outlineLevel="0" collapsed="false">
      <c r="A155" s="5" t="s">
        <v>560</v>
      </c>
      <c r="B155" s="33" t="n">
        <v>316700000</v>
      </c>
      <c r="C155" s="33" t="n">
        <f aca="false">'13. Credit, lender, seller'!$C$35</f>
        <v>316724183.124547</v>
      </c>
      <c r="D155" s="30" t="str">
        <f aca="false">IF(ISNUMBER(C155)=FALSE(),"CHECK",IF(ABS(C155-B155)&lt;=50000,"OK","CHECK"))</f>
        <v>OK</v>
      </c>
      <c r="E155" s="45"/>
    </row>
    <row r="156" customFormat="false" ht="15" hidden="false" customHeight="false" outlineLevel="0" collapsed="false">
      <c r="A156" s="5" t="s">
        <v>561</v>
      </c>
      <c r="B156" s="33" t="n">
        <v>23300000</v>
      </c>
      <c r="C156" s="33" t="n">
        <f aca="false">'13. Credit, lender, seller'!$C$36</f>
        <v>23275816.8754532</v>
      </c>
      <c r="D156" s="30" t="str">
        <f aca="false">IF(ISNUMBER(C156)=FALSE(),"CHECK",IF(ABS(C156-B156)&lt;=50000,"OK","CHECK"))</f>
        <v>OK</v>
      </c>
      <c r="E156" s="45"/>
    </row>
    <row r="157" customFormat="false" ht="15" hidden="false" customHeight="false" outlineLevel="0" collapsed="false">
      <c r="A157" s="5" t="s">
        <v>562</v>
      </c>
      <c r="B157" s="13" t="n">
        <v>0.131</v>
      </c>
      <c r="C157" s="13" t="n">
        <f aca="false">'13. Credit, lender, seller'!$C$37</f>
        <v>0.131009824925533</v>
      </c>
      <c r="D157" s="30" t="str">
        <f aca="false">IF(ISNUMBER(C157)=FALSE(),"CHECK",IF(ABS(C157-B157)&lt;=0.0005,"OK","CHECK"))</f>
        <v>OK</v>
      </c>
      <c r="E157" s="45"/>
    </row>
    <row r="158" customFormat="false" ht="15" hidden="false" customHeight="false" outlineLevel="0" collapsed="false">
      <c r="A158" s="5" t="s">
        <v>563</v>
      </c>
      <c r="B158" s="31" t="n">
        <v>5.86</v>
      </c>
      <c r="C158" s="31" t="n">
        <f aca="false">'13. Credit, lender, seller'!$C$38</f>
        <v>5.86206896551724</v>
      </c>
      <c r="D158" s="30" t="str">
        <f aca="false">IF(ISNUMBER(C158)=FALSE(),"CHECK",IF(ABS(C158-B158)&lt;=0.005,"OK","CHECK"))</f>
        <v>OK</v>
      </c>
      <c r="E158" s="45"/>
    </row>
    <row r="159" customFormat="false" ht="15" hidden="false" customHeight="false" outlineLevel="0" collapsed="false">
      <c r="A159" s="5" t="s">
        <v>564</v>
      </c>
      <c r="B159" s="31" t="n">
        <v>5.46</v>
      </c>
      <c r="C159" s="31" t="n">
        <f aca="false">'13. Credit, lender, seller'!$C$39</f>
        <v>5.46076177800943</v>
      </c>
      <c r="D159" s="30" t="str">
        <f aca="false">IF(ISNUMBER(C159)=FALSE(),"CHECK",IF(ABS(C159-B159)&lt;=0.005,"OK","CHECK"))</f>
        <v>OK</v>
      </c>
      <c r="E159" s="45"/>
    </row>
    <row r="160" customFormat="false" ht="15" hidden="false" customHeight="false" outlineLevel="0" collapsed="false">
      <c r="A160" s="5" t="s">
        <v>565</v>
      </c>
      <c r="B160" s="31" t="n">
        <v>3.54</v>
      </c>
      <c r="C160" s="31" t="n">
        <f aca="false">'13. Credit, lender, seller'!$C$40</f>
        <v>3.53775801887992</v>
      </c>
      <c r="D160" s="30" t="str">
        <f aca="false">IF(ISNUMBER(C160)=FALSE(),"CHECK",IF(ABS(C160-B160)&lt;=0.005,"OK","CHECK"))</f>
        <v>OK</v>
      </c>
      <c r="E160" s="45"/>
    </row>
    <row r="161" customFormat="false" ht="15" hidden="false" customHeight="false" outlineLevel="0" collapsed="false">
      <c r="A161" s="5" t="s">
        <v>566</v>
      </c>
      <c r="B161" s="33" t="n">
        <v>136700000</v>
      </c>
      <c r="C161" s="33" t="n">
        <f aca="false">'13. Credit, lender, seller'!$C$42</f>
        <v>136683403.545498</v>
      </c>
      <c r="D161" s="30" t="str">
        <f aca="false">IF(ISNUMBER(C161)=FALSE(),"CHECK",IF(ABS(C161-B161)&lt;=50000,"OK","CHECK"))</f>
        <v>OK</v>
      </c>
      <c r="E161" s="45"/>
    </row>
    <row r="162" customFormat="false" ht="15" hidden="false" customHeight="false" outlineLevel="0" collapsed="false">
      <c r="A162" s="5" t="s">
        <v>567</v>
      </c>
      <c r="B162" s="33" t="n">
        <v>300300000</v>
      </c>
      <c r="C162" s="33" t="n">
        <f aca="false">'13. Credit, lender, seller'!$C$43</f>
        <v>300259630.094789</v>
      </c>
      <c r="D162" s="30" t="str">
        <f aca="false">IF(ISNUMBER(C162)=FALSE(),"CHECK",IF(ABS(C162-B162)&lt;=50000,"OK","CHECK"))</f>
        <v>OK</v>
      </c>
      <c r="E162" s="45"/>
    </row>
    <row r="163" customFormat="false" ht="15" hidden="false" customHeight="false" outlineLevel="0" collapsed="false">
      <c r="A163" s="5" t="s">
        <v>568</v>
      </c>
      <c r="B163" s="33" t="n">
        <v>80100000</v>
      </c>
      <c r="C163" s="33" t="n">
        <f aca="false">'5. Decomposition'!C57</f>
        <v>80076304.4749517</v>
      </c>
      <c r="D163" s="30" t="str">
        <f aca="false">IF(ISNUMBER(C163)=FALSE(),"CHECK",IF(ABS(C163-B163)&lt;=50000,"OK","CHECK"))</f>
        <v>OK</v>
      </c>
      <c r="E163" s="45"/>
    </row>
    <row r="164" customFormat="false" ht="15" hidden="false" customHeight="false" outlineLevel="0" collapsed="false">
      <c r="A164" s="5" t="s">
        <v>569</v>
      </c>
      <c r="B164" s="33" t="n">
        <v>79700000</v>
      </c>
      <c r="C164" s="33" t="n">
        <f aca="false">(1-'3. Assumptions'!$B$15)*SUMPRODUCT((('2. The tape'!$C$5:$C$13*'2. The tape'!$D$5:$D$13*(1-'2. The tape'!$J$5:$J$13)^(6)*(1+'3. Assumptions'!$B$12)^(6)*((1-'3. Assumptions'!$B$13)/('3. Assumptions'!$B$5)-'2. The tape'!$H$5:$H$13/12-'3. Assumptions'!$B$16)-'2. The tape'!$C$5:$C$13*'2. The tape'!$I$5:$I$13*(1+'3. Assumptions'!$B$12)^(6))&gt;0)*('2. The tape'!$C$5:$C$13*'2. The tape'!$D$5:$D$13*(1-'2. The tape'!$J$5:$J$13)^(6)*(1+'3. Assumptions'!$B$12)^(6)*((1-'3. Assumptions'!$B$13)/('3. Assumptions'!$B$5)-'2. The tape'!$H$5:$H$13/12-'3. Assumptions'!$B$16)-'2. The tape'!$C$5:$C$13*'2. The tape'!$I$5:$I$13*(1+'3. Assumptions'!$B$12)^(6)))</f>
        <v>79700925.1817852</v>
      </c>
      <c r="D164" s="30" t="str">
        <f aca="false">IF(ISNUMBER(C164)=FALSE(),"CHECK",IF(ABS(C164-B164)&lt;=50000,"OK","CHECK"))</f>
        <v>OK</v>
      </c>
      <c r="E164" s="45"/>
    </row>
    <row r="165" customFormat="false" ht="15" hidden="false" customHeight="false" outlineLevel="0" collapsed="false">
      <c r="A165" s="5" t="s">
        <v>570</v>
      </c>
      <c r="B165" s="33" t="n">
        <v>1000000</v>
      </c>
      <c r="C165" s="33" t="n">
        <f aca="false">'2. The tape'!C17/12</f>
        <v>1009458.33333333</v>
      </c>
      <c r="D165" s="30" t="str">
        <f aca="false">IF(ISNUMBER(C165)=FALSE(),"CHECK",IF(ABS(C165-B165)&lt;=50000,"OK","CHECK"))</f>
        <v>OK</v>
      </c>
      <c r="E165" s="45"/>
    </row>
    <row r="166" customFormat="false" ht="15" hidden="false" customHeight="false" outlineLevel="0" collapsed="false">
      <c r="A166" s="5" t="s">
        <v>571</v>
      </c>
      <c r="B166" s="33" t="n">
        <v>219600000</v>
      </c>
      <c r="C166" s="33" t="n">
        <f aca="false">'10. Sensitivities'!B15</f>
        <v>219604804.327798</v>
      </c>
      <c r="D166" s="30" t="str">
        <f aca="false">IF(ISNUMBER(C166)=FALSE(),"CHECK",IF(ABS(C166-B166)&lt;=50000,"OK","CHECK"))</f>
        <v>OK</v>
      </c>
      <c r="E166" s="45" t="s">
        <v>572</v>
      </c>
    </row>
    <row r="167" customFormat="false" ht="15" hidden="false" customHeight="false" outlineLevel="0" collapsed="false">
      <c r="A167" s="5" t="s">
        <v>573</v>
      </c>
      <c r="B167" s="33" t="n">
        <v>122400000</v>
      </c>
      <c r="C167" s="33" t="n">
        <f aca="false">'10. Sensitivities'!B16</f>
        <v>122400220.24781</v>
      </c>
      <c r="D167" s="30" t="str">
        <f aca="false">IF(ISNUMBER(C167)=FALSE(),"CHECK",IF(ABS(C167-B167)&lt;=50000,"OK","CHECK"))</f>
        <v>OK</v>
      </c>
      <c r="E167" s="45" t="s">
        <v>574</v>
      </c>
    </row>
    <row r="168" customFormat="false" ht="15" hidden="false" customHeight="false" outlineLevel="0" collapsed="false">
      <c r="A168" s="5" t="s">
        <v>575</v>
      </c>
      <c r="B168" s="33" t="n">
        <v>163700000</v>
      </c>
      <c r="C168" s="33" t="n">
        <f aca="false">'10. Sensitivities'!B17</f>
        <v>163695102.539738</v>
      </c>
      <c r="D168" s="30" t="str">
        <f aca="false">IF(ISNUMBER(C168)=FALSE(),"CHECK",IF(ABS(C168-B168)&lt;=50000,"OK","CHECK"))</f>
        <v>OK</v>
      </c>
      <c r="E168" s="45" t="s">
        <v>576</v>
      </c>
    </row>
    <row r="169" customFormat="false" ht="15" hidden="false" customHeight="false" outlineLevel="0" collapsed="false">
      <c r="A169" s="5" t="s">
        <v>577</v>
      </c>
      <c r="B169" s="33" t="n">
        <v>146000000</v>
      </c>
      <c r="C169" s="33" t="n">
        <f aca="false">'10. Sensitivities'!B18</f>
        <v>145992177.929068</v>
      </c>
      <c r="D169" s="30" t="str">
        <f aca="false">IF(ISNUMBER(C169)=FALSE(),"CHECK",IF(ABS(C169-B169)&lt;=50000,"OK","CHECK"))</f>
        <v>OK</v>
      </c>
      <c r="E169" s="45" t="s">
        <v>578</v>
      </c>
    </row>
    <row r="170" customFormat="false" ht="15" hidden="false" customHeight="false" outlineLevel="0" collapsed="false">
      <c r="A170" s="5" t="s">
        <v>579</v>
      </c>
      <c r="B170" s="33" t="n">
        <v>147600000</v>
      </c>
      <c r="C170" s="33" t="n">
        <f aca="false">'10. Sensitivities'!B19</f>
        <v>147612608.490256</v>
      </c>
      <c r="D170" s="30" t="str">
        <f aca="false">IF(ISNUMBER(C170)=FALSE(),"CHECK",IF(ABS(C170-B170)&lt;=50000,"OK","CHECK"))</f>
        <v>OK</v>
      </c>
      <c r="E170" s="45" t="s">
        <v>580</v>
      </c>
    </row>
    <row r="171" customFormat="false" ht="15" hidden="false" customHeight="false" outlineLevel="0" collapsed="false">
      <c r="A171" s="5" t="s">
        <v>581</v>
      </c>
      <c r="B171" s="33" t="n">
        <v>148900000</v>
      </c>
      <c r="C171" s="33" t="n">
        <f aca="false">'10. Sensitivities'!B20</f>
        <v>148851006.001461</v>
      </c>
      <c r="D171" s="30" t="str">
        <f aca="false">IF(ISNUMBER(C171)=FALSE(),"CHECK",IF(ABS(C171-B171)&lt;=50000,"OK","CHECK"))</f>
        <v>OK</v>
      </c>
      <c r="E171" s="45" t="s">
        <v>582</v>
      </c>
    </row>
    <row r="172" customFormat="false" ht="15" hidden="false" customHeight="false" outlineLevel="0" collapsed="false">
      <c r="A172" s="5" t="s">
        <v>583</v>
      </c>
      <c r="B172" s="33" t="n">
        <v>151800000</v>
      </c>
      <c r="C172" s="33" t="n">
        <f aca="false">'10. Sensitivities'!B21</f>
        <v>151813302.734761</v>
      </c>
      <c r="D172" s="30" t="str">
        <f aca="false">IF(ISNUMBER(C172)=FALSE(),"CHECK",IF(ABS(C172-B172)&lt;=50000,"OK","CHECK"))</f>
        <v>OK</v>
      </c>
      <c r="E172" s="45" t="s">
        <v>584</v>
      </c>
    </row>
    <row r="173" customFormat="false" ht="15" hidden="false" customHeight="false" outlineLevel="0" collapsed="false">
      <c r="A173" s="5" t="s">
        <v>585</v>
      </c>
      <c r="B173" s="33" t="n">
        <v>153500000</v>
      </c>
      <c r="C173" s="33" t="n">
        <f aca="false">'10. Sensitivities'!B22</f>
        <v>153468378.506958</v>
      </c>
      <c r="D173" s="30" t="str">
        <f aca="false">IF(ISNUMBER(C173)=FALSE(),"CHECK",IF(ABS(C173-B173)&lt;=50000,"OK","CHECK"))</f>
        <v>OK</v>
      </c>
      <c r="E173" s="45" t="s">
        <v>586</v>
      </c>
    </row>
    <row r="174" customFormat="false" ht="15" hidden="false" customHeight="false" outlineLevel="0" collapsed="false">
      <c r="A174" s="5" t="s">
        <v>587</v>
      </c>
      <c r="C174" s="20" t="str">
        <f aca="false">IF(AND('10. Sensitivities'!E15&lt;=2,'10. Sensitivities'!E16&lt;=2),"OK","CHECK")</f>
        <v>OK</v>
      </c>
      <c r="D174" s="30" t="str">
        <f aca="false">IF(C174="","",IF(C174="OK","OK","CHECK"))</f>
        <v>OK</v>
      </c>
      <c r="E174" s="45"/>
    </row>
    <row r="175" customFormat="false" ht="15" hidden="false" customHeight="false" outlineLevel="0" collapsed="false">
      <c r="A175" s="5" t="s">
        <v>588</v>
      </c>
      <c r="B175" s="35" t="n">
        <v>0.0792</v>
      </c>
      <c r="C175" s="35" t="n">
        <f aca="false">'2. The tape'!C17/'7. Cash flow'!D90</f>
        <v>0.0791780273477541</v>
      </c>
      <c r="D175" s="30" t="str">
        <f aca="false">IF(ISNUMBER(C175)=FALSE(),"CHECK",IF(ABS(C175-B175)&lt;=0.00005,"OK","CHECK"))</f>
        <v>OK</v>
      </c>
      <c r="E175" s="45"/>
    </row>
    <row r="176" customFormat="false" ht="15" hidden="false" customHeight="false" outlineLevel="0" collapsed="false">
      <c r="A176" s="5" t="s">
        <v>589</v>
      </c>
      <c r="B176" s="35" t="n">
        <v>0.0768</v>
      </c>
      <c r="C176" s="35" t="n">
        <f aca="false">'2. The tape'!C17*(1-'3. Assumptions'!$B$13)/('7. Cash flow'!D90*(1+'3. Assumptions'!$B$14))</f>
        <v>0.0768492618375261</v>
      </c>
      <c r="D176" s="30" t="str">
        <f aca="false">IF(ISNUMBER(C176)=FALSE(),"CHECK",IF(ABS(C176-B176)&lt;=0.00005,"OK","CHECK"))</f>
        <v>OK</v>
      </c>
      <c r="E176" s="45"/>
    </row>
    <row r="177" customFormat="false" ht="15" hidden="false" customHeight="false" outlineLevel="0" collapsed="false">
      <c r="A177" s="5" t="s">
        <v>590</v>
      </c>
      <c r="B177" s="13" t="n">
        <v>0.075</v>
      </c>
      <c r="C177" s="13" t="n">
        <f aca="false">'7. Cash flow'!D90/('2. The tape'!C16/'3. Assumptions'!$B$4)-1</f>
        <v>0.0750437946223697</v>
      </c>
      <c r="D177" s="30" t="str">
        <f aca="false">IF(ISNUMBER(C177)=FALSE(),"CHECK",IF(ABS(C177-B177)&lt;=0.0005,"OK","CHECK"))</f>
        <v>OK</v>
      </c>
      <c r="E177" s="45"/>
    </row>
    <row r="178" customFormat="false" ht="15" hidden="false" customHeight="false" outlineLevel="0" collapsed="false">
      <c r="A178" s="5" t="s">
        <v>591</v>
      </c>
      <c r="B178" s="33" t="n">
        <v>152000000</v>
      </c>
      <c r="C178" s="33" t="n">
        <f aca="false">'3. Assumptions'!$B$19/1.9/'3. Assumptions'!$B$4</f>
        <v>152046783.625731</v>
      </c>
      <c r="D178" s="30" t="str">
        <f aca="false">IF(ISNUMBER(C178)=FALSE(),"CHECK",IF(ABS(C178-B178)&lt;=50000,"OK","CHECK"))</f>
        <v>OK</v>
      </c>
      <c r="E178" s="45"/>
    </row>
    <row r="179" customFormat="false" ht="15" hidden="false" customHeight="false" outlineLevel="0" collapsed="false">
      <c r="A179" s="5" t="s">
        <v>592</v>
      </c>
      <c r="B179" s="33" t="n">
        <v>137600000</v>
      </c>
      <c r="C179" s="33" t="n">
        <f aca="false">'3. Assumptions'!$B$19/2.1/'3. Assumptions'!$B$4</f>
        <v>137566137.566138</v>
      </c>
      <c r="D179" s="30" t="str">
        <f aca="false">IF(ISNUMBER(C179)=FALSE(),"CHECK",IF(ABS(C179-B179)&lt;=50000,"OK","CHECK"))</f>
        <v>OK</v>
      </c>
      <c r="E179" s="45"/>
    </row>
    <row r="180" customFormat="false" ht="15" hidden="false" customHeight="false" outlineLevel="0" collapsed="false">
      <c r="A180" s="5" t="s">
        <v>593</v>
      </c>
      <c r="B180" s="35" t="n">
        <v>0.0323</v>
      </c>
      <c r="C180" s="35" t="n">
        <f aca="false">'11. Inversions'!C21</f>
        <v>0.032285034807498</v>
      </c>
      <c r="D180" s="30" t="str">
        <f aca="false">IF(ISNUMBER(C180)=FALSE(),"CHECK",IF(ABS(C180-B180)&lt;=0.00005,"OK","CHECK"))</f>
        <v>OK</v>
      </c>
      <c r="E180" s="45"/>
    </row>
    <row r="181" customFormat="false" ht="15" hidden="false" customHeight="false" outlineLevel="0" collapsed="false">
      <c r="A181" s="5" t="s">
        <v>594</v>
      </c>
      <c r="B181" s="35" t="n">
        <v>0.0572</v>
      </c>
      <c r="C181" s="35" t="n">
        <f aca="false">'11. Inversions'!C24</f>
        <v>0.0572438162404894</v>
      </c>
      <c r="D181" s="30" t="str">
        <f aca="false">IF(ISNUMBER(C181)=FALSE(),"CHECK",IF(ABS(C181-B181)&lt;=0.00005,"OK","CHECK"))</f>
        <v>OK</v>
      </c>
      <c r="E181" s="45"/>
    </row>
    <row r="182" customFormat="false" ht="15" hidden="false" customHeight="false" outlineLevel="0" collapsed="false">
      <c r="A182" s="5" t="s">
        <v>595</v>
      </c>
      <c r="B182" s="35" t="n">
        <v>-0.0262</v>
      </c>
      <c r="C182" s="35" t="n">
        <f aca="false">'11. Inversions'!C22</f>
        <v>-0.0262111098518936</v>
      </c>
      <c r="D182" s="30" t="str">
        <f aca="false">IF(ISNUMBER(C182)=FALSE(),"CHECK",IF(ABS(C182-B182)&lt;=0.00005,"OK","CHECK"))</f>
        <v>OK</v>
      </c>
      <c r="E182" s="45" t="s">
        <v>596</v>
      </c>
    </row>
    <row r="183" customFormat="false" ht="15" hidden="false" customHeight="false" outlineLevel="0" collapsed="false">
      <c r="A183" s="5" t="s">
        <v>597</v>
      </c>
      <c r="C183" s="20" t="str">
        <f aca="false">IF('11. Inversions'!B8&lt;'11. Inversions'!B4,"OK","CHECK")</f>
        <v>OK</v>
      </c>
      <c r="D183" s="30" t="str">
        <f aca="false">IF(C183="","",IF(C183="OK","OK","CHECK"))</f>
        <v>OK</v>
      </c>
      <c r="E183" s="45"/>
    </row>
    <row r="184" customFormat="false" ht="15" hidden="false" customHeight="false" outlineLevel="0" collapsed="false">
      <c r="A184" s="5" t="s">
        <v>598</v>
      </c>
      <c r="C184" s="20" t="str">
        <f aca="false">IF('11. Inversions'!E23&lt;'11. Inversions'!B4,"OK","CHECK")</f>
        <v>OK</v>
      </c>
      <c r="D184" s="30" t="str">
        <f aca="false">IF(C184="","",IF(C184="OK","OK","CHECK"))</f>
        <v>OK</v>
      </c>
      <c r="E184" s="45"/>
    </row>
    <row r="185" customFormat="false" ht="15" hidden="false" customHeight="false" outlineLevel="0" collapsed="false">
      <c r="A185" s="5" t="s">
        <v>599</v>
      </c>
      <c r="C185" s="20" t="str">
        <f aca="false">IF(AND(ABS('11. Inversions'!E22-'11. Inversions'!B4)&lt;1,ABS('11. Inversions'!E24-'11. Inversions'!B4)&lt;1),"OK","CHECK")</f>
        <v>OK</v>
      </c>
      <c r="D185" s="30" t="str">
        <f aca="false">IF(C185="","",IF(C185="OK","OK","CHECK"))</f>
        <v>OK</v>
      </c>
      <c r="E185" s="45"/>
    </row>
    <row r="186" customFormat="false" ht="15" hidden="false" customHeight="false" outlineLevel="0" collapsed="false">
      <c r="A186" s="5" t="s">
        <v>600</v>
      </c>
      <c r="B186" s="35" t="n">
        <v>0.1</v>
      </c>
      <c r="C186" s="35" t="n">
        <f aca="false">'10. Sensitivities'!B28</f>
        <v>0.1</v>
      </c>
      <c r="D186" s="30" t="str">
        <f aca="false">IF(ISNUMBER(C186)=FALSE(),"CHECK",IF(ABS(C186-B186)&lt;=0.00005,"OK","CHECK"))</f>
        <v>OK</v>
      </c>
      <c r="E186" s="45"/>
    </row>
    <row r="187" customFormat="false" ht="15" hidden="false" customHeight="false" outlineLevel="0" collapsed="false">
      <c r="A187" s="5" t="s">
        <v>601</v>
      </c>
      <c r="B187" s="33" t="n">
        <v>133200000</v>
      </c>
      <c r="C187" s="33" t="n">
        <f aca="false">'10. Sensitivities'!C28</f>
        <v>133197999.477064</v>
      </c>
      <c r="D187" s="30" t="str">
        <f aca="false">IF(ISNUMBER(C187)=FALSE(),"CHECK",IF(ABS(C187-B187)&lt;=50000,"OK","CHECK"))</f>
        <v>OK</v>
      </c>
      <c r="E187" s="45"/>
    </row>
    <row r="188" customFormat="false" ht="15" hidden="false" customHeight="false" outlineLevel="0" collapsed="false">
      <c r="A188" s="5" t="s">
        <v>602</v>
      </c>
      <c r="B188" s="33" t="n">
        <v>-19800000</v>
      </c>
      <c r="C188" s="33" t="n">
        <f aca="false">'10. Sensitivities'!D28</f>
        <v>-19792677.4287515</v>
      </c>
      <c r="D188" s="30" t="str">
        <f aca="false">IF(ISNUMBER(C188)=FALSE(),"CHECK",IF(ABS(C188-B188)&lt;=50000,"OK","CHECK"))</f>
        <v>OK</v>
      </c>
      <c r="E188" s="45"/>
    </row>
    <row r="189" customFormat="false" ht="15" hidden="false" customHeight="false" outlineLevel="0" collapsed="false">
      <c r="A189" s="5" t="s">
        <v>603</v>
      </c>
      <c r="B189" s="13" t="n">
        <v>0.017</v>
      </c>
      <c r="C189" s="13" t="n">
        <f aca="false">1-(1+MIN(MAX('3. Assumptions'!$B$12,'3. Assumptions'!$B$11),'3. Assumptions'!$B$10))/1.04</f>
        <v>0.0173076923076924</v>
      </c>
      <c r="D189" s="30" t="str">
        <f aca="false">IF(ISNUMBER(C189)=FALSE(),"CHECK",IF(ABS(C189-B189)&lt;=0.0005,"OK","CHECK"))</f>
        <v>OK</v>
      </c>
      <c r="E189" s="45"/>
    </row>
    <row r="190" customFormat="false" ht="15" hidden="false" customHeight="false" outlineLevel="0" collapsed="false">
      <c r="A190" s="5" t="s">
        <v>604</v>
      </c>
      <c r="B190" s="35" t="n">
        <v>0.0668</v>
      </c>
      <c r="C190" s="35" t="n">
        <f aca="false">'3. Assumptions'!$B$4*(1-'3. Assumptions'!$B$13)</f>
        <v>0.066825</v>
      </c>
      <c r="D190" s="30" t="str">
        <f aca="false">IF(ISNUMBER(C190)=FALSE(),"CHECK",IF(ABS(C190-B190)&lt;=0.00005,"OK","CHECK"))</f>
        <v>OK</v>
      </c>
      <c r="E190" s="45"/>
    </row>
    <row r="191" customFormat="false" ht="15" hidden="false" customHeight="false" outlineLevel="0" collapsed="false">
      <c r="A191" s="5" t="s">
        <v>605</v>
      </c>
      <c r="B191" s="35" t="n">
        <v>0.0655</v>
      </c>
      <c r="C191" s="35" t="n">
        <f aca="false">'3. Assumptions'!$B$4*(1-'3. Assumptions'!$B$13)/(1+'3. Assumptions'!$B$14)</f>
        <v>0.065514705882353</v>
      </c>
      <c r="D191" s="30" t="str">
        <f aca="false">IF(ISNUMBER(C191)=FALSE(),"CHECK",IF(ABS(C191-B191)&lt;=0.00005,"OK","CHECK"))</f>
        <v>OK</v>
      </c>
      <c r="E191" s="45"/>
    </row>
    <row r="192" customFormat="false" ht="15" hidden="false" customHeight="false" outlineLevel="0" collapsed="false">
      <c r="A192" s="5" t="s">
        <v>606</v>
      </c>
      <c r="C192" s="20" t="str">
        <f aca="false">IF(ABS('14. Scenario engine'!B11-(SUMPRODUCT((1-(('3.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Assumptions'!$B$14))&lt;0.01,"OK","CHECK")</f>
        <v>OK</v>
      </c>
      <c r="D192" s="30" t="str">
        <f aca="false">IF(C192="","",IF(C192="OK","OK","CHECK"))</f>
        <v>OK</v>
      </c>
      <c r="E192" s="45" t="s">
        <v>438</v>
      </c>
    </row>
    <row r="193" customFormat="false" ht="15" hidden="false" customHeight="false" outlineLevel="0" collapsed="false">
      <c r="A193" s="5" t="s">
        <v>607</v>
      </c>
      <c r="C193" s="20" t="str">
        <f aca="false">IF(OR('6. The ladder'!B9&lt;&gt;'3. Assumptions'!$B$7,'6. The ladder'!C9&lt;&gt;'3. Assumptions'!$B$8,ABS('6. The ladder'!F9-(SUMPRODUCT((1-(('3. Assumptions'!$B$21/(1-'3. Assumptions'!$B$22))))^('7. Cash flow'!$A$7:$A$86/4)*'7. Cash flow'!$C$7:$C$86/(1+('3. Assumptions'!$B$28))^('7. Cash flow'!$A$7:$A$86/4))+SUMPRODUCT((1-(('3. Assumptions'!$B$21/(1-'3. Assumptions'!$B$22))))^(('7. Cash flow'!$A$7:$A$86-1)/4)*(1-(1-(('3. Assumptions'!$B$21/(1-'3. Assumptions'!$B$22))))^0.25)*'7. Cash flow'!$D$7:$D$86/(1+('3. Assumptions'!$B$29))^('7. Cash flow'!$A$7:$A$86/4))+(1-(('3. Assumptions'!$B$21/(1-'3. Assumptions'!$B$22))))^'3. Assumptions'!$B$9*'7. Cash flow'!$D$87/(1+('3. Assumptions'!$B$29))^'3. Assumptions'!$B$9)/(1+'3. Assumptions'!$B$14))&lt;0.01),"OK","CHECK")</f>
        <v>OK</v>
      </c>
      <c r="D193" s="30" t="str">
        <f aca="false">IF(C193="","",IF(C193="OK","OK","CHECK"))</f>
        <v>OK</v>
      </c>
      <c r="E193" s="45" t="s">
        <v>438</v>
      </c>
    </row>
    <row r="194" customFormat="false" ht="15" hidden="false" customHeight="false" outlineLevel="0" collapsed="false">
      <c r="A194" s="5" t="s">
        <v>608</v>
      </c>
      <c r="C194" s="20" t="str">
        <f aca="false">IF('3. Assumptions'!$B$9=20,"OK","CHECK")</f>
        <v>OK</v>
      </c>
      <c r="D194" s="30" t="str">
        <f aca="false">IF(C194="","",IF(C194="OK","OK","CHECK"))</f>
        <v>OK</v>
      </c>
      <c r="E194" s="45"/>
    </row>
    <row r="195" customFormat="false" ht="15" hidden="false" customHeight="false" outlineLevel="0" collapsed="false">
      <c r="A195" s="5" t="s">
        <v>609</v>
      </c>
      <c r="C195" s="20" t="str">
        <f aca="false">IF(SUMPRODUCT(('5. Decomposition'!C5:C13-'5. Decomposition'!D5:D13-'5. Decomposition'!E5:E13-'5. Decomposition'!F5:F13&lt;0)*1)=0,"OK","CHECK")</f>
        <v>OK</v>
      </c>
      <c r="D195" s="30" t="str">
        <f aca="false">IF(C195="","",IF(C195="OK","OK","CHECK"))</f>
        <v>OK</v>
      </c>
      <c r="E195" s="45"/>
    </row>
    <row r="197" customFormat="false" ht="15" hidden="false" customHeight="false" outlineLevel="0" collapsed="false">
      <c r="A197" s="30" t="s">
        <v>610</v>
      </c>
      <c r="C197" s="30" t="str">
        <f aca="false">COUNTIF(D5:D195,"OK")&amp;" / 191"</f>
        <v>191 / 191</v>
      </c>
      <c r="D197" s="30" t="str">
        <f aca="false">IF(COUNTIF(D5:D195,"OK")=191,"ALL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2026-08-25T20:03:40Z</dcterms:created>
  <dc:creator>openpyxl</dc:creator>
  <dc:description/>
  <dc:language>en-US</dc:language>
  <cp:lastModifiedBy/>
  <dcterms:modified xsi:type="dcterms:W3CDTF">2026-09-23T23:27:02Z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