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he residual" sheetId="2" state="visible" r:id="rId4"/>
    <sheet name="Reverse and resilience" sheetId="3" state="visible" r:id="rId5"/>
    <sheet name="Cash flow and peak debt"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<sst xmlns="http://schemas.openxmlformats.org/spreadsheetml/2006/main" count="196" uniqueCount="166">
  <si>
    <t xml:space="preserve">The Real Estate Development Manager — Workbook 1 of 5</t>
  </si>
  <si>
    <t xml:space="preserve">The residual appraisal, and where it misleads</t>
  </si>
  <si>
    <t xml:space="preserve">Julian R. Sterling · julianrsterling.com/development</t>
  </si>
  <si>
    <t xml:space="preserve">Why the method is unstable, in one line of arithmetic</t>
  </si>
  <si>
    <t xml:space="preserve">A scheme with a value of 100 and costs of 80 supports a land price of 20. Move each by five per cent — value to 95, costs to 84 — and the land value becomes 11. Two five per cent movements, a forty-five per cent fall. That is the single most important property of a residual appraisal, and it is why development is a high-beta activity and why competitive land bidding tends to be won by whoever is most optimistic.</t>
  </si>
  <si>
    <t xml:space="preserve">Use it in the other direction</t>
  </si>
  <si>
    <t xml:space="preserve">Rather than asking what the land is worth on your assumptions, ask what the assumptions would have to be for the land price on the table to work — then judge whether those assumptions are plausible. 'Reverse and resilience' does that, and it also produces the two numbers the book says belong on the front page: the cost overrun and the value decline that would each eliminate the profit entirely. Those two describe a scheme's resilience better than the headline return does.</t>
  </si>
  <si>
    <t xml:space="preserve">The four tests are the decision document</t>
  </si>
  <si>
    <t xml:space="preserve">An 8 per cent cost movement takes the land value from 6.4 to 1.4 — a 78 per cent fall. A nine-month delay takes it to 2.9. A five per cent value fall takes it to 1.4. All three together and the land value is negative, meaning the scheme supports no land price at all at the required profit. Presenting those four alongside the headline is what turns an appraisal into a decision.</t>
  </si>
  <si>
    <t xml:space="preserve">A summary residual is a screening tool</t>
  </si>
  <si>
    <t xml:space="preserve">The cash flow sheet gives what a summary cannot: the peak debt, how long the peak is held, and what a six-month delay actually costs — which a summary buries in a single finance line.</t>
  </si>
  <si>
    <t xml:space="preserve">Conventions</t>
  </si>
  <si>
    <t xml:space="preserve">Blue is an input. Black is a formula. Yellow fill marks the assumptions that carry the answer. Profit is taken as a percentage of cost excluding land throughout, which is the book's own convention in Chapter 3; 'Reverse and resilience' shows what the other convention does to the same scheme.</t>
  </si>
  <si>
    <t xml:space="preserve">Provided for education. Not investment advice.</t>
  </si>
  <si>
    <t xml:space="preserve">The residual appraisal, and the four tests</t>
  </si>
  <si>
    <t xml:space="preserve">Chapter 3. The residual is a difference between two large numbers.</t>
  </si>
  <si>
    <t xml:space="preserve">THE SCHEME</t>
  </si>
  <si>
    <t xml:space="preserve">Presenting the four tests is what turns an appraisal into a decision</t>
  </si>
  <si>
    <t xml:space="preserve">Gross development value</t>
  </si>
  <si>
    <t xml:space="preserve">The conclusion the book draws is not that the scheme is bad. It is that at a land price of 6.4 there is effectively no margin for any adverse movement — and the correct response is either to pay less, to reduce the risk through pre-letting or a fixed-price contract, or to require a higher profit margin as compensation.
Five mistakes recur, and four of them are visible on this sheet.
Presenting a residual as a precise number. It is a difference between two estimates, and row 23 measures how brittle that difference is on your own scheme.
Using today's values for a scheme completing in three years without a downside case. Test 3.
Understating the programme. It flows into finance, inflation and the exit market simultaneously — which is why test 2 moves two lines rather than one.
Treating profit as a fixed house percentage rather than as compensation for the specific risk. Cell B10 is a house convention until you have a reason for the number in it.
And the fifth, which no summary sheet can show: appraising on totals rather than on a cash flow. That is the next sheet.</t>
  </si>
  <si>
    <t xml:space="preserve">Construction</t>
  </si>
  <si>
    <t xml:space="preserve">Professional fees</t>
  </si>
  <si>
    <t xml:space="preserve">Statutory and planning costs</t>
  </si>
  <si>
    <t xml:space="preserve">Finance</t>
  </si>
  <si>
    <t xml:space="preserve">Required profit, % of cost excluding land</t>
  </si>
  <si>
    <t xml:space="preserve">Cost excluding land</t>
  </si>
  <si>
    <t xml:space="preserve">Required profit</t>
  </si>
  <si>
    <t xml:space="preserve">Residual land value</t>
  </si>
  <si>
    <t xml:space="preserve">Total cost including land</t>
  </si>
  <si>
    <t xml:space="preserve">Profit on total cost including land</t>
  </si>
  <si>
    <t xml:space="preserve">Profit on value</t>
  </si>
  <si>
    <t xml:space="preserve">WHY IT IS UNSTABLE</t>
  </si>
  <si>
    <t xml:space="preserve">A scheme with a value of 100 and total costs of 80 supports a land price of 20.</t>
  </si>
  <si>
    <t xml:space="preserve">Value</t>
  </si>
  <si>
    <t xml:space="preserve">Total costs including profit</t>
  </si>
  <si>
    <t xml:space="preserve">Land value</t>
  </si>
  <si>
    <t xml:space="preserve">As appraised</t>
  </si>
  <si>
    <t xml:space="preserve">Value 5 per cent lower, costs 5 per cent higher</t>
  </si>
  <si>
    <t xml:space="preserve">Fall in the land value</t>
  </si>
  <si>
    <t xml:space="preserve">Two five per cent movements. That is why development is a high-beta activity.</t>
  </si>
  <si>
    <t xml:space="preserve">THE FOUR TESTS</t>
  </si>
  <si>
    <t xml:space="preserve">The required profit is held at its appraised money amount across the tests, as the book does — it was set as compensation for the risk, not as a residual of it. Test 4 applies all three: the 8 per cent rise and the 2 of inflation on construction, the higher finance and the lower value (revised 23 September 2026: the first version left out the 8 per cent and showed -2.1).</t>
  </si>
  <si>
    <t xml:space="preserve">Test</t>
  </si>
  <si>
    <t xml:space="preserve">1. Construction cost rises 8 per cent</t>
  </si>
  <si>
    <t xml:space="preserve">2. Programme extends nine months</t>
  </si>
  <si>
    <t xml:space="preserve">3. Value falls 5 per cent</t>
  </si>
  <si>
    <t xml:space="preserve">4. All three together</t>
  </si>
  <si>
    <t xml:space="preserve">Test 1: the fall in the land value</t>
  </si>
  <si>
    <t xml:space="preserve">from a cost movement of</t>
  </si>
  <si>
    <t xml:space="preserve">Test 4: the scheme supports no land price at the required profit.</t>
  </si>
  <si>
    <t xml:space="preserve">Recomputing the profit at 20 per cent of the higher costs instead: 0.4, 2.2, 1.4 and -8.8. Either way test 4 is negative.</t>
  </si>
  <si>
    <t xml:space="preserve">The two numbers that belong on the front page</t>
  </si>
  <si>
    <t xml:space="preserve">Chapter 3. Ask what the assumptions would have to be for the price on the table to work.</t>
  </si>
  <si>
    <t xml:space="preserve">THE PRICE ON THE TABLE</t>
  </si>
  <si>
    <t xml:space="preserve">The incentive to complete</t>
  </si>
  <si>
    <t xml:space="preserve">Land price being asked</t>
  </si>
  <si>
    <t xml:space="preserve">Profit on cost is not only a return measure; it is a behavioural one.
A scheme with a thin margin has no capacity to absorb an overrun. More importantly, once the projected profit is gone, the developer's rational incentive to fund further cost weakens sharply — which is the situation any funder most fears. Rows 26 to 29 say how far away that point is, in money and as a percentage, and they belong on the front page of the appraisal rather than in an appendix.
The reverse exercise above is the discipline that survives a competitive land process. Asking what the land is worth on your assumptions invites you to adjust them until the answer clears the price. Asking what the assumptions would have to be for the price to work does the opposite: it puts a specific, falsifiable claim on the table — a value 1.6 per cent higher, or a construction cost 2.6 per cent lower, or a profit margin of 17.9 per cent instead of 20 (rows 12 to 17) — and lets you judge it.
The bidder who wins a competitive land process is usually the one who did the first exercise.</t>
  </si>
  <si>
    <t xml:space="preserve">Residual on your own assumptions</t>
  </si>
  <si>
    <t xml:space="preserve">Gap</t>
  </si>
  <si>
    <t xml:space="preserve">WHAT WOULD HAVE TO BE TRUE</t>
  </si>
  <si>
    <t xml:space="preserve">Each line closes the gap on its own, with everything else unchanged.</t>
  </si>
  <si>
    <t xml:space="preserve">Assumption</t>
  </si>
  <si>
    <t xml:space="preserve">Required value</t>
  </si>
  <si>
    <t xml:space="preserve">Against your appraisal</t>
  </si>
  <si>
    <t xml:space="preserve">Movement required</t>
  </si>
  <si>
    <t xml:space="preserve">Construction cost</t>
  </si>
  <si>
    <t xml:space="preserve">Required profit as a percentage of cost excluding land</t>
  </si>
  <si>
    <t xml:space="preserve">Judge whether any of those is plausible. That is the whole exercise.</t>
  </si>
  <si>
    <t xml:space="preserve">RESILIENCE — THE TWO NUMBERS FOR THE FRONT PAGE</t>
  </si>
  <si>
    <t xml:space="preserve">At your own land price</t>
  </si>
  <si>
    <t xml:space="preserve">Profit at that land price</t>
  </si>
  <si>
    <t xml:space="preserve">Profit on cost</t>
  </si>
  <si>
    <t xml:space="preserve">Cost overrun that eliminates the profit entirely</t>
  </si>
  <si>
    <t xml:space="preserve">   as a percentage of construction</t>
  </si>
  <si>
    <t xml:space="preserve">Value decline that eliminates the profit entirely</t>
  </si>
  <si>
    <t xml:space="preserve">   as a percentage of the gross development value</t>
  </si>
  <si>
    <t xml:space="preserve">Those two numbers describe the scheme's resilience better than the headline return does.</t>
  </si>
  <si>
    <t xml:space="preserve">Costs and receipts by quarter, and what a delay costs</t>
  </si>
  <si>
    <t xml:space="preserve">Chapter 3. A summary residual is a screening tool. Any scheme of consequence is appraised on a cash flow.</t>
  </si>
  <si>
    <t xml:space="preserve">Land drawn at the start</t>
  </si>
  <si>
    <t xml:space="preserve">Three things a summary cannot give you</t>
  </si>
  <si>
    <t xml:space="preserve">Finance rate a year</t>
  </si>
  <si>
    <t xml:space="preserve">The peak debt — the maximum amount outstanding, which determines the facility required and the interest. Row 20.
The timing of exposure — how long the peak is held. Row 22 counts the quarters within ten per cent of it, which is the number a funder actually prices.
The sensitivity to delay. Row 27 takes the peak and holds it for the quarters in B6 (two: the six-month delay of the chapter), and row 28 states the result as a share of the profit. On most schemes that single line is larger than any construction saving the team will find all year.
The quarterly profile above is illustrative and every cell is blue: overwrite it with your own. The shape matters more than the figures — costs front-loaded by land, a construction hump, and receipts that arrive only at the end. That shape is why development is financed the way it is, and why a delay at the peak costs more than a delay anywhere else.</t>
  </si>
  <si>
    <t xml:space="preserve">Delay held at the peak, quarters</t>
  </si>
  <si>
    <t xml:space="preserve">Quarter</t>
  </si>
  <si>
    <t xml:space="preserve">0</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</si>
  <si>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</si>
  <si>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</si>
  <si>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</si>
  <si>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</si>
  <si>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</si>
  <si>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</si>
  <si>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</si>
  <si>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</si>
  <si>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</si>
  <si>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</si>
  <si>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</si>
  <si>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</si>
  <si>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Land</t>
  </si>
  <si>
    <t xml:space="preserve">Fees and statutory</t>
  </si>
  <si>
    <t xml:space="preserve">Receipts (sales and disposals)</t>
  </si>
  <si>
    <t xml:space="preserve">Opening balance</t>
  </si>
  <si>
    <t xml:space="preserve">Net cash out in the quarter</t>
  </si>
  <si>
    <t xml:space="preserve">Interest</t>
  </si>
  <si>
    <t xml:space="preserve">Closing balance</t>
  </si>
  <si>
    <t xml:space="preserve">Receipts total the gross development value. The split of the peak between equity and debt is a separate decision; what the scheme needs is this number either way.</t>
  </si>
  <si>
    <t xml:space="preserve">WHAT THE SUMMARY CANNOT SHOW</t>
  </si>
  <si>
    <t xml:space="preserve">Peak funding requirement</t>
  </si>
  <si>
    <t xml:space="preserve">Quarter in which it peaks</t>
  </si>
  <si>
    <t xml:space="preserve">Quarters within 10 per cent of the peak</t>
  </si>
  <si>
    <t xml:space="preserve">Total interest over the scheme</t>
  </si>
  <si>
    <t xml:space="preserve">Closing position at the end of the scheme</t>
  </si>
  <si>
    <t xml:space="preserve">THE COST OF A DELAY</t>
  </si>
  <si>
    <t xml:space="preserve">Interest at the peak, per quarter of delay</t>
  </si>
  <si>
    <t xml:space="preserve">A delay of the quarters in B6, held at the peak</t>
  </si>
  <si>
    <t xml:space="preserve">as a share of the appraised profit</t>
  </si>
  <si>
    <t xml:space="preserve">A cash flow shows what a six-month delay costs. A summary buries it in one finance line.</t>
  </si>
  <si>
    <t xml:space="preserve">Against the appraised profit</t>
  </si>
  <si>
    <t xml:space="preserve">THE FINANCE LINE, TESTED</t>
  </si>
  <si>
    <t xml:space="preserve">Interest the cash flow actually produces</t>
  </si>
  <si>
    <t xml:space="preserve">Finance line in the summary appraisal</t>
  </si>
  <si>
    <t xml:space="preserve">Understatement</t>
  </si>
  <si>
    <t xml:space="preserve">This is the line the book says is systematically understated, because the programme is. Here the cash flow's interest is 8.0 against the 4 of the summary: 4.0 more, 26 per cent of the profit. And the surplus left at the end, row 24, is the appraised profit less exactly that understatement. Rows 40 to 43 check that the cash flow carries the same costs as the summary.</t>
  </si>
  <si>
    <t xml:space="preserve">DOES THE CASH FLOW CARRY THE SUMMARY'S COSTS? (revised 23 September 2026)</t>
  </si>
  <si>
    <t xml:space="preserve">Construction in the cash flow less the summary's construction</t>
  </si>
  <si>
    <t xml:space="preserve">Fees and statutory in the cash flow less the summary's (8 + 4)</t>
  </si>
  <si>
    <t xml:space="preserve">Receipts less the gross development value</t>
  </si>
  <si>
    <t xml:space="preserve">Surplus at the end less (appraised profit less the finance understatement)</t>
  </si>
  <si>
    <t xml:space="preserve">The first version's fee profile added up to 7.5 against 12 in the summary, so its surplus (16.8) exceeded the appraised profit (15.6) even after 3.3 more interest. The profile is now scaled to 12; its shape is unchanged.</t>
  </si>
  <si>
    <t xml:space="preserve">Every figure Chapter 3 prints, against what this workbook computes</t>
  </si>
  <si>
    <t xml:space="preserve">Chapter 3, 'The Residual Appraisal and Where It Misleads'.</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</si>
  <si>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</si>
  <si>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</si>
  <si>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</si>
  <si>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</si>
  <si>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</si>
  <si>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</si>
  <si>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</si>
  <si>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3</t>
  </si>
  <si>
    <t xml:space="preserve">Instability: land value on the appraised case</t>
  </si>
  <si>
    <t xml:space="preserve">Chapter 3 gives fourteen figures and all fourteen reproduce. Each line carries its own tolerance, set to the precision the chapter prints: a figure given to one decimal is checked to six thousandths, a percentage stated as a whole number to half a point.
One convention had to be read out of the arithmetic rather than from the text. The chapter states the required profit as 20 per cent of cost and then holds it at 15.6 across all four tests rather than recomputing it on the higher costs. That is a defensible reading — the profit was set as compensation for the risk, not as a residual of it — and it is the only reading that reproduces 1.4 and 2.9 (test 4 is -7.1 on it, -8.8 on the other; the chapter prints only "negative"). The note above the test table says so, and cell B10 lets you use the other convention if your own appraisal does.
The 'Cash flow and peak debt' sheet is not checked against the book, because the chapter describes what a cash flow gives without printing one. Its figures are illustrative and every input cell is blue.</t>
  </si>
  <si>
    <t xml:space="preserve">after a 5 per cent fall in value and 5 per cent rise in cost</t>
  </si>
  <si>
    <t xml:space="preserve">the fall that produces</t>
  </si>
  <si>
    <t xml:space="preserve">Practical example: cost excluding land</t>
  </si>
  <si>
    <t xml:space="preserve">Required profit at 20 per cent of that cost</t>
  </si>
  <si>
    <t xml:space="preserve">Test 1: construction rises 8 per cent to</t>
  </si>
  <si>
    <t xml:space="preserve">Test 1: land value</t>
  </si>
  <si>
    <t xml:space="preserve">Test 1: the fall that produces</t>
  </si>
  <si>
    <t xml:space="preserve">Test 2: finance rises to</t>
  </si>
  <si>
    <t xml:space="preserve">Test 2: land value</t>
  </si>
  <si>
    <t xml:space="preserve">Test 3: value falls 5 per cent to</t>
  </si>
  <si>
    <t xml:space="preserve">Test 3: land value</t>
  </si>
  <si>
    <t xml:space="preserve">Test 4: all three together — the land value is negative</t>
  </si>
  <si>
    <t xml:space="preserve">negative</t>
  </si>
  <si>
    <t xml:space="preserve">Lines reproduced within the book's own printed precision</t>
  </si>
  <si>
    <t xml:space="preserve">Lines differing only by the book's rounding of an intermediate</t>
  </si>
  <si>
    <t xml:space="preserve">Lines to check</t>
  </si>
  <si>
    <t xml:space="preserve">INTERNAL CHECKS (revised 23 September 2026)</t>
  </si>
  <si>
    <t xml:space="preserve">Int.</t>
  </si>
  <si>
    <t xml:space="preserve">Test 4 carries the construction of test 1 plus the 2 of inflation</t>
  </si>
  <si>
    <t xml:space="preserve">Test 4 is below each single test</t>
  </si>
  <si>
    <t xml:space="preserve">The cash flow carries the summary's construction, fees, statutory and value</t>
  </si>
  <si>
    <t xml:space="preserve">Surplus at the end = appraised profit less the finance understatement</t>
  </si>
  <si>
    <t xml:space="preserve">At the price-closing value, the residual equals the price on the table</t>
  </si>
  <si>
    <t xml:space="preserve">The delay input drives the cost of delay</t>
  </si>
  <si>
    <t xml:space="preserve">All internal checks</t>
  </si>
</sst>
</file>

<file path=xl/styles.xml><?xml version="1.0" encoding="utf-8"?>
<styleSheet xmlns="http://schemas.openxmlformats.org/spreadsheetml/2006/main">
  <numFmts count="4">
    <numFmt numFmtId="164" formatCode="General"/>
    <numFmt numFmtId="165" formatCode="#,##0.00;\(#,##0.00\);\-"/>
    <numFmt numFmtId="166" formatCode="0.00%"/>
    <numFmt numFmtId="167" formatCode="0"/>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10"/>
      <color rgb="FF008000"/>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left" vertical="center" textRotation="0" wrapText="tru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7"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4" fontId="18" fillId="4"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88.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73.5" hidden="false" customHeight="true" outlineLevel="0" collapsed="false">
      <c r="B13" s="6" t="s">
        <v>8</v>
      </c>
    </row>
    <row r="15" customFormat="false" ht="15" hidden="false" customHeight="true" outlineLevel="0" collapsed="false">
      <c r="B15" s="5" t="s">
        <v>9</v>
      </c>
    </row>
    <row r="16" customFormat="false" ht="43.5" hidden="false" customHeight="true" outlineLevel="0" collapsed="false">
      <c r="B16" s="6" t="s">
        <v>10</v>
      </c>
    </row>
    <row r="18" customFormat="false" ht="15" hidden="false" customHeight="true" outlineLevel="0" collapsed="false">
      <c r="B18" s="5" t="s">
        <v>11</v>
      </c>
    </row>
    <row r="19" customFormat="false" ht="58.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5" min="2" style="1" width="16"/>
    <col collapsed="false" customWidth="true" hidden="false" outlineLevel="0" max="6" min="6" style="1" width="3"/>
    <col collapsed="false" customWidth="true" hidden="false" outlineLevel="0" max="7" min="7"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5" t="s">
        <v>16</v>
      </c>
      <c r="G4" s="5" t="s">
        <v>17</v>
      </c>
    </row>
    <row r="5" customFormat="false" ht="15" hidden="false" customHeight="true" outlineLevel="0" collapsed="false">
      <c r="A5" s="8" t="s">
        <v>18</v>
      </c>
      <c r="B5" s="9" t="n">
        <v>100</v>
      </c>
      <c r="G5" s="10" t="s">
        <v>19</v>
      </c>
    </row>
    <row r="6" customFormat="false" ht="15" hidden="false" customHeight="true" outlineLevel="0" collapsed="false">
      <c r="A6" s="8" t="s">
        <v>20</v>
      </c>
      <c r="B6" s="9" t="n">
        <v>62</v>
      </c>
      <c r="G6" s="10"/>
    </row>
    <row r="7" customFormat="false" ht="15" hidden="false" customHeight="true" outlineLevel="0" collapsed="false">
      <c r="A7" s="8" t="s">
        <v>21</v>
      </c>
      <c r="B7" s="9" t="n">
        <v>8</v>
      </c>
      <c r="G7" s="10"/>
    </row>
    <row r="8" customFormat="false" ht="15" hidden="false" customHeight="true" outlineLevel="0" collapsed="false">
      <c r="A8" s="8" t="s">
        <v>22</v>
      </c>
      <c r="B8" s="9" t="n">
        <v>4</v>
      </c>
      <c r="G8" s="10"/>
    </row>
    <row r="9" customFormat="false" ht="15" hidden="false" customHeight="true" outlineLevel="0" collapsed="false">
      <c r="A9" s="8" t="s">
        <v>23</v>
      </c>
      <c r="B9" s="9" t="n">
        <v>4</v>
      </c>
      <c r="G9" s="10"/>
    </row>
    <row r="10" customFormat="false" ht="15" hidden="false" customHeight="true" outlineLevel="0" collapsed="false">
      <c r="A10" s="8" t="s">
        <v>24</v>
      </c>
      <c r="B10" s="11" t="n">
        <v>0.2</v>
      </c>
      <c r="G10" s="10"/>
    </row>
    <row r="11" customFormat="false" ht="15" hidden="false" customHeight="true" outlineLevel="0" collapsed="false">
      <c r="A11" s="8" t="s">
        <v>25</v>
      </c>
      <c r="B11" s="12" t="n">
        <f aca="false">B6+B7+B8+B9</f>
        <v>78</v>
      </c>
      <c r="G11" s="10"/>
    </row>
    <row r="12" customFormat="false" ht="15" hidden="false" customHeight="true" outlineLevel="0" collapsed="false">
      <c r="A12" s="8" t="s">
        <v>26</v>
      </c>
      <c r="B12" s="12" t="n">
        <f aca="false">B11*B10</f>
        <v>15.6</v>
      </c>
      <c r="G12" s="10"/>
    </row>
    <row r="13" customFormat="false" ht="15" hidden="false" customHeight="true" outlineLevel="0" collapsed="false">
      <c r="A13" s="13" t="s">
        <v>27</v>
      </c>
      <c r="B13" s="14" t="n">
        <f aca="false">B5-B11-B12</f>
        <v>6.4</v>
      </c>
      <c r="G13" s="10"/>
    </row>
    <row r="14" customFormat="false" ht="15" hidden="false" customHeight="true" outlineLevel="0" collapsed="false">
      <c r="A14" s="8" t="s">
        <v>28</v>
      </c>
      <c r="B14" s="12" t="n">
        <f aca="false">B11+B13</f>
        <v>84.4</v>
      </c>
      <c r="G14" s="10"/>
    </row>
    <row r="15" customFormat="false" ht="15" hidden="false" customHeight="true" outlineLevel="0" collapsed="false">
      <c r="A15" s="8" t="s">
        <v>29</v>
      </c>
      <c r="B15" s="15" t="n">
        <f aca="false">B12/B14</f>
        <v>0.184834123222749</v>
      </c>
      <c r="G15" s="10"/>
    </row>
    <row r="16" customFormat="false" ht="15" hidden="false" customHeight="true" outlineLevel="0" collapsed="false">
      <c r="A16" s="8" t="s">
        <v>30</v>
      </c>
      <c r="B16" s="15" t="n">
        <f aca="false">B12/B5</f>
        <v>0.156</v>
      </c>
      <c r="G16" s="10"/>
    </row>
    <row r="17" customFormat="false" ht="15" hidden="false" customHeight="true" outlineLevel="0" collapsed="false">
      <c r="G17" s="10"/>
    </row>
    <row r="18" customFormat="false" ht="15" hidden="false" customHeight="true" outlineLevel="0" collapsed="false">
      <c r="A18" s="5" t="s">
        <v>31</v>
      </c>
      <c r="G18" s="10"/>
    </row>
    <row r="19" customFormat="false" ht="15" hidden="false" customHeight="true" outlineLevel="0" collapsed="false">
      <c r="A19" s="4" t="s">
        <v>32</v>
      </c>
      <c r="G19" s="10"/>
    </row>
    <row r="20" customFormat="false" ht="27.75" hidden="false" customHeight="true" outlineLevel="0" collapsed="false">
      <c r="A20" s="16"/>
      <c r="B20" s="17" t="s">
        <v>33</v>
      </c>
      <c r="C20" s="17" t="s">
        <v>34</v>
      </c>
      <c r="D20" s="17" t="s">
        <v>35</v>
      </c>
      <c r="G20" s="10"/>
    </row>
    <row r="21" customFormat="false" ht="15" hidden="false" customHeight="true" outlineLevel="0" collapsed="false">
      <c r="A21" s="8" t="s">
        <v>36</v>
      </c>
      <c r="B21" s="9" t="n">
        <v>100</v>
      </c>
      <c r="C21" s="9" t="n">
        <v>80</v>
      </c>
      <c r="D21" s="12" t="n">
        <f aca="false">B21-C21</f>
        <v>20</v>
      </c>
      <c r="G21" s="10"/>
    </row>
    <row r="22" customFormat="false" ht="15" hidden="false" customHeight="true" outlineLevel="0" collapsed="false">
      <c r="A22" s="8" t="s">
        <v>37</v>
      </c>
      <c r="B22" s="12" t="n">
        <f aca="false">B21*0.95</f>
        <v>95</v>
      </c>
      <c r="C22" s="12" t="n">
        <f aca="false">C21*1.05</f>
        <v>84</v>
      </c>
      <c r="D22" s="12" t="n">
        <f aca="false">B22-C22</f>
        <v>11</v>
      </c>
      <c r="G22" s="10"/>
    </row>
    <row r="23" customFormat="false" ht="15" hidden="false" customHeight="true" outlineLevel="0" collapsed="false">
      <c r="A23" s="18" t="s">
        <v>38</v>
      </c>
      <c r="D23" s="19" t="n">
        <f aca="false">D22/D21-1</f>
        <v>-0.45</v>
      </c>
      <c r="G23" s="10"/>
    </row>
    <row r="24" customFormat="false" ht="15" hidden="false" customHeight="true" outlineLevel="0" collapsed="false">
      <c r="A24" s="4" t="s">
        <v>39</v>
      </c>
      <c r="G24" s="10"/>
    </row>
    <row r="25" customFormat="false" ht="15" hidden="false" customHeight="true" outlineLevel="0" collapsed="false">
      <c r="G25" s="10"/>
    </row>
    <row r="26" customFormat="false" ht="15" hidden="false" customHeight="true" outlineLevel="0" collapsed="false">
      <c r="A26" s="5" t="s">
        <v>40</v>
      </c>
      <c r="G26" s="10"/>
    </row>
    <row r="27" customFormat="false" ht="15" hidden="false" customHeight="true" outlineLevel="0" collapsed="false">
      <c r="A27" s="20" t="s">
        <v>41</v>
      </c>
      <c r="B27" s="20"/>
      <c r="C27" s="20"/>
      <c r="D27" s="20"/>
      <c r="E27" s="20"/>
      <c r="G27" s="10"/>
    </row>
    <row r="28" customFormat="false" ht="15" hidden="false" customHeight="true" outlineLevel="0" collapsed="false">
      <c r="A28" s="20"/>
      <c r="B28" s="20"/>
      <c r="C28" s="20"/>
      <c r="D28" s="20"/>
      <c r="E28" s="20"/>
      <c r="G28" s="10"/>
    </row>
    <row r="29" customFormat="false" ht="27.75" hidden="false" customHeight="true" outlineLevel="0" collapsed="false">
      <c r="A29" s="16" t="s">
        <v>42</v>
      </c>
      <c r="B29" s="17" t="s">
        <v>33</v>
      </c>
      <c r="C29" s="17" t="s">
        <v>20</v>
      </c>
      <c r="D29" s="17" t="s">
        <v>23</v>
      </c>
      <c r="E29" s="17" t="s">
        <v>35</v>
      </c>
      <c r="G29" s="10"/>
    </row>
    <row r="30" customFormat="false" ht="15" hidden="false" customHeight="true" outlineLevel="0" collapsed="false">
      <c r="A30" s="8" t="s">
        <v>36</v>
      </c>
      <c r="B30" s="12" t="n">
        <f aca="false">B5</f>
        <v>100</v>
      </c>
      <c r="C30" s="12" t="n">
        <f aca="false">B6</f>
        <v>62</v>
      </c>
      <c r="D30" s="12" t="n">
        <f aca="false">B9</f>
        <v>4</v>
      </c>
      <c r="E30" s="12" t="n">
        <f aca="false">B30-C30-$B$7-$B$8-D30-$B$12</f>
        <v>6.4</v>
      </c>
      <c r="G30" s="10"/>
    </row>
    <row r="31" customFormat="false" ht="15" hidden="false" customHeight="true" outlineLevel="0" collapsed="false">
      <c r="A31" s="8" t="s">
        <v>43</v>
      </c>
      <c r="B31" s="12" t="n">
        <f aca="false">B5</f>
        <v>100</v>
      </c>
      <c r="C31" s="12" t="n">
        <f aca="false">ROUND(B6*1.08,0)</f>
        <v>67</v>
      </c>
      <c r="D31" s="12" t="n">
        <f aca="false">B9</f>
        <v>4</v>
      </c>
      <c r="E31" s="12" t="n">
        <f aca="false">B31-C31-$B$7-$B$8-D31-$B$12</f>
        <v>1.4</v>
      </c>
      <c r="G31" s="10"/>
    </row>
    <row r="32" customFormat="false" ht="15" hidden="false" customHeight="true" outlineLevel="0" collapsed="false">
      <c r="A32" s="8" t="s">
        <v>44</v>
      </c>
      <c r="B32" s="12" t="n">
        <f aca="false">B5</f>
        <v>100</v>
      </c>
      <c r="C32" s="12" t="n">
        <f aca="false">B6+2</f>
        <v>64</v>
      </c>
      <c r="D32" s="12" t="n">
        <f aca="false">5.5</f>
        <v>5.5</v>
      </c>
      <c r="E32" s="12" t="n">
        <f aca="false">B32-C32-$B$7-$B$8-D32-$B$12</f>
        <v>2.9</v>
      </c>
      <c r="G32" s="10"/>
    </row>
    <row r="33" customFormat="false" ht="15" hidden="false" customHeight="true" outlineLevel="0" collapsed="false">
      <c r="A33" s="8" t="s">
        <v>45</v>
      </c>
      <c r="B33" s="12" t="n">
        <f aca="false">B5*0.95</f>
        <v>95</v>
      </c>
      <c r="C33" s="12" t="n">
        <f aca="false">B6</f>
        <v>62</v>
      </c>
      <c r="D33" s="12" t="n">
        <f aca="false">B9</f>
        <v>4</v>
      </c>
      <c r="E33" s="12" t="n">
        <f aca="false">B33-C33-$B$7-$B$8-D33-$B$12</f>
        <v>1.4</v>
      </c>
      <c r="G33" s="10"/>
    </row>
    <row r="34" customFormat="false" ht="15" hidden="false" customHeight="true" outlineLevel="0" collapsed="false">
      <c r="A34" s="8" t="s">
        <v>46</v>
      </c>
      <c r="B34" s="12" t="n">
        <f aca="false">B5*0.95</f>
        <v>95</v>
      </c>
      <c r="C34" s="12" t="n">
        <f aca="false">ROUND(B6*1.08,0)+2</f>
        <v>69</v>
      </c>
      <c r="D34" s="12" t="n">
        <f aca="false">5.5</f>
        <v>5.5</v>
      </c>
      <c r="E34" s="21" t="n">
        <f aca="false">B34-C34-$B$7-$B$8-D34-$B$12</f>
        <v>-7.1</v>
      </c>
      <c r="G34" s="10"/>
    </row>
    <row r="35" customFormat="false" ht="15" hidden="false" customHeight="true" outlineLevel="0" collapsed="false">
      <c r="A35" s="18" t="s">
        <v>47</v>
      </c>
      <c r="B35" s="19" t="n">
        <f aca="false">E31/E30-1</f>
        <v>-0.78125</v>
      </c>
    </row>
    <row r="36" customFormat="false" ht="15" hidden="false" customHeight="true" outlineLevel="0" collapsed="false">
      <c r="A36" s="8" t="s">
        <v>48</v>
      </c>
      <c r="B36" s="15" t="n">
        <f aca="false">C31/C30-1</f>
        <v>0.0806451612903225</v>
      </c>
    </row>
    <row r="37" customFormat="false" ht="15" hidden="false" customHeight="true" outlineLevel="0" collapsed="false">
      <c r="A37" s="4" t="s">
        <v>49</v>
      </c>
    </row>
    <row r="38" customFormat="false" ht="15" hidden="false" customHeight="false" outlineLevel="0" collapsed="false">
      <c r="A38" s="4" t="s">
        <v>50</v>
      </c>
    </row>
  </sheetData>
  <mergeCells count="2">
    <mergeCell ref="G5:G34"/>
    <mergeCell ref="A27:E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18"/>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51</v>
      </c>
    </row>
    <row r="2" customFormat="false" ht="15" hidden="false" customHeight="true" outlineLevel="0" collapsed="false">
      <c r="A2" s="4" t="s">
        <v>52</v>
      </c>
    </row>
    <row r="4" customFormat="false" ht="15" hidden="false" customHeight="true" outlineLevel="0" collapsed="false">
      <c r="A4" s="5" t="s">
        <v>53</v>
      </c>
      <c r="E4" s="5" t="s">
        <v>54</v>
      </c>
    </row>
    <row r="5" customFormat="false" ht="15" hidden="false" customHeight="true" outlineLevel="0" collapsed="false">
      <c r="A5" s="8" t="s">
        <v>55</v>
      </c>
      <c r="B5" s="9" t="n">
        <v>8</v>
      </c>
      <c r="E5" s="10" t="s">
        <v>56</v>
      </c>
    </row>
    <row r="6" customFormat="false" ht="15" hidden="false" customHeight="true" outlineLevel="0" collapsed="false">
      <c r="A6" s="8" t="s">
        <v>57</v>
      </c>
      <c r="B6" s="22" t="n">
        <f aca="false">'The residual'!B13</f>
        <v>6.4</v>
      </c>
      <c r="E6" s="10"/>
    </row>
    <row r="7" customFormat="false" ht="15" hidden="false" customHeight="true" outlineLevel="0" collapsed="false">
      <c r="A7" s="18" t="s">
        <v>58</v>
      </c>
      <c r="B7" s="21" t="n">
        <f aca="false">B5-B6</f>
        <v>1.6</v>
      </c>
      <c r="E7" s="10"/>
    </row>
    <row r="8" customFormat="false" ht="15" hidden="false" customHeight="true" outlineLevel="0" collapsed="false">
      <c r="E8" s="10"/>
    </row>
    <row r="9" customFormat="false" ht="15" hidden="false" customHeight="true" outlineLevel="0" collapsed="false">
      <c r="A9" s="5" t="s">
        <v>59</v>
      </c>
      <c r="E9" s="10"/>
    </row>
    <row r="10" customFormat="false" ht="15" hidden="false" customHeight="true" outlineLevel="0" collapsed="false">
      <c r="A10" s="4" t="s">
        <v>60</v>
      </c>
      <c r="E10" s="10"/>
    </row>
    <row r="11" customFormat="false" ht="27.75" hidden="false" customHeight="true" outlineLevel="0" collapsed="false">
      <c r="A11" s="16" t="s">
        <v>61</v>
      </c>
      <c r="B11" s="17" t="s">
        <v>62</v>
      </c>
      <c r="C11" s="17" t="s">
        <v>63</v>
      </c>
      <c r="D11" s="17" t="s">
        <v>64</v>
      </c>
      <c r="E11" s="10"/>
    </row>
    <row r="12" customFormat="false" ht="15" hidden="false" customHeight="true" outlineLevel="0" collapsed="false">
      <c r="A12" s="8" t="s">
        <v>18</v>
      </c>
      <c r="B12" s="12" t="n">
        <f aca="false">$B$5+'The residual'!B11+'The residual'!B12</f>
        <v>101.6</v>
      </c>
      <c r="C12" s="12" t="n">
        <f aca="false">'The residual'!B5</f>
        <v>100</v>
      </c>
      <c r="D12" s="15" t="n">
        <f aca="false">B12/C12-1</f>
        <v>0.016</v>
      </c>
      <c r="E12" s="10"/>
    </row>
    <row r="13" customFormat="false" ht="15" hidden="false" customHeight="true" outlineLevel="0" collapsed="false">
      <c r="A13" s="8" t="s">
        <v>65</v>
      </c>
      <c r="B13" s="12" t="n">
        <f aca="false">'The residual'!B5-$B$5-'The residual'!B7-'The residual'!B8-'The residual'!B9-'The residual'!B12</f>
        <v>60.4</v>
      </c>
      <c r="C13" s="12" t="n">
        <f aca="false">'The residual'!B6</f>
        <v>62</v>
      </c>
      <c r="D13" s="15" t="n">
        <f aca="false">B13/C13-1</f>
        <v>-0.0258064516129033</v>
      </c>
      <c r="E13" s="10"/>
    </row>
    <row r="14" customFormat="false" ht="15" hidden="false" customHeight="true" outlineLevel="0" collapsed="false">
      <c r="A14" s="8" t="s">
        <v>23</v>
      </c>
      <c r="B14" s="12" t="n">
        <f aca="false">'The residual'!B5-$B$5-'The residual'!B6-'The residual'!B7-'The residual'!B8-'The residual'!B12</f>
        <v>2.4</v>
      </c>
      <c r="C14" s="12" t="n">
        <f aca="false">'The residual'!B9</f>
        <v>4</v>
      </c>
      <c r="D14" s="15" t="n">
        <f aca="false">B14/C14-1</f>
        <v>-0.4</v>
      </c>
      <c r="E14" s="10"/>
    </row>
    <row r="15" customFormat="false" ht="15" hidden="false" customHeight="true" outlineLevel="0" collapsed="false">
      <c r="A15" s="8" t="s">
        <v>26</v>
      </c>
      <c r="B15" s="12" t="n">
        <f aca="false">'The residual'!B5-$B$5-'The residual'!B11</f>
        <v>14</v>
      </c>
      <c r="C15" s="12" t="n">
        <f aca="false">'The residual'!B12</f>
        <v>15.6</v>
      </c>
      <c r="D15" s="15" t="n">
        <f aca="false">B15/C15-1</f>
        <v>-0.102564102564103</v>
      </c>
      <c r="E15" s="10"/>
    </row>
    <row r="16" customFormat="false" ht="15" hidden="false" customHeight="true" outlineLevel="0" collapsed="false">
      <c r="E16" s="10"/>
    </row>
    <row r="17" customFormat="false" ht="15" hidden="false" customHeight="true" outlineLevel="0" collapsed="false">
      <c r="A17" s="8" t="s">
        <v>66</v>
      </c>
      <c r="B17" s="15" t="n">
        <f aca="false">B15/'The residual'!B11</f>
        <v>0.17948717948718</v>
      </c>
      <c r="E17" s="10"/>
    </row>
    <row r="18" customFormat="false" ht="15" hidden="false" customHeight="true" outlineLevel="0" collapsed="false">
      <c r="A18" s="4" t="s">
        <v>67</v>
      </c>
      <c r="E18" s="10"/>
    </row>
    <row r="19" customFormat="false" ht="15" hidden="false" customHeight="true" outlineLevel="0" collapsed="false">
      <c r="E19" s="10"/>
    </row>
    <row r="20" customFormat="false" ht="15" hidden="false" customHeight="true" outlineLevel="0" collapsed="false">
      <c r="A20" s="5" t="s">
        <v>68</v>
      </c>
      <c r="E20" s="10"/>
    </row>
    <row r="21" customFormat="false" ht="15" hidden="false" customHeight="true" outlineLevel="0" collapsed="false">
      <c r="A21" s="8" t="s">
        <v>69</v>
      </c>
      <c r="B21" s="9" t="n">
        <v>6.4</v>
      </c>
      <c r="E21" s="10"/>
    </row>
    <row r="22" customFormat="false" ht="15" hidden="false" customHeight="true" outlineLevel="0" collapsed="false">
      <c r="A22" s="8" t="s">
        <v>70</v>
      </c>
      <c r="B22" s="12" t="n">
        <f aca="false">'The residual'!B5-'The residual'!B11-B21</f>
        <v>15.6</v>
      </c>
      <c r="E22" s="10"/>
    </row>
    <row r="23" customFormat="false" ht="15" hidden="false" customHeight="true" outlineLevel="0" collapsed="false">
      <c r="A23" s="8" t="s">
        <v>28</v>
      </c>
      <c r="B23" s="12" t="n">
        <f aca="false">'The residual'!B11+B21</f>
        <v>84.4</v>
      </c>
      <c r="E23" s="10"/>
    </row>
    <row r="24" customFormat="false" ht="15" hidden="false" customHeight="true" outlineLevel="0" collapsed="false">
      <c r="A24" s="8" t="s">
        <v>71</v>
      </c>
      <c r="B24" s="15" t="n">
        <f aca="false">B22/B23</f>
        <v>0.184834123222749</v>
      </c>
      <c r="E24" s="10"/>
    </row>
    <row r="25" customFormat="false" ht="15" hidden="false" customHeight="true" outlineLevel="0" collapsed="false">
      <c r="E25" s="10"/>
    </row>
    <row r="26" customFormat="false" ht="15" hidden="false" customHeight="true" outlineLevel="0" collapsed="false">
      <c r="A26" s="18" t="s">
        <v>72</v>
      </c>
      <c r="B26" s="21" t="n">
        <f aca="false">B22</f>
        <v>15.6</v>
      </c>
      <c r="E26" s="10"/>
    </row>
    <row r="27" customFormat="false" ht="15" hidden="false" customHeight="true" outlineLevel="0" collapsed="false">
      <c r="A27" s="8" t="s">
        <v>73</v>
      </c>
      <c r="B27" s="15" t="n">
        <f aca="false">B26/'The residual'!B6</f>
        <v>0.251612903225806</v>
      </c>
      <c r="E27" s="10"/>
    </row>
    <row r="28" customFormat="false" ht="15" hidden="false" customHeight="true" outlineLevel="0" collapsed="false">
      <c r="A28" s="18" t="s">
        <v>74</v>
      </c>
      <c r="B28" s="21" t="n">
        <f aca="false">B22</f>
        <v>15.6</v>
      </c>
      <c r="E28" s="10"/>
    </row>
    <row r="29" customFormat="false" ht="15" hidden="false" customHeight="true" outlineLevel="0" collapsed="false">
      <c r="A29" s="8" t="s">
        <v>75</v>
      </c>
      <c r="B29" s="15" t="n">
        <f aca="false">B28/'The residual'!B5</f>
        <v>0.156</v>
      </c>
    </row>
    <row r="31" customFormat="false" ht="15" hidden="false" customHeight="true" outlineLevel="0" collapsed="false">
      <c r="A31" s="23" t="s">
        <v>76</v>
      </c>
      <c r="B31" s="23"/>
      <c r="C31" s="23"/>
    </row>
  </sheetData>
  <mergeCells count="2">
    <mergeCell ref="E5:E28"/>
    <mergeCell ref="A31:C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14" min="2" style="1" width="11"/>
    <col collapsed="false" customWidth="true" hidden="false" outlineLevel="0" max="16" min="16" style="1" width="3"/>
    <col collapsed="false" customWidth="true" hidden="false" outlineLevel="0" max="17" min="17" style="1" width="52"/>
  </cols>
  <sheetData>
    <row r="1" customFormat="false" ht="17.25" hidden="false" customHeight="true" outlineLevel="0" collapsed="false">
      <c r="A1" s="7" t="s">
        <v>77</v>
      </c>
    </row>
    <row r="2" customFormat="false" ht="15" hidden="false" customHeight="true" outlineLevel="0" collapsed="false">
      <c r="A2" s="4" t="s">
        <v>78</v>
      </c>
    </row>
    <row r="4" customFormat="false" ht="15" hidden="false" customHeight="true" outlineLevel="0" collapsed="false">
      <c r="A4" s="8" t="s">
        <v>79</v>
      </c>
      <c r="B4" s="9" t="n">
        <v>6.4</v>
      </c>
      <c r="Q4" s="5" t="s">
        <v>80</v>
      </c>
    </row>
    <row r="5" customFormat="false" ht="15" hidden="false" customHeight="true" outlineLevel="0" collapsed="false">
      <c r="A5" s="8" t="s">
        <v>81</v>
      </c>
      <c r="B5" s="11" t="n">
        <v>0.075</v>
      </c>
      <c r="Q5" s="10" t="s">
        <v>82</v>
      </c>
    </row>
    <row r="6" customFormat="false" ht="15" hidden="false" customHeight="true" outlineLevel="0" collapsed="false">
      <c r="A6" s="8" t="s">
        <v>83</v>
      </c>
      <c r="B6" s="24" t="n">
        <v>2</v>
      </c>
      <c r="Q6" s="10"/>
    </row>
    <row r="7" customFormat="false" ht="15" hidden="false" customHeight="true" outlineLevel="0" collapsed="false">
      <c r="Q7" s="10"/>
    </row>
    <row r="8" customFormat="false" ht="27.75" hidden="false" customHeight="true" outlineLevel="0" collapsed="false">
      <c r="A8" s="16" t="s">
        <v>84</v>
      </c>
      <c r="B8" s="17" t="s">
        <v>85</v>
      </c>
      <c r="C8" s="17" t="s">
        <v>86</v>
      </c>
      <c r="D8" s="17" t="s">
        <v>87</v>
      </c>
      <c r="E8" s="17" t="s">
        <v>88</v>
      </c>
      <c r="F8" s="17" t="s">
        <v>89</v>
      </c>
      <c r="G8" s="17" t="s">
        <v>90</v>
      </c>
      <c r="H8" s="17" t="s">
        <v>91</v>
      </c>
      <c r="I8" s="17" t="s">
        <v>92</v>
      </c>
      <c r="J8" s="17" t="s">
        <v>93</v>
      </c>
      <c r="K8" s="17" t="s">
        <v>94</v>
      </c>
      <c r="L8" s="17" t="s">
        <v>95</v>
      </c>
      <c r="M8" s="17" t="s">
        <v>96</v>
      </c>
      <c r="N8" s="17" t="s">
        <v>97</v>
      </c>
      <c r="Q8" s="10"/>
    </row>
    <row r="9" customFormat="false" ht="15" hidden="false" customHeight="true" outlineLevel="0" collapsed="false">
      <c r="A9" s="8" t="s">
        <v>98</v>
      </c>
      <c r="B9" s="12" t="n">
        <f aca="false">$B$4</f>
        <v>6.4</v>
      </c>
      <c r="C9" s="12" t="n">
        <f aca="false">0</f>
        <v>0</v>
      </c>
      <c r="D9" s="12" t="n">
        <f aca="false">0</f>
        <v>0</v>
      </c>
      <c r="E9" s="12" t="n">
        <f aca="false">0</f>
        <v>0</v>
      </c>
      <c r="F9" s="12" t="n">
        <f aca="false">0</f>
        <v>0</v>
      </c>
      <c r="G9" s="12" t="n">
        <f aca="false">0</f>
        <v>0</v>
      </c>
      <c r="H9" s="12" t="n">
        <f aca="false">0</f>
        <v>0</v>
      </c>
      <c r="I9" s="12" t="n">
        <f aca="false">0</f>
        <v>0</v>
      </c>
      <c r="J9" s="12" t="n">
        <f aca="false">0</f>
        <v>0</v>
      </c>
      <c r="K9" s="12" t="n">
        <f aca="false">0</f>
        <v>0</v>
      </c>
      <c r="L9" s="12" t="n">
        <f aca="false">0</f>
        <v>0</v>
      </c>
      <c r="M9" s="12" t="n">
        <f aca="false">0</f>
        <v>0</v>
      </c>
      <c r="N9" s="12" t="n">
        <f aca="false">0</f>
        <v>0</v>
      </c>
      <c r="Q9" s="10"/>
    </row>
    <row r="10" customFormat="false" ht="15" hidden="false" customHeight="true" outlineLevel="0" collapsed="false">
      <c r="A10" s="8" t="s">
        <v>20</v>
      </c>
      <c r="B10" s="25" t="n">
        <v>0</v>
      </c>
      <c r="C10" s="25" t="n">
        <v>0</v>
      </c>
      <c r="D10" s="25" t="n">
        <v>0</v>
      </c>
      <c r="E10" s="25" t="n">
        <v>4</v>
      </c>
      <c r="F10" s="25" t="n">
        <v>7</v>
      </c>
      <c r="G10" s="25" t="n">
        <v>8</v>
      </c>
      <c r="H10" s="25" t="n">
        <v>9</v>
      </c>
      <c r="I10" s="25" t="n">
        <v>9</v>
      </c>
      <c r="J10" s="25" t="n">
        <v>8</v>
      </c>
      <c r="K10" s="25" t="n">
        <v>7</v>
      </c>
      <c r="L10" s="25" t="n">
        <v>6</v>
      </c>
      <c r="M10" s="25" t="n">
        <v>4</v>
      </c>
      <c r="N10" s="25" t="n">
        <v>0</v>
      </c>
      <c r="Q10" s="10"/>
    </row>
    <row r="11" customFormat="false" ht="15" hidden="false" customHeight="true" outlineLevel="0" collapsed="false">
      <c r="A11" s="8" t="s">
        <v>99</v>
      </c>
      <c r="B11" s="25" t="n">
        <v>1.92</v>
      </c>
      <c r="C11" s="25" t="n">
        <v>1.28</v>
      </c>
      <c r="D11" s="25" t="n">
        <v>1.28</v>
      </c>
      <c r="E11" s="25" t="n">
        <v>0.96</v>
      </c>
      <c r="F11" s="25" t="n">
        <v>0.96</v>
      </c>
      <c r="G11" s="25" t="n">
        <v>0.96</v>
      </c>
      <c r="H11" s="25" t="n">
        <v>0.8</v>
      </c>
      <c r="I11" s="25" t="n">
        <v>0.8</v>
      </c>
      <c r="J11" s="25" t="n">
        <v>0.8</v>
      </c>
      <c r="K11" s="25" t="n">
        <v>0.64</v>
      </c>
      <c r="L11" s="25" t="n">
        <v>0.64</v>
      </c>
      <c r="M11" s="25" t="n">
        <v>0.48</v>
      </c>
      <c r="N11" s="25" t="n">
        <v>0.48</v>
      </c>
      <c r="Q11" s="10"/>
    </row>
    <row r="12" customFormat="false" ht="15" hidden="false" customHeight="true" outlineLevel="0" collapsed="false">
      <c r="A12" s="8" t="s">
        <v>100</v>
      </c>
      <c r="B12" s="25" t="n">
        <v>0</v>
      </c>
      <c r="C12" s="25" t="n">
        <v>0</v>
      </c>
      <c r="D12" s="25" t="n">
        <v>0</v>
      </c>
      <c r="E12" s="25" t="n">
        <v>0</v>
      </c>
      <c r="F12" s="25" t="n">
        <v>0</v>
      </c>
      <c r="G12" s="25" t="n">
        <v>0</v>
      </c>
      <c r="H12" s="25" t="n">
        <v>0</v>
      </c>
      <c r="I12" s="25" t="n">
        <v>0</v>
      </c>
      <c r="J12" s="25" t="n">
        <v>0</v>
      </c>
      <c r="K12" s="25" t="n">
        <v>0</v>
      </c>
      <c r="L12" s="25" t="n">
        <v>-20</v>
      </c>
      <c r="M12" s="25" t="n">
        <v>-40</v>
      </c>
      <c r="N12" s="25" t="n">
        <v>-40</v>
      </c>
      <c r="Q12" s="10"/>
    </row>
    <row r="13" customFormat="false" ht="15" hidden="false" customHeight="true" outlineLevel="0" collapsed="false">
      <c r="Q13" s="10"/>
    </row>
    <row r="14" customFormat="false" ht="15" hidden="false" customHeight="true" outlineLevel="0" collapsed="false">
      <c r="A14" s="8" t="s">
        <v>101</v>
      </c>
      <c r="B14" s="12" t="n">
        <f aca="false">0</f>
        <v>0</v>
      </c>
      <c r="C14" s="12" t="n">
        <f aca="false">B17</f>
        <v>8.398</v>
      </c>
      <c r="D14" s="12" t="n">
        <f aca="false">C17</f>
        <v>9.8474625</v>
      </c>
      <c r="E14" s="12" t="n">
        <f aca="false">D17</f>
        <v>11.324102421875</v>
      </c>
      <c r="F14" s="12" t="n">
        <f aca="false">E17</f>
        <v>16.5429293422852</v>
      </c>
      <c r="G14" s="12" t="n">
        <f aca="false">F17</f>
        <v>24.887734267453</v>
      </c>
      <c r="H14" s="12" t="n">
        <f aca="false">G17</f>
        <v>34.3983792849678</v>
      </c>
      <c r="I14" s="12" t="n">
        <f aca="false">H17</f>
        <v>44.9352238965609</v>
      </c>
      <c r="J14" s="12" t="n">
        <f aca="false">I17</f>
        <v>55.6696343446214</v>
      </c>
      <c r="K14" s="12" t="n">
        <f aca="false">J17</f>
        <v>65.5959399885831</v>
      </c>
      <c r="L14" s="12" t="n">
        <f aca="false">K17</f>
        <v>74.537488863369</v>
      </c>
      <c r="M14" s="12" t="n">
        <f aca="false">L17</f>
        <v>62.4498167795572</v>
      </c>
      <c r="N14" s="12" t="n">
        <f aca="false">M17</f>
        <v>27.7677508441739</v>
      </c>
      <c r="Q14" s="10"/>
    </row>
    <row r="15" customFormat="false" ht="15" hidden="false" customHeight="true" outlineLevel="0" collapsed="false">
      <c r="A15" s="8" t="s">
        <v>102</v>
      </c>
      <c r="B15" s="12" t="n">
        <f aca="false">B9+B10+B11+B12</f>
        <v>8.32</v>
      </c>
      <c r="C15" s="12" t="n">
        <f aca="false">C9+C10+C11+C12</f>
        <v>1.28</v>
      </c>
      <c r="D15" s="12" t="n">
        <f aca="false">D9+D10+D11+D12</f>
        <v>1.28</v>
      </c>
      <c r="E15" s="12" t="n">
        <f aca="false">E9+E10+E11+E12</f>
        <v>4.96</v>
      </c>
      <c r="F15" s="12" t="n">
        <f aca="false">F9+F10+F11+F12</f>
        <v>7.96</v>
      </c>
      <c r="G15" s="12" t="n">
        <f aca="false">G9+G10+G11+G12</f>
        <v>8.96</v>
      </c>
      <c r="H15" s="12" t="n">
        <f aca="false">H9+H10+H11+H12</f>
        <v>9.8</v>
      </c>
      <c r="I15" s="12" t="n">
        <f aca="false">I9+I10+I11+I12</f>
        <v>9.8</v>
      </c>
      <c r="J15" s="12" t="n">
        <f aca="false">J9+J10+J11+J12</f>
        <v>8.8</v>
      </c>
      <c r="K15" s="12" t="n">
        <f aca="false">K9+K10+K11+K12</f>
        <v>7.64</v>
      </c>
      <c r="L15" s="12" t="n">
        <f aca="false">L9+L10+L11+L12</f>
        <v>-13.36</v>
      </c>
      <c r="M15" s="12" t="n">
        <f aca="false">M9+M10+M11+M12</f>
        <v>-35.52</v>
      </c>
      <c r="N15" s="12" t="n">
        <f aca="false">N9+N10+N11+N12</f>
        <v>-39.52</v>
      </c>
      <c r="Q15" s="10"/>
    </row>
    <row r="16" customFormat="false" ht="15" hidden="false" customHeight="true" outlineLevel="0" collapsed="false">
      <c r="A16" s="8" t="s">
        <v>103</v>
      </c>
      <c r="B16" s="12" t="n">
        <f aca="false">(B14+B15/2)*$B$5/4</f>
        <v>0.078</v>
      </c>
      <c r="C16" s="12" t="n">
        <f aca="false">(C14+C15/2)*$B$5/4</f>
        <v>0.1694625</v>
      </c>
      <c r="D16" s="12" t="n">
        <f aca="false">(D14+D15/2)*$B$5/4</f>
        <v>0.196639921875</v>
      </c>
      <c r="E16" s="12" t="n">
        <f aca="false">(E14+E15/2)*$B$5/4</f>
        <v>0.258826920410156</v>
      </c>
      <c r="F16" s="12" t="n">
        <f aca="false">(F14+F15/2)*$B$5/4</f>
        <v>0.384804925167847</v>
      </c>
      <c r="G16" s="12" t="n">
        <f aca="false">(G14+G15/2)*$B$5/4</f>
        <v>0.550645017514744</v>
      </c>
      <c r="H16" s="12" t="n">
        <f aca="false">(H14+H15/2)*$B$5/4</f>
        <v>0.736844611593145</v>
      </c>
      <c r="I16" s="12" t="n">
        <f aca="false">(I14+I15/2)*$B$5/4</f>
        <v>0.934410448060517</v>
      </c>
      <c r="J16" s="12" t="n">
        <f aca="false">(J14+J15/2)*$B$5/4</f>
        <v>1.12630564396165</v>
      </c>
      <c r="K16" s="12" t="n">
        <f aca="false">(K14+K15/2)*$B$5/4</f>
        <v>1.30154887478593</v>
      </c>
      <c r="L16" s="12" t="n">
        <f aca="false">(L14+L15/2)*$B$5/4</f>
        <v>1.27232791618817</v>
      </c>
      <c r="M16" s="12" t="n">
        <f aca="false">(M14+M15/2)*$B$5/4</f>
        <v>0.837934064616697</v>
      </c>
      <c r="N16" s="12" t="n">
        <f aca="false">(N14+N15/2)*$B$5/4</f>
        <v>0.15014532832826</v>
      </c>
      <c r="Q16" s="10"/>
    </row>
    <row r="17" customFormat="false" ht="15" hidden="false" customHeight="true" outlineLevel="0" collapsed="false">
      <c r="A17" s="18" t="s">
        <v>104</v>
      </c>
      <c r="B17" s="21" t="n">
        <f aca="false">B14+B15+B16</f>
        <v>8.398</v>
      </c>
      <c r="C17" s="21" t="n">
        <f aca="false">C14+C15+C16</f>
        <v>9.8474625</v>
      </c>
      <c r="D17" s="21" t="n">
        <f aca="false">D14+D15+D16</f>
        <v>11.324102421875</v>
      </c>
      <c r="E17" s="21" t="n">
        <f aca="false">E14+E15+E16</f>
        <v>16.5429293422852</v>
      </c>
      <c r="F17" s="21" t="n">
        <f aca="false">F14+F15+F16</f>
        <v>24.887734267453</v>
      </c>
      <c r="G17" s="21" t="n">
        <f aca="false">G14+G15+G16</f>
        <v>34.3983792849678</v>
      </c>
      <c r="H17" s="21" t="n">
        <f aca="false">H14+H15+H16</f>
        <v>44.9352238965609</v>
      </c>
      <c r="I17" s="21" t="n">
        <f aca="false">I14+I15+I16</f>
        <v>55.6696343446214</v>
      </c>
      <c r="J17" s="21" t="n">
        <f aca="false">J14+J15+J16</f>
        <v>65.5959399885831</v>
      </c>
      <c r="K17" s="21" t="n">
        <f aca="false">K14+K15+K16</f>
        <v>74.537488863369</v>
      </c>
      <c r="L17" s="21" t="n">
        <f aca="false">L14+L15+L16</f>
        <v>62.4498167795572</v>
      </c>
      <c r="M17" s="21" t="n">
        <f aca="false">M14+M15+M16</f>
        <v>27.7677508441739</v>
      </c>
      <c r="N17" s="21" t="n">
        <f aca="false">N14+N15+N16</f>
        <v>-11.6021038274979</v>
      </c>
      <c r="Q17" s="10"/>
    </row>
    <row r="18" customFormat="false" ht="15" hidden="false" customHeight="true" outlineLevel="0" collapsed="false">
      <c r="A18" s="23" t="s">
        <v>105</v>
      </c>
      <c r="B18" s="23"/>
      <c r="C18" s="23"/>
      <c r="D18" s="23"/>
      <c r="E18" s="23"/>
      <c r="F18" s="23"/>
      <c r="G18" s="23"/>
      <c r="H18" s="23"/>
      <c r="Q18" s="10"/>
    </row>
    <row r="19" customFormat="false" ht="15" hidden="false" customHeight="true" outlineLevel="0" collapsed="false">
      <c r="A19" s="5" t="s">
        <v>106</v>
      </c>
      <c r="Q19" s="10"/>
    </row>
    <row r="20" customFormat="false" ht="15" hidden="false" customHeight="true" outlineLevel="0" collapsed="false">
      <c r="A20" s="18" t="s">
        <v>107</v>
      </c>
      <c r="B20" s="21" t="n">
        <f aca="false">MAX(B17:N17)</f>
        <v>74.537488863369</v>
      </c>
      <c r="Q20" s="10"/>
    </row>
    <row r="21" customFormat="false" ht="15" hidden="false" customHeight="true" outlineLevel="0" collapsed="false">
      <c r="A21" s="8" t="s">
        <v>108</v>
      </c>
      <c r="B21" s="26" t="n">
        <f aca="false">MATCH(B20,B17:N17,0)-1</f>
        <v>9</v>
      </c>
      <c r="Q21" s="10"/>
    </row>
    <row r="22" customFormat="false" ht="15" hidden="false" customHeight="true" outlineLevel="0" collapsed="false">
      <c r="A22" s="8" t="s">
        <v>109</v>
      </c>
      <c r="B22" s="26" t="n">
        <f aca="false">COUNTIF(B17:N17,"&gt;="&amp;B20*0.9)</f>
        <v>1</v>
      </c>
      <c r="Q22" s="10"/>
    </row>
    <row r="23" customFormat="false" ht="15" hidden="false" customHeight="true" outlineLevel="0" collapsed="false">
      <c r="A23" s="18" t="s">
        <v>110</v>
      </c>
      <c r="B23" s="21" t="n">
        <f aca="false">SUM(B16:N16)</f>
        <v>7.99789617250212</v>
      </c>
      <c r="Q23" s="10"/>
    </row>
    <row r="24" customFormat="false" ht="15" hidden="false" customHeight="true" outlineLevel="0" collapsed="false">
      <c r="A24" s="8" t="s">
        <v>111</v>
      </c>
      <c r="B24" s="12" t="n">
        <f aca="false">-N17</f>
        <v>11.6021038274979</v>
      </c>
      <c r="Q24" s="10"/>
    </row>
    <row r="25" customFormat="false" ht="15" hidden="false" customHeight="true" outlineLevel="0" collapsed="false">
      <c r="A25" s="5" t="s">
        <v>112</v>
      </c>
      <c r="Q25" s="10"/>
    </row>
    <row r="26" customFormat="false" ht="15" hidden="false" customHeight="true" outlineLevel="0" collapsed="false">
      <c r="A26" s="8" t="s">
        <v>113</v>
      </c>
      <c r="B26" s="12" t="n">
        <f aca="false">B20*$B$5/4</f>
        <v>1.39757791618817</v>
      </c>
      <c r="Q26" s="10"/>
    </row>
    <row r="27" customFormat="false" ht="15" hidden="false" customHeight="true" outlineLevel="0" collapsed="false">
      <c r="A27" s="8" t="s">
        <v>114</v>
      </c>
      <c r="B27" s="12" t="n">
        <f aca="false">B26*$B$6</f>
        <v>2.79515583237634</v>
      </c>
      <c r="Q27" s="10"/>
    </row>
    <row r="28" customFormat="false" ht="15" hidden="false" customHeight="true" outlineLevel="0" collapsed="false">
      <c r="A28" s="8" t="s">
        <v>115</v>
      </c>
      <c r="B28" s="15" t="n">
        <f aca="false">B27/'Reverse and resilience'!B22</f>
        <v>0.17917665592156</v>
      </c>
      <c r="Q28" s="10"/>
    </row>
    <row r="29" customFormat="false" ht="15" hidden="false" customHeight="true" outlineLevel="0" collapsed="false">
      <c r="A29" s="23" t="s">
        <v>116</v>
      </c>
      <c r="B29" s="23"/>
      <c r="C29" s="23"/>
      <c r="D29" s="23"/>
      <c r="E29" s="23"/>
    </row>
    <row r="30" customFormat="false" ht="15" hidden="false" customHeight="true" outlineLevel="0" collapsed="false">
      <c r="A30" s="8" t="s">
        <v>117</v>
      </c>
      <c r="B30" s="12" t="n">
        <f aca="false">'Reverse and resilience'!B22</f>
        <v>15.6</v>
      </c>
    </row>
    <row r="32" customFormat="false" ht="15" hidden="false" customHeight="true" outlineLevel="0" collapsed="false">
      <c r="A32" s="5" t="s">
        <v>118</v>
      </c>
    </row>
    <row r="33" customFormat="false" ht="15" hidden="false" customHeight="true" outlineLevel="0" collapsed="false">
      <c r="A33" s="8" t="s">
        <v>119</v>
      </c>
      <c r="B33" s="12" t="n">
        <f aca="false">B23</f>
        <v>7.99789617250212</v>
      </c>
    </row>
    <row r="34" customFormat="false" ht="15" hidden="false" customHeight="true" outlineLevel="0" collapsed="false">
      <c r="A34" s="8" t="s">
        <v>120</v>
      </c>
      <c r="B34" s="12" t="n">
        <f aca="false">'The residual'!B9</f>
        <v>4</v>
      </c>
    </row>
    <row r="35" customFormat="false" ht="15" hidden="false" customHeight="true" outlineLevel="0" collapsed="false">
      <c r="A35" s="18" t="s">
        <v>121</v>
      </c>
      <c r="B35" s="21" t="n">
        <f aca="false">B33-B34</f>
        <v>3.99789617250212</v>
      </c>
    </row>
    <row r="36" customFormat="false" ht="15" hidden="false" customHeight="true" outlineLevel="0" collapsed="false">
      <c r="A36" s="8" t="s">
        <v>115</v>
      </c>
      <c r="B36" s="15" t="n">
        <f aca="false">B35/'Reverse and resilience'!B22</f>
        <v>0.256275395673213</v>
      </c>
    </row>
    <row r="37" customFormat="false" ht="15" hidden="false" customHeight="true" outlineLevel="0" collapsed="false">
      <c r="A37" s="20" t="s">
        <v>122</v>
      </c>
      <c r="B37" s="20"/>
      <c r="C37" s="20"/>
      <c r="D37" s="20"/>
      <c r="E37" s="20"/>
      <c r="F37" s="20"/>
      <c r="G37" s="20"/>
      <c r="H37" s="20"/>
    </row>
    <row r="38" customFormat="false" ht="15" hidden="false" customHeight="true" outlineLevel="0" collapsed="false">
      <c r="A38" s="20"/>
      <c r="B38" s="20"/>
      <c r="C38" s="20"/>
      <c r="D38" s="20"/>
      <c r="E38" s="20"/>
      <c r="F38" s="20"/>
      <c r="G38" s="20"/>
      <c r="H38" s="20"/>
    </row>
    <row r="39" customFormat="false" ht="15" hidden="false" customHeight="false" outlineLevel="0" collapsed="false">
      <c r="A39" s="27" t="s">
        <v>123</v>
      </c>
    </row>
    <row r="40" customFormat="false" ht="15" hidden="false" customHeight="false" outlineLevel="0" collapsed="false">
      <c r="A40" s="8" t="s">
        <v>124</v>
      </c>
      <c r="B40" s="12" t="n">
        <f aca="false">SUM(B10:N10)-'The residual'!B6</f>
        <v>0</v>
      </c>
    </row>
    <row r="41" customFormat="false" ht="15" hidden="false" customHeight="false" outlineLevel="0" collapsed="false">
      <c r="A41" s="8" t="s">
        <v>125</v>
      </c>
      <c r="B41" s="12" t="n">
        <f aca="false">SUM(B11:N11)-'The residual'!B7-'The residual'!B8</f>
        <v>0</v>
      </c>
    </row>
    <row r="42" customFormat="false" ht="15" hidden="false" customHeight="false" outlineLevel="0" collapsed="false">
      <c r="A42" s="8" t="s">
        <v>126</v>
      </c>
      <c r="B42" s="12" t="n">
        <f aca="false">-SUM(B12:N12)-'The residual'!B5</f>
        <v>0</v>
      </c>
    </row>
    <row r="43" customFormat="false" ht="15" hidden="false" customHeight="false" outlineLevel="0" collapsed="false">
      <c r="A43" s="8" t="s">
        <v>127</v>
      </c>
      <c r="B43" s="12" t="n">
        <f aca="false">B24-('Reverse and resilience'!B22-B35)</f>
        <v>0</v>
      </c>
    </row>
    <row r="44" customFormat="false" ht="57.45" hidden="false" customHeight="false" outlineLevel="0" collapsed="false">
      <c r="A44" s="28" t="s">
        <v>128</v>
      </c>
    </row>
  </sheetData>
  <mergeCells count="4">
    <mergeCell ref="Q5:Q28"/>
    <mergeCell ref="A18:H18"/>
    <mergeCell ref="A29:E29"/>
    <mergeCell ref="A37:H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6"/>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129</v>
      </c>
    </row>
    <row r="2" customFormat="false" ht="15" hidden="false" customHeight="true" outlineLevel="0" collapsed="false">
      <c r="A2" s="4" t="s">
        <v>130</v>
      </c>
    </row>
    <row r="4" customFormat="false" ht="27.75" hidden="false" customHeight="true" outlineLevel="0" collapsed="false">
      <c r="A4" s="16" t="s">
        <v>131</v>
      </c>
      <c r="B4" s="17" t="s">
        <v>132</v>
      </c>
      <c r="C4" s="17" t="s">
        <v>133</v>
      </c>
      <c r="D4" s="17" t="s">
        <v>134</v>
      </c>
      <c r="E4" s="17" t="s">
        <v>135</v>
      </c>
      <c r="F4" s="17" t="s">
        <v>136</v>
      </c>
      <c r="H4" s="5" t="s">
        <v>137</v>
      </c>
    </row>
    <row r="5" customFormat="false" ht="15" hidden="false" customHeight="true" outlineLevel="0" collapsed="false">
      <c r="A5" s="29" t="s">
        <v>138</v>
      </c>
      <c r="B5" s="30" t="s">
        <v>139</v>
      </c>
      <c r="C5" s="31" t="n">
        <v>20</v>
      </c>
      <c r="D5" s="32" t="n">
        <f aca="false">'The residual'!D21</f>
        <v>20</v>
      </c>
      <c r="E5" s="33" t="n">
        <f aca="false">D5-C5</f>
        <v>0</v>
      </c>
      <c r="F5" s="34" t="str">
        <f aca="false">IF(ABS(E5)&lt;=0.006,"reproduced",IF(ABS(E5)&lt;=0.006*5,"rounding","CHECK"))</f>
        <v>reproduced</v>
      </c>
      <c r="H5" s="10" t="s">
        <v>140</v>
      </c>
    </row>
    <row r="6" customFormat="false" ht="15" hidden="false" customHeight="true" outlineLevel="0" collapsed="false">
      <c r="A6" s="35" t="s">
        <v>138</v>
      </c>
      <c r="B6" s="36" t="s">
        <v>141</v>
      </c>
      <c r="C6" s="37" t="n">
        <v>11</v>
      </c>
      <c r="D6" s="38" t="n">
        <f aca="false">'The residual'!D22</f>
        <v>11</v>
      </c>
      <c r="E6" s="39" t="n">
        <f aca="false">D6-C6</f>
        <v>0</v>
      </c>
      <c r="F6" s="40" t="str">
        <f aca="false">IF(ABS(E6)&lt;=0.006,"reproduced",IF(ABS(E6)&lt;=0.006*5,"rounding","CHECK"))</f>
        <v>reproduced</v>
      </c>
      <c r="H6" s="10"/>
    </row>
    <row r="7" customFormat="false" ht="15" hidden="false" customHeight="true" outlineLevel="0" collapsed="false">
      <c r="A7" s="29" t="s">
        <v>138</v>
      </c>
      <c r="B7" s="30" t="s">
        <v>142</v>
      </c>
      <c r="C7" s="41" t="n">
        <v>-0.45</v>
      </c>
      <c r="D7" s="42" t="n">
        <f aca="false">'The residual'!D23</f>
        <v>-0.45</v>
      </c>
      <c r="E7" s="43" t="n">
        <f aca="false">D7-C7</f>
        <v>0</v>
      </c>
      <c r="F7" s="34" t="str">
        <f aca="false">IF(ABS(E7)&lt;=0.0005,"reproduced",IF(ABS(E7)&lt;=0.0005*5,"rounding","CHECK"))</f>
        <v>reproduced</v>
      </c>
      <c r="H7" s="10"/>
    </row>
    <row r="8" customFormat="false" ht="15" hidden="false" customHeight="true" outlineLevel="0" collapsed="false">
      <c r="A8" s="35" t="s">
        <v>138</v>
      </c>
      <c r="B8" s="36" t="s">
        <v>143</v>
      </c>
      <c r="C8" s="37" t="n">
        <v>78</v>
      </c>
      <c r="D8" s="38" t="n">
        <f aca="false">'The residual'!B11</f>
        <v>78</v>
      </c>
      <c r="E8" s="39" t="n">
        <f aca="false">D8-C8</f>
        <v>0</v>
      </c>
      <c r="F8" s="40" t="str">
        <f aca="false">IF(ABS(E8)&lt;=0.006,"reproduced",IF(ABS(E8)&lt;=0.006*5,"rounding","CHECK"))</f>
        <v>reproduced</v>
      </c>
      <c r="H8" s="10"/>
    </row>
    <row r="9" customFormat="false" ht="15" hidden="false" customHeight="true" outlineLevel="0" collapsed="false">
      <c r="A9" s="29" t="s">
        <v>138</v>
      </c>
      <c r="B9" s="30" t="s">
        <v>144</v>
      </c>
      <c r="C9" s="31" t="n">
        <v>15.6</v>
      </c>
      <c r="D9" s="32" t="n">
        <f aca="false">'The residual'!B12</f>
        <v>15.6</v>
      </c>
      <c r="E9" s="33" t="n">
        <f aca="false">D9-C9</f>
        <v>0</v>
      </c>
      <c r="F9" s="34" t="str">
        <f aca="false">IF(ABS(E9)&lt;=0.006,"reproduced",IF(ABS(E9)&lt;=0.006*5,"rounding","CHECK"))</f>
        <v>reproduced</v>
      </c>
      <c r="H9" s="10"/>
    </row>
    <row r="10" customFormat="false" ht="15" hidden="false" customHeight="true" outlineLevel="0" collapsed="false">
      <c r="A10" s="35" t="s">
        <v>138</v>
      </c>
      <c r="B10" s="36" t="s">
        <v>27</v>
      </c>
      <c r="C10" s="37" t="n">
        <v>6.4</v>
      </c>
      <c r="D10" s="38" t="n">
        <f aca="false">'The residual'!B13</f>
        <v>6.4</v>
      </c>
      <c r="E10" s="39" t="n">
        <f aca="false">D10-C10</f>
        <v>0</v>
      </c>
      <c r="F10" s="40" t="str">
        <f aca="false">IF(ABS(E10)&lt;=0.006,"reproduced",IF(ABS(E10)&lt;=0.006*5,"rounding","CHECK"))</f>
        <v>reproduced</v>
      </c>
      <c r="H10" s="10"/>
    </row>
    <row r="11" customFormat="false" ht="15" hidden="false" customHeight="true" outlineLevel="0" collapsed="false">
      <c r="A11" s="29" t="s">
        <v>138</v>
      </c>
      <c r="B11" s="30" t="s">
        <v>145</v>
      </c>
      <c r="C11" s="31" t="n">
        <v>67</v>
      </c>
      <c r="D11" s="32" t="n">
        <f aca="false">'The residual'!C31</f>
        <v>67</v>
      </c>
      <c r="E11" s="33" t="n">
        <f aca="false">D11-C11</f>
        <v>0</v>
      </c>
      <c r="F11" s="34" t="str">
        <f aca="false">IF(ABS(E11)&lt;=0.6,"reproduced",IF(ABS(E11)&lt;=0.6*5,"rounding","CHECK"))</f>
        <v>reproduced</v>
      </c>
      <c r="H11" s="10"/>
    </row>
    <row r="12" customFormat="false" ht="15" hidden="false" customHeight="true" outlineLevel="0" collapsed="false">
      <c r="A12" s="35" t="s">
        <v>138</v>
      </c>
      <c r="B12" s="36" t="s">
        <v>146</v>
      </c>
      <c r="C12" s="37" t="n">
        <v>1.4</v>
      </c>
      <c r="D12" s="38" t="n">
        <f aca="false">'The residual'!E31</f>
        <v>1.4</v>
      </c>
      <c r="E12" s="39" t="n">
        <f aca="false">D12-C12</f>
        <v>0</v>
      </c>
      <c r="F12" s="40" t="str">
        <f aca="false">IF(ABS(E12)&lt;=0.006,"reproduced",IF(ABS(E12)&lt;=0.006*5,"rounding","CHECK"))</f>
        <v>reproduced</v>
      </c>
      <c r="H12" s="10"/>
    </row>
    <row r="13" customFormat="false" ht="15" hidden="false" customHeight="true" outlineLevel="0" collapsed="false">
      <c r="A13" s="29" t="s">
        <v>138</v>
      </c>
      <c r="B13" s="30" t="s">
        <v>147</v>
      </c>
      <c r="C13" s="41" t="n">
        <v>-0.78</v>
      </c>
      <c r="D13" s="42" t="n">
        <f aca="false">'The residual'!B35</f>
        <v>-0.78125</v>
      </c>
      <c r="E13" s="43" t="n">
        <f aca="false">D13-C13</f>
        <v>-0.0012500000000002</v>
      </c>
      <c r="F13" s="34" t="str">
        <f aca="false">IF(ABS(E13)&lt;=0.005,"reproduced",IF(ABS(E13)&lt;=0.005*5,"rounding","CHECK"))</f>
        <v>reproduced</v>
      </c>
      <c r="H13" s="10"/>
    </row>
    <row r="14" customFormat="false" ht="15" hidden="false" customHeight="true" outlineLevel="0" collapsed="false">
      <c r="A14" s="35" t="s">
        <v>138</v>
      </c>
      <c r="B14" s="36" t="s">
        <v>148</v>
      </c>
      <c r="C14" s="37" t="n">
        <v>5.5</v>
      </c>
      <c r="D14" s="38" t="n">
        <f aca="false">'The residual'!D32</f>
        <v>5.5</v>
      </c>
      <c r="E14" s="39" t="n">
        <f aca="false">D14-C14</f>
        <v>0</v>
      </c>
      <c r="F14" s="40" t="str">
        <f aca="false">IF(ABS(E14)&lt;=0.006,"reproduced",IF(ABS(E14)&lt;=0.006*5,"rounding","CHECK"))</f>
        <v>reproduced</v>
      </c>
      <c r="H14" s="10"/>
    </row>
    <row r="15" customFormat="false" ht="15" hidden="false" customHeight="true" outlineLevel="0" collapsed="false">
      <c r="A15" s="29" t="s">
        <v>138</v>
      </c>
      <c r="B15" s="30" t="s">
        <v>149</v>
      </c>
      <c r="C15" s="31" t="n">
        <v>2.9</v>
      </c>
      <c r="D15" s="32" t="n">
        <f aca="false">'The residual'!E32</f>
        <v>2.9</v>
      </c>
      <c r="E15" s="33" t="n">
        <f aca="false">D15-C15</f>
        <v>0</v>
      </c>
      <c r="F15" s="34" t="str">
        <f aca="false">IF(ABS(E15)&lt;=0.006,"reproduced",IF(ABS(E15)&lt;=0.006*5,"rounding","CHECK"))</f>
        <v>reproduced</v>
      </c>
      <c r="H15" s="10"/>
    </row>
    <row r="16" customFormat="false" ht="15" hidden="false" customHeight="true" outlineLevel="0" collapsed="false">
      <c r="A16" s="35" t="s">
        <v>138</v>
      </c>
      <c r="B16" s="36" t="s">
        <v>150</v>
      </c>
      <c r="C16" s="37" t="n">
        <v>95</v>
      </c>
      <c r="D16" s="38" t="n">
        <f aca="false">'The residual'!B33</f>
        <v>95</v>
      </c>
      <c r="E16" s="39" t="n">
        <f aca="false">D16-C16</f>
        <v>0</v>
      </c>
      <c r="F16" s="40" t="str">
        <f aca="false">IF(ABS(E16)&lt;=0.006,"reproduced",IF(ABS(E16)&lt;=0.006*5,"rounding","CHECK"))</f>
        <v>reproduced</v>
      </c>
      <c r="H16" s="10"/>
    </row>
    <row r="17" customFormat="false" ht="15" hidden="false" customHeight="true" outlineLevel="0" collapsed="false">
      <c r="A17" s="29" t="s">
        <v>138</v>
      </c>
      <c r="B17" s="30" t="s">
        <v>151</v>
      </c>
      <c r="C17" s="31" t="n">
        <v>1.4</v>
      </c>
      <c r="D17" s="32" t="n">
        <f aca="false">'The residual'!E33</f>
        <v>1.4</v>
      </c>
      <c r="E17" s="33" t="n">
        <f aca="false">D17-C17</f>
        <v>0</v>
      </c>
      <c r="F17" s="34" t="str">
        <f aca="false">IF(ABS(E17)&lt;=0.006,"reproduced",IF(ABS(E17)&lt;=0.006*5,"rounding","CHECK"))</f>
        <v>reproduced</v>
      </c>
      <c r="H17" s="10"/>
    </row>
    <row r="18" customFormat="false" ht="15" hidden="false" customHeight="true" outlineLevel="0" collapsed="false">
      <c r="A18" s="35" t="s">
        <v>138</v>
      </c>
      <c r="B18" s="36" t="s">
        <v>152</v>
      </c>
      <c r="C18" s="37" t="s">
        <v>153</v>
      </c>
      <c r="D18" s="38" t="n">
        <f aca="false">'The residual'!E34</f>
        <v>-7.1</v>
      </c>
      <c r="E18" s="39"/>
      <c r="F18" s="40" t="str">
        <f aca="false">IF(D18&lt;0,"reproduced","CHECK")</f>
        <v>reproduced</v>
      </c>
      <c r="H18" s="10"/>
    </row>
    <row r="19" customFormat="false" ht="15" hidden="false" customHeight="true" outlineLevel="0" collapsed="false">
      <c r="H19" s="10"/>
    </row>
    <row r="20" customFormat="false" ht="15" hidden="false" customHeight="true" outlineLevel="0" collapsed="false">
      <c r="A20" s="8" t="s">
        <v>154</v>
      </c>
      <c r="C20" s="44" t="n">
        <f aca="false">COUNTIF(F5:F18,"reproduced")</f>
        <v>14</v>
      </c>
      <c r="H20" s="10"/>
    </row>
    <row r="21" customFormat="false" ht="15" hidden="false" customHeight="true" outlineLevel="0" collapsed="false">
      <c r="A21" s="8" t="s">
        <v>155</v>
      </c>
      <c r="C21" s="44" t="n">
        <f aca="false">COUNTIF(F5:F18,"rounding")</f>
        <v>0</v>
      </c>
      <c r="H21" s="10"/>
    </row>
    <row r="22" customFormat="false" ht="15" hidden="false" customHeight="true" outlineLevel="0" collapsed="false">
      <c r="A22" s="8" t="s">
        <v>156</v>
      </c>
      <c r="C22" s="44" t="n">
        <f aca="false">COUNTIF(F5:F18,"CHECK")</f>
        <v>0</v>
      </c>
      <c r="H22" s="10"/>
    </row>
    <row r="23" customFormat="false" ht="15" hidden="false" customHeight="true" outlineLevel="0" collapsed="false">
      <c r="H23" s="10"/>
    </row>
    <row r="24" customFormat="false" ht="15" hidden="false" customHeight="true" outlineLevel="0" collapsed="false">
      <c r="A24" s="18" t="s">
        <v>157</v>
      </c>
      <c r="H24" s="10"/>
    </row>
    <row r="25" customFormat="false" ht="15" hidden="false" customHeight="true" outlineLevel="0" collapsed="false">
      <c r="A25" s="1" t="s">
        <v>158</v>
      </c>
      <c r="B25" s="30" t="s">
        <v>159</v>
      </c>
      <c r="F25" s="34" t="str">
        <f aca="false">IF(ABS('The residual'!C34-('The residual'!C31+2))&lt;0.000000001,"OK","CHECK")</f>
        <v>OK</v>
      </c>
      <c r="H25" s="10"/>
    </row>
    <row r="26" customFormat="false" ht="15" hidden="false" customHeight="true" outlineLevel="0" collapsed="false">
      <c r="A26" s="1" t="s">
        <v>158</v>
      </c>
      <c r="B26" s="30" t="s">
        <v>160</v>
      </c>
      <c r="F26" s="34" t="str">
        <f aca="false">IF('The residual'!E34&lt;MIN('The residual'!E31:E33),"OK","CHECK")</f>
        <v>OK</v>
      </c>
      <c r="H26" s="10"/>
    </row>
    <row r="27" customFormat="false" ht="15" hidden="false" customHeight="false" outlineLevel="0" collapsed="false">
      <c r="A27" s="1" t="s">
        <v>158</v>
      </c>
      <c r="B27" s="30" t="s">
        <v>161</v>
      </c>
      <c r="F27" s="34" t="str">
        <f aca="false">IF(ABS('Cash flow and peak debt'!B40)+ABS('Cash flow and peak debt'!B41)+ABS('Cash flow and peak debt'!B42)&lt;0.000001,"OK","CHECK")</f>
        <v>OK</v>
      </c>
    </row>
    <row r="28" customFormat="false" ht="15" hidden="false" customHeight="false" outlineLevel="0" collapsed="false">
      <c r="A28" s="1" t="s">
        <v>158</v>
      </c>
      <c r="B28" s="30" t="s">
        <v>162</v>
      </c>
      <c r="F28" s="34" t="str">
        <f aca="false">IF(ABS('Cash flow and peak debt'!B43)&lt;0.000001,"OK","CHECK")</f>
        <v>OK</v>
      </c>
    </row>
    <row r="29" customFormat="false" ht="15" hidden="false" customHeight="false" outlineLevel="0" collapsed="false">
      <c r="A29" s="1" t="s">
        <v>158</v>
      </c>
      <c r="B29" s="30" t="s">
        <v>163</v>
      </c>
      <c r="F29" s="34" t="str">
        <f aca="false">IF(ABS('Reverse and resilience'!B12-'The residual'!B11-'The residual'!B12-'Reverse and resilience'!B5)&lt;0.000000001,"OK","CHECK")</f>
        <v>OK</v>
      </c>
    </row>
    <row r="30" customFormat="false" ht="15" hidden="false" customHeight="false" outlineLevel="0" collapsed="false">
      <c r="A30" s="1" t="s">
        <v>158</v>
      </c>
      <c r="B30" s="30" t="s">
        <v>164</v>
      </c>
      <c r="F30" s="34" t="str">
        <f aca="false">IF(ABS('Cash flow and peak debt'!B27-'Cash flow and peak debt'!B26*'Cash flow and peak debt'!B6)&lt;0.000000001,"OK","CHECK")</f>
        <v>OK</v>
      </c>
    </row>
    <row r="32" customFormat="false" ht="15" hidden="false" customHeight="false" outlineLevel="0" collapsed="false">
      <c r="A32" s="8" t="s">
        <v>165</v>
      </c>
      <c r="C32" s="44" t="str">
        <f aca="false">IF(COUNTIF(F25:F30,"OK")=6,"ALL OK",COUNTIF(F25:F30,"OK")&amp;" / 6 OK")</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2026-08-20T05:22:30Z</dcterms:created>
  <dc:creator>openpyxl</dc:creator>
  <dc:description/>
  <dc:language>en-US</dc:language>
  <cp:lastModifiedBy/>
  <dcterms:modified xsi:type="dcterms:W3CDTF">2026-09-23T21:17:16Z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