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Assumptions" sheetId="2" state="visible" r:id="rId4"/>
    <sheet name="Cash flow" sheetId="3" state="visible" r:id="rId5"/>
    <sheet name="Solve" sheetId="4" state="visible" r:id="rId6"/>
    <sheet name="Returns" sheetId="5" state="visible" r:id="rId7"/>
    <sheet name="Debt" sheetId="6" state="visible" r:id="rId8"/>
    <sheet name="Signed schedule" sheetId="7" state="visible" r:id="rId9"/>
    <sheet name="Simplifications" sheetId="8" state="visible" r:id="rId10"/>
    <sheet name="Project" sheetId="9" state="visible" r:id="rId11"/>
    <sheet name="Check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<sst xmlns="http://schemas.openxmlformats.org/spreadsheetml/2006/main" count="236" uniqueCount="215">
  <si>
    <t xml:space="preserve">AURORA — The Project Finance Handbook, companion model</t>
  </si>
  <si>
    <t xml:space="preserve">220 MWac of solar PV with 80 MW / 320 MWh of co-located storage. Fifteen years of</t>
  </si>
  <si>
    <t xml:space="preserve">contracted revenue, then ten years of merchant exposure. This workbook produced</t>
  </si>
  <si>
    <t xml:space="preserve">every Aurora figure in the book.</t>
  </si>
  <si>
    <t xml:space="preserve">HOW TO USE IT</t>
  </si>
  <si>
    <t xml:space="preserve">  Blue figures on Assumptions are inputs. Everything else is a formula.</t>
  </si>
  <si>
    <t xml:space="preserve">  The debt here is SCULPTED, not level: the installment is set so that cover is</t>
  </si>
  <si>
    <t xml:space="preserve">  constant at the target, period by period. Watch row 'DSCR' on Cash flow — it is</t>
  </si>
  <si>
    <t xml:space="preserve">  flat by construction in the contracted years, then steps up in the merchant tail.</t>
  </si>
  <si>
    <t xml:space="preserve">THE THING TO TRY FIRST</t>
  </si>
  <si>
    <t xml:space="preserve">  Set the investment tax credit to 0 % and look at the equity return.</t>
  </si>
  <si>
    <t xml:space="preserve">  Then set it back to 30 %. That difference is Chapter 11, and it is the reason</t>
  </si>
  <si>
    <t xml:space="preserve">  this deal is in the book.</t>
  </si>
  <si>
    <t xml:space="preserve">  Then find the PPA price that returns 10 % with the credit off. It is 105.14</t>
  </si>
  <si>
    <t xml:space="preserve">  dollars per megawatt-hour — nearly double what the market signs. With it: 67.31.</t>
  </si>
  <si>
    <t xml:space="preserve">  No circular reference: the funding loop is unrolled on the 'Solve' sheet.</t>
  </si>
  <si>
    <t xml:space="preserve">  Illustrative model for a book. Not investment advice and not a representation</t>
  </si>
  <si>
    <t xml:space="preserve">  about any real asset or transaction.</t>
  </si>
  <si>
    <t xml:space="preserve">  Revised 24 September 2026.</t>
  </si>
  <si>
    <t xml:space="preserve">  The investment tax credit on Assumptions was delivered at 0 per cent. The book's base</t>
  </si>
  <si>
    <t xml:space="preserve">  case, this sheet and the read-me all start from 30 per cent, which returns 5.59 per</t>
  </si>
  <si>
    <t xml:space="preserve">  cent: it is back at 30. Setting it to 0 gives the 0.13 per cent of Chapter 11, and</t>
  </si>
  <si>
    <t xml:space="preserve">  Returns now carries the no-credit series beside the other (rows 32 to 36).</t>
  </si>
  <si>
    <t xml:space="preserve">  The break-even power price for ten per cent with the credit off is 105.14 dollars, not</t>
  </si>
  <si>
    <t xml:space="preserve">  the 98.29 this sheet quoted from the first printing.</t>
  </si>
  <si>
    <t xml:space="preserve">  A stress switch (Assumptions, row 56) holds the schedule signed at close, as</t>
  </si>
  <si>
    <t xml:space="preserve">  Northgate's does. With it on YES and the capacity factor at 26.2 per cent (P90),</t>
  </si>
  <si>
    <t xml:space="preserve">  minimum cover is 1.247 and the return 3.92 per cent: the book printed 1.250 and 3.93,</t>
  </si>
  <si>
    <t xml:space="preserve">  figures that re-sculpt the signed loan to the stressed cash flow.</t>
  </si>
  <si>
    <t xml:space="preserve">  Two simplifications are priced on their own sheet: the reserve comes back in year 25</t>
  </si>
  <si>
    <t xml:space="preserve">  although the loan is repaid in year 18, and tax losses are forfeited rather than</t>
  </si>
  <si>
    <t xml:space="preserve">  carried forward. A Checks sheet is added: 28 checks.</t>
  </si>
  <si>
    <t xml:space="preserve">ASSUMPTIONS — blue cells are inputs</t>
  </si>
  <si>
    <t xml:space="preserve">THE ASSET</t>
  </si>
  <si>
    <t xml:space="preserve">Solar capacity (MWac)</t>
  </si>
  <si>
    <t xml:space="preserve">Capacity factor (P50, net)</t>
  </si>
  <si>
    <t xml:space="preserve">Annual degradation</t>
  </si>
  <si>
    <t xml:space="preserve">Battery power (MW)</t>
  </si>
  <si>
    <t xml:space="preserve">Battery energy (MWh)</t>
  </si>
  <si>
    <t xml:space="preserve">CAPITAL COST</t>
  </si>
  <si>
    <t xml:space="preserve">Solar EPC ($/Wac)</t>
  </si>
  <si>
    <t xml:space="preserve">Battery ($/kWh installed)</t>
  </si>
  <si>
    <t xml:space="preserve">Grid connection (M$)</t>
  </si>
  <si>
    <t xml:space="preserve">Contingency</t>
  </si>
  <si>
    <t xml:space="preserve">Development cost (M$)</t>
  </si>
  <si>
    <t xml:space="preserve">Owner's cost (M$)</t>
  </si>
  <si>
    <t xml:space="preserve">REVENUE</t>
  </si>
  <si>
    <t xml:space="preserve">PPA price ($/MWh)</t>
  </si>
  <si>
    <t xml:space="preserve">PPA term (years)</t>
  </si>
  <si>
    <t xml:space="preserve">Battery tolling ($/kW-month)</t>
  </si>
  <si>
    <t xml:space="preserve">Merchant price (2026 real, $/MWh)</t>
  </si>
  <si>
    <t xml:space="preserve">Solar capture factor</t>
  </si>
  <si>
    <t xml:space="preserve">Inflation on the merchant price</t>
  </si>
  <si>
    <t xml:space="preserve">Merchant tail (years)</t>
  </si>
  <si>
    <t xml:space="preserve">OPERATING COST</t>
  </si>
  <si>
    <t xml:space="preserve">Solar O&amp;M ($/kW-yr)</t>
  </si>
  <si>
    <t xml:space="preserve">Battery O&amp;M ($/kW-yr)</t>
  </si>
  <si>
    <t xml:space="preserve">Land (acres)</t>
  </si>
  <si>
    <t xml:space="preserve">Land rent ($/acre-yr)</t>
  </si>
  <si>
    <t xml:space="preserve">Insurance (% of hard cost)</t>
  </si>
  <si>
    <t xml:space="preserve">Asset management (M$/yr)</t>
  </si>
  <si>
    <t xml:space="preserve">Property tax (M$/yr)</t>
  </si>
  <si>
    <t xml:space="preserve">Opex indexation</t>
  </si>
  <si>
    <t xml:space="preserve">DEBT</t>
  </si>
  <si>
    <t xml:space="preserve">Swap rate</t>
  </si>
  <si>
    <t xml:space="preserve">Margin</t>
  </si>
  <si>
    <t xml:space="preserve">Arrangement fee</t>
  </si>
  <si>
    <t xml:space="preserve">Tenor (years)</t>
  </si>
  <si>
    <t xml:space="preserve">Cover ratio, contracted years</t>
  </si>
  <si>
    <t xml:space="preserve">Cover ratio, merchant years</t>
  </si>
  <si>
    <t xml:space="preserve">the lender will not rely on a forecast at the same multiple</t>
  </si>
  <si>
    <t xml:space="preserve">Maximum loan to cost</t>
  </si>
  <si>
    <t xml:space="preserve">Debt service reserve (months)</t>
  </si>
  <si>
    <t xml:space="preserve">TAX AND POLICY</t>
  </si>
  <si>
    <t xml:space="preserve">Tax rate</t>
  </si>
  <si>
    <t xml:space="preserve">Tax depreciation life (years)</t>
  </si>
  <si>
    <t xml:space="preserve">Investment tax credit</t>
  </si>
  <si>
    <t xml:space="preserve">the book's base case is 30 %: set it to 0 % and look at the equity return</t>
  </si>
  <si>
    <t xml:space="preserve">Battery revenue in the tail</t>
  </si>
  <si>
    <t xml:space="preserve">share of the CONTRACTED NOMINAL toll, held FLAT</t>
  </si>
  <si>
    <t xml:space="preserve">Terminal value at year 25</t>
  </si>
  <si>
    <t xml:space="preserve">multiple of final-year CFADS. Zero here — a strong assumption.</t>
  </si>
  <si>
    <t xml:space="preserve">Credit reduces the depreciable base by</t>
  </si>
  <si>
    <t xml:space="preserve">a rule of some regimes, not a law of nature — an assumption</t>
  </si>
  <si>
    <t xml:space="preserve">STRESS SWITCH — read Chapter 15 before using this</t>
  </si>
  <si>
    <t xml:space="preserve">Hold the schedule signed at close?</t>
  </si>
  <si>
    <t xml:space="preserve">NO</t>
  </si>
  <si>
    <t xml:space="preserve">type YES to stress the signed loan instead of re-sculpting it</t>
  </si>
  <si>
    <t xml:space="preserve">Signed loan (M$)</t>
  </si>
  <si>
    <t xml:space="preserve">its eighteen installments are on the sheet Signed schedule</t>
  </si>
  <si>
    <t xml:space="preserve">Sizing case = change an input and let the sculpt re-solve. Stress case = hold the signed schedule and see whether the deal you did survives.</t>
  </si>
  <si>
    <t xml:space="preserve">OPERATING CASH FLOW (M$)</t>
  </si>
  <si>
    <t xml:space="preserve">Year</t>
  </si>
  <si>
    <t xml:space="preserve">Generation (MWh)</t>
  </si>
  <si>
    <t xml:space="preserve">Contracted?</t>
  </si>
  <si>
    <t xml:space="preserve">Energy revenue</t>
  </si>
  <si>
    <t xml:space="preserve">Battery revenue</t>
  </si>
  <si>
    <t xml:space="preserve">Total revenue</t>
  </si>
  <si>
    <t xml:space="preserve">Operating cost</t>
  </si>
  <si>
    <t xml:space="preserve">CFADS</t>
  </si>
  <si>
    <t xml:space="preserve">Target cover</t>
  </si>
  <si>
    <t xml:space="preserve">Debt service (sculpted)</t>
  </si>
  <si>
    <t xml:space="preserve">Discount factor</t>
  </si>
  <si>
    <t xml:space="preserve">DSCR actually achieved</t>
  </si>
  <si>
    <t xml:space="preserve">Sculpted: the installment tracks the cash flow so that cover is constant. That maximises debt capacity and leaves no accumulated cushion. Chapter 6.</t>
  </si>
  <si>
    <t xml:space="preserve">SOLVING THE FUNDING — no circular reference</t>
  </si>
  <si>
    <t xml:space="preserve">One pass per column. Watch row 21 stop moving. Chapter 7.</t>
  </si>
  <si>
    <t xml:space="preserve">Rate (all in)</t>
  </si>
  <si>
    <t xml:space="preserve">Solar EPC (M$)</t>
  </si>
  <si>
    <t xml:space="preserve">Hard cost before contingency (M$)</t>
  </si>
  <si>
    <t xml:space="preserve">Construction cost, all in (M$)</t>
  </si>
  <si>
    <t xml:space="preserve">Loan the cover test allows (M$)</t>
  </si>
  <si>
    <t xml:space="preserve">PV of the sculpted service the cover test permits</t>
  </si>
  <si>
    <t xml:space="preserve">Share of construction cost drawn in the quarter</t>
  </si>
  <si>
    <t xml:space="preserve">PASS</t>
  </si>
  <si>
    <t xml:space="preserve">Loan brought forward (M$)</t>
  </si>
  <si>
    <t xml:space="preserve">Equity brought forward (M$)</t>
  </si>
  <si>
    <t xml:space="preserve">Interest during construction (M$)</t>
  </si>
  <si>
    <t xml:space="preserve">Fees (M$)</t>
  </si>
  <si>
    <t xml:space="preserve">Debt service reserve (M$)</t>
  </si>
  <si>
    <t xml:space="preserve">Total uses (M$)</t>
  </si>
  <si>
    <t xml:space="preserve">Loan carried forward (M$)</t>
  </si>
  <si>
    <t xml:space="preserve">Change</t>
  </si>
  <si>
    <t xml:space="preserve">SCALING FACTOR on the sculpted service</t>
  </si>
  <si>
    <t xml:space="preserve">1.0000 when the cover test binds; below 1 when loan-to-cost binds</t>
  </si>
  <si>
    <t xml:space="preserve">CONVERGED LOAN (M$)</t>
  </si>
  <si>
    <t xml:space="preserve">Check</t>
  </si>
  <si>
    <t xml:space="preserve">Which test binds</t>
  </si>
  <si>
    <t xml:space="preserve">SOURCES, USES AND RETURNS</t>
  </si>
  <si>
    <t xml:space="preserve">USES AND SOURCES (M$)</t>
  </si>
  <si>
    <t xml:space="preserve">Construction cost, all in</t>
  </si>
  <si>
    <t xml:space="preserve">Interest during construction</t>
  </si>
  <si>
    <t xml:space="preserve">Arrangement fees</t>
  </si>
  <si>
    <t xml:space="preserve">Debt service reserve</t>
  </si>
  <si>
    <t xml:space="preserve">TOTAL USES</t>
  </si>
  <si>
    <t xml:space="preserve">Senior debt</t>
  </si>
  <si>
    <t xml:space="preserve">Equity</t>
  </si>
  <si>
    <t xml:space="preserve">Gearing</t>
  </si>
  <si>
    <t xml:space="preserve">Investment tax credit received</t>
  </si>
  <si>
    <t xml:space="preserve">Net equity at close</t>
  </si>
  <si>
    <t xml:space="preserve">OPERATIONS</t>
  </si>
  <si>
    <t xml:space="preserve">CFADS, year 1</t>
  </si>
  <si>
    <t xml:space="preserve">Yield on cost</t>
  </si>
  <si>
    <t xml:space="preserve">Minimum DSCR</t>
  </si>
  <si>
    <t xml:space="preserve">CONSTRUCTION IS IN THE RETURN: 18-month build, equity out at the start, first revenue two periods later, and the credit received at completion.</t>
  </si>
  <si>
    <t xml:space="preserve">Equity cash flow (M$)</t>
  </si>
  <si>
    <t xml:space="preserve">Tax depreciation per year</t>
  </si>
  <si>
    <t xml:space="preserve">THE ANSWER</t>
  </si>
  <si>
    <t xml:space="preserve">Equity IRR</t>
  </si>
  <si>
    <t xml:space="preserve">Project IRR (pre-tax)</t>
  </si>
  <si>
    <t xml:space="preserve">Set the investment tax credit to 0 % on Assumptions and look again. Chapter 11.</t>
  </si>
  <si>
    <t xml:space="preserve">THE SAME DEAL WITH NO CREDIT — side by side, whatever the input above (Chapter 11)</t>
  </si>
  <si>
    <t xml:space="preserve">Equity cash flow, no credit (M$)</t>
  </si>
  <si>
    <t xml:space="preserve">Tax depreciation per year, no credit</t>
  </si>
  <si>
    <t xml:space="preserve">Equity IRR, no credit</t>
  </si>
  <si>
    <t xml:space="preserve">What the credit adds (points)</t>
  </si>
  <si>
    <t xml:space="preserve">DEBT SCHEDULE (M$)</t>
  </si>
  <si>
    <t xml:space="preserve">Interest</t>
  </si>
  <si>
    <t xml:space="preserve">Principal</t>
  </si>
  <si>
    <t xml:space="preserve">Closing balance</t>
  </si>
  <si>
    <t xml:space="preserve">THE SCHEDULE IN THE CREDIT AGREEMENT — used only when the stress switch reads YES</t>
  </si>
  <si>
    <t xml:space="preserve">The sculpted service as signed at close, on the P50 base case. A stress holds it: the cash flow moves, the installments do not.</t>
  </si>
  <si>
    <t xml:space="preserve">Debt service signed (M$)</t>
  </si>
  <si>
    <t xml:space="preserve">Value of the schedule at the loan rate (M$)</t>
  </si>
  <si>
    <t xml:space="preserve">Less the signed loan on Assumptions</t>
  </si>
  <si>
    <t xml:space="preserve">TWO SIMPLIFICATIONS, PRICED — neither changes the finding</t>
  </si>
  <si>
    <t xml:space="preserve">Both use the inputs on Assumptions, credit included. Set the credit to 0 % to see them on the unsubsidized deal.</t>
  </si>
  <si>
    <t xml:space="preserve">1. The reserve comes back when the loan is repaid, not in year 25</t>
  </si>
  <si>
    <t xml:space="preserve">Against the model (points)</t>
  </si>
  <si>
    <t xml:space="preserve">A reserve secures debt service; once the last installment is paid it has nothing to secure. The model holds it seven more years.</t>
  </si>
  <si>
    <t xml:space="preserve">2. Tax losses carried forward instead of lost</t>
  </si>
  <si>
    <t xml:space="preserve">Taxable income before losses (M$)</t>
  </si>
  <si>
    <t xml:space="preserve">Losses available at the start of the year</t>
  </si>
  <si>
    <t xml:space="preserve">Losses used</t>
  </si>
  <si>
    <t xml:space="preserve">Tax</t>
  </si>
  <si>
    <t xml:space="preserve">The model taxes each year on its own and forfeits a loss. A project company usually carries it forward; with no credit the difference is larger (about 0.3 points).</t>
  </si>
  <si>
    <t xml:space="preserve">PROJECT CASH FLOW, PRE-TAX (M$)</t>
  </si>
  <si>
    <t xml:space="preserve">Project cash flow</t>
  </si>
  <si>
    <t xml:space="preserve">CHECKS — every Aurora figure the book prints, recomputed</t>
  </si>
  <si>
    <t xml:space="preserve">Rows with a figure in column B compare the file with the book and stop matching when you change an input. Rows without one hold for any inputs.</t>
  </si>
  <si>
    <t xml:space="preserve">The book</t>
  </si>
  <si>
    <t xml:space="preserve">This file</t>
  </si>
  <si>
    <t xml:space="preserve">Status</t>
  </si>
  <si>
    <t xml:space="preserve">Note</t>
  </si>
  <si>
    <t xml:space="preserve">Senior debt, the cover test binding (M$)</t>
  </si>
  <si>
    <t xml:space="preserve">Equity (M$)</t>
  </si>
  <si>
    <t xml:space="preserve">Year-one generation (MWh)</t>
  </si>
  <si>
    <t xml:space="preserve">CFADS, year 1 (M$)</t>
  </si>
  <si>
    <t xml:space="preserve">CFADS, year 15 (M$)</t>
  </si>
  <si>
    <t xml:space="preserve">CFADS, year 16: the contract has ended (M$)</t>
  </si>
  <si>
    <t xml:space="preserve">Debt service, year 1 (M$)</t>
  </si>
  <si>
    <t xml:space="preserve">Debt service, year 16 (M$)</t>
  </si>
  <si>
    <t xml:space="preserve">Revenue, year 25 (M$)</t>
  </si>
  <si>
    <t xml:space="preserve">with the battery tail held flat</t>
  </si>
  <si>
    <t xml:space="preserve">Investment tax credit received (M$)</t>
  </si>
  <si>
    <t xml:space="preserve">Equity IRR, 30 per cent credit</t>
  </si>
  <si>
    <t xml:space="preserve">Project IRR, pre-tax</t>
  </si>
  <si>
    <t xml:space="preserve">2.80 with the reserve released into it</t>
  </si>
  <si>
    <t xml:space="preserve">The funding loop has converged</t>
  </si>
  <si>
    <t xml:space="preserve">any inputs</t>
  </si>
  <si>
    <t xml:space="preserve">Sculpted: cover equals the target in every year of the tenor (switch on NO)</t>
  </si>
  <si>
    <t xml:space="preserve">Chapter 6: a flat cover row is the sizing formula, not a finding</t>
  </si>
  <si>
    <t xml:space="preserve">The loan is repaid to zero at the tenor</t>
  </si>
  <si>
    <t xml:space="preserve">The reserve is six months of year-one service</t>
  </si>
  <si>
    <t xml:space="preserve">Uses recomputed on Solve equal uses on Returns</t>
  </si>
  <si>
    <t xml:space="preserve">The battery tail never exceeds its share of the contracted toll</t>
  </si>
  <si>
    <t xml:space="preserve">the sixth error: a haircut that inflated</t>
  </si>
  <si>
    <t xml:space="preserve">Year-one generation equals capacity x factor x hours: degradation starts from the right year</t>
  </si>
  <si>
    <t xml:space="preserve">The equity series starts with an outflow and has no other</t>
  </si>
  <si>
    <t xml:space="preserve">a sign-change test, Chapter 14</t>
  </si>
  <si>
    <t xml:space="preserve">The credit arrives at completion, one period after the equity</t>
  </si>
  <si>
    <t xml:space="preserve">the fifth error, corrected</t>
  </si>
  <si>
    <t xml:space="preserve">The signed schedule is worth the signed loan at the loan rate</t>
  </si>
  <si>
    <t xml:space="preserve">the stress inputs agree with each other</t>
  </si>
  <si>
    <t xml:space="preserve">All checks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</si>
</sst>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#,##0.0"/>
    <numFmt numFmtId="166" formatCode="0.0%"/>
    <numFmt numFmtId="167" formatCode="0.00%"/>
    <numFmt numFmtId="168" formatCode="#,##0"/>
    <numFmt numFmtId="169" formatCode="#,##0.00"/>
    <numFmt numFmtId="170" formatCode="0"/>
    <numFmt numFmtId="171" formatCode="0.00"/>
    <numFmt numFmtId="172" formatCode="0.000%"/>
    <numFmt numFmtId="173" formatCode="0.0"/>
    <numFmt numFmtId="174" formatCode="0.0000"/>
    <numFmt numFmtId="175" formatCode="0.000"/>
    <numFmt numFmtId="176" formatCode="#,##0.000000"/>
    <numFmt numFmtId="177" formatCode="#,##0.0000"/>
    <numFmt numFmtId="178" formatCode="#,##0.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933"/>
      <name val="Calibri"/>
      <family val="0"/>
      <charset val="1"/>
    </font>
    <font>
      <sz val="10"/>
      <color rgb="FF1F2933"/>
      <name val="Calibri"/>
      <family val="0"/>
      <charset val="1"/>
    </font>
    <font>
      <b val="true"/>
      <sz val="10"/>
      <color rgb="FF1F2933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1F4E79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sz val="9"/>
      <color rgb="FF6B7280"/>
      <name val="Calibri"/>
      <family val="0"/>
      <charset val="1"/>
    </font>
    <font>
      <sz val="11"/>
      <name val="Calibri"/>
      <family val="0"/>
      <charset val="1"/>
    </font>
    <font>
      <sz val="10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8A6A3B"/>
        <bgColor rgb="FF808080"/>
      </patternFill>
    </fill>
    <fill>
      <patternFill patternType="solid">
        <fgColor rgb="FFFFF9E8"/>
        <bgColor rgb="FFF7F4EE"/>
      </patternFill>
    </fill>
    <fill>
      <patternFill patternType="solid">
        <fgColor rgb="FFF7F4EE"/>
        <bgColor rgb="FFFFF9E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CDBF"/>
      </left>
      <right style="thin">
        <color rgb="FFD5CDBF"/>
      </right>
      <top style="thin">
        <color rgb="FFD5CDBF"/>
      </top>
      <bottom style="thin">
        <color rgb="FFD5CDBF"/>
      </bottom>
      <diagonal/>
    </border>
    <border diagonalUp="false" diagonalDown="false">
      <left style="thin">
        <color rgb="FFB8B0A2"/>
      </left>
      <right style="thin">
        <color rgb="FFB8B0A2"/>
      </right>
      <top style="thin">
        <color rgb="FFB8B0A2"/>
      </top>
      <bottom style="thin">
        <color rgb="FFB8B0A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11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A3B"/>
      <rgbColor rgb="FF800080"/>
      <rgbColor rgb="FF008080"/>
      <rgbColor rgb="FFD5CDBF"/>
      <rgbColor rgb="FF808080"/>
      <rgbColor rgb="FF9999FF"/>
      <rgbColor rgb="FF993366"/>
      <rgbColor rgb="FFFFF9E8"/>
      <rgbColor rgb="FFF7F4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B8B0A2"/>
      <rgbColor rgb="FF003366"/>
      <rgbColor rgb="FF339966"/>
      <rgbColor rgb="FF003300"/>
      <rgbColor rgb="FF333300"/>
      <rgbColor rgb="FF993300"/>
      <rgbColor rgb="FF993366"/>
      <rgbColor rgb="FF1F4E79"/>
      <rgbColor rgb="FF1F29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2" t="s">
        <v>13</v>
      </c>
    </row>
    <row r="19" customFormat="false" ht="15" hidden="false" customHeight="false" outlineLevel="0" collapsed="false">
      <c r="A19" s="2" t="s">
        <v>14</v>
      </c>
    </row>
    <row r="20" customFormat="false" ht="15" hidden="false" customHeight="false" outlineLevel="0" collapsed="false">
      <c r="A20" s="2"/>
    </row>
    <row r="21" customFormat="false" ht="15" hidden="false" customHeight="false" outlineLevel="0" collapsed="false">
      <c r="A21" s="2" t="s">
        <v>15</v>
      </c>
    </row>
    <row r="22" customFormat="false" ht="15" hidden="false" customHeight="false" outlineLevel="0" collapsed="false">
      <c r="A22" s="2"/>
    </row>
    <row r="23" customFormat="false" ht="15" hidden="false" customHeight="false" outlineLevel="0" collapsed="false">
      <c r="A23" s="2" t="s">
        <v>16</v>
      </c>
    </row>
    <row r="24" customFormat="false" ht="15" hidden="false" customHeight="false" outlineLevel="0" collapsed="false">
      <c r="A24" s="2" t="s">
        <v>17</v>
      </c>
    </row>
    <row r="26" customFormat="false" ht="15" hidden="false" customHeight="false" outlineLevel="0" collapsed="false">
      <c r="A26" s="3" t="s">
        <v>18</v>
      </c>
    </row>
    <row r="28" customFormat="false" ht="15" hidden="false" customHeight="false" outlineLevel="0" collapsed="false">
      <c r="A28" s="2" t="s">
        <v>19</v>
      </c>
    </row>
    <row r="29" customFormat="false" ht="15" hidden="false" customHeight="false" outlineLevel="0" collapsed="false">
      <c r="A29" s="2" t="s">
        <v>20</v>
      </c>
    </row>
    <row r="30" customFormat="false" ht="15" hidden="false" customHeight="false" outlineLevel="0" collapsed="false">
      <c r="A30" s="2" t="s">
        <v>21</v>
      </c>
    </row>
    <row r="31" customFormat="false" ht="15" hidden="false" customHeight="false" outlineLevel="0" collapsed="false">
      <c r="A31" s="2" t="s">
        <v>22</v>
      </c>
    </row>
    <row r="33" customFormat="false" ht="15" hidden="false" customHeight="false" outlineLevel="0" collapsed="false">
      <c r="A33" s="2" t="s">
        <v>23</v>
      </c>
    </row>
    <row r="34" customFormat="false" ht="15" hidden="false" customHeight="false" outlineLevel="0" collapsed="false">
      <c r="A34" s="2" t="s">
        <v>24</v>
      </c>
    </row>
    <row r="36" customFormat="false" ht="15" hidden="false" customHeight="false" outlineLevel="0" collapsed="false">
      <c r="A36" s="2" t="s">
        <v>25</v>
      </c>
    </row>
    <row r="37" customFormat="false" ht="15" hidden="false" customHeight="false" outlineLevel="0" collapsed="false">
      <c r="A37" s="2" t="s">
        <v>26</v>
      </c>
    </row>
    <row r="38" customFormat="false" ht="15" hidden="false" customHeight="false" outlineLevel="0" collapsed="false">
      <c r="A38" s="2" t="s">
        <v>27</v>
      </c>
    </row>
    <row r="39" customFormat="false" ht="15" hidden="false" customHeight="false" outlineLevel="0" collapsed="false">
      <c r="A39" s="2" t="s">
        <v>28</v>
      </c>
    </row>
    <row r="41" customFormat="false" ht="15" hidden="false" customHeight="false" outlineLevel="0" collapsed="false">
      <c r="A41" s="2" t="s">
        <v>29</v>
      </c>
    </row>
    <row r="42" customFormat="false" ht="15" hidden="false" customHeight="false" outlineLevel="0" collapsed="false">
      <c r="A42" s="2" t="s">
        <v>30</v>
      </c>
    </row>
    <row r="43" customFormat="false" ht="15" hidden="false" customHeight="false" outlineLevel="0" collapsed="false">
      <c r="A43" s="2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56"/>
  </cols>
  <sheetData>
    <row r="1" customFormat="false" ht="17.35" hidden="false" customHeight="false" outlineLevel="0" collapsed="false">
      <c r="A1" s="1" t="s">
        <v>32</v>
      </c>
    </row>
    <row r="3" customFormat="false" ht="19.5" hidden="false" customHeight="true" outlineLevel="0" collapsed="false">
      <c r="A3" s="4" t="s">
        <v>33</v>
      </c>
      <c r="B3" s="5"/>
      <c r="C3" s="5"/>
    </row>
    <row r="4" customFormat="false" ht="15" hidden="false" customHeight="false" outlineLevel="0" collapsed="false">
      <c r="A4" s="2" t="s">
        <v>34</v>
      </c>
      <c r="B4" s="6" t="n">
        <v>220</v>
      </c>
    </row>
    <row r="5" customFormat="false" ht="15" hidden="false" customHeight="false" outlineLevel="0" collapsed="false">
      <c r="A5" s="2" t="s">
        <v>35</v>
      </c>
      <c r="B5" s="7" t="n">
        <v>0.285</v>
      </c>
    </row>
    <row r="6" customFormat="false" ht="15" hidden="false" customHeight="false" outlineLevel="0" collapsed="false">
      <c r="A6" s="2" t="s">
        <v>36</v>
      </c>
      <c r="B6" s="8" t="n">
        <v>0.005</v>
      </c>
    </row>
    <row r="7" customFormat="false" ht="15" hidden="false" customHeight="false" outlineLevel="0" collapsed="false">
      <c r="A7" s="2" t="s">
        <v>37</v>
      </c>
      <c r="B7" s="6" t="n">
        <v>80</v>
      </c>
    </row>
    <row r="8" customFormat="false" ht="15" hidden="false" customHeight="false" outlineLevel="0" collapsed="false">
      <c r="A8" s="2" t="s">
        <v>38</v>
      </c>
      <c r="B8" s="9" t="n">
        <v>320</v>
      </c>
    </row>
    <row r="10" customFormat="false" ht="19.5" hidden="false" customHeight="true" outlineLevel="0" collapsed="false">
      <c r="A10" s="4" t="s">
        <v>39</v>
      </c>
      <c r="B10" s="5"/>
      <c r="C10" s="5"/>
    </row>
    <row r="11" customFormat="false" ht="15" hidden="false" customHeight="false" outlineLevel="0" collapsed="false">
      <c r="A11" s="2" t="s">
        <v>40</v>
      </c>
      <c r="B11" s="10" t="n">
        <v>1.4</v>
      </c>
    </row>
    <row r="12" customFormat="false" ht="15" hidden="false" customHeight="false" outlineLevel="0" collapsed="false">
      <c r="A12" s="2" t="s">
        <v>41</v>
      </c>
      <c r="B12" s="9" t="n">
        <v>280</v>
      </c>
    </row>
    <row r="13" customFormat="false" ht="15" hidden="false" customHeight="false" outlineLevel="0" collapsed="false">
      <c r="A13" s="2" t="s">
        <v>42</v>
      </c>
      <c r="B13" s="6" t="n">
        <v>24</v>
      </c>
    </row>
    <row r="14" customFormat="false" ht="15" hidden="false" customHeight="false" outlineLevel="0" collapsed="false">
      <c r="A14" s="2" t="s">
        <v>43</v>
      </c>
      <c r="B14" s="7" t="n">
        <v>0.04</v>
      </c>
    </row>
    <row r="15" customFormat="false" ht="15" hidden="false" customHeight="false" outlineLevel="0" collapsed="false">
      <c r="A15" s="2" t="s">
        <v>44</v>
      </c>
      <c r="B15" s="6" t="n">
        <v>12</v>
      </c>
    </row>
    <row r="16" customFormat="false" ht="15" hidden="false" customHeight="false" outlineLevel="0" collapsed="false">
      <c r="A16" s="2" t="s">
        <v>45</v>
      </c>
      <c r="B16" s="6" t="n">
        <v>18</v>
      </c>
    </row>
    <row r="18" customFormat="false" ht="19.5" hidden="false" customHeight="true" outlineLevel="0" collapsed="false">
      <c r="A18" s="4" t="s">
        <v>46</v>
      </c>
      <c r="B18" s="5"/>
      <c r="C18" s="5"/>
    </row>
    <row r="19" customFormat="false" ht="15" hidden="false" customHeight="false" outlineLevel="0" collapsed="false">
      <c r="A19" s="2" t="s">
        <v>47</v>
      </c>
      <c r="B19" s="10" t="n">
        <v>55</v>
      </c>
    </row>
    <row r="20" customFormat="false" ht="15" hidden="false" customHeight="false" outlineLevel="0" collapsed="false">
      <c r="A20" s="2" t="s">
        <v>48</v>
      </c>
      <c r="B20" s="11" t="n">
        <v>15</v>
      </c>
    </row>
    <row r="21" customFormat="false" ht="15" hidden="false" customHeight="false" outlineLevel="0" collapsed="false">
      <c r="A21" s="2" t="s">
        <v>49</v>
      </c>
      <c r="B21" s="10" t="n">
        <v>11.5</v>
      </c>
    </row>
    <row r="22" customFormat="false" ht="15" hidden="false" customHeight="false" outlineLevel="0" collapsed="false">
      <c r="A22" s="2" t="s">
        <v>50</v>
      </c>
      <c r="B22" s="10" t="n">
        <v>31</v>
      </c>
    </row>
    <row r="23" customFormat="false" ht="15" hidden="false" customHeight="false" outlineLevel="0" collapsed="false">
      <c r="A23" s="2" t="s">
        <v>51</v>
      </c>
      <c r="B23" s="12" t="n">
        <v>0.85</v>
      </c>
    </row>
    <row r="24" customFormat="false" ht="15" hidden="false" customHeight="false" outlineLevel="0" collapsed="false">
      <c r="A24" s="2" t="s">
        <v>52</v>
      </c>
      <c r="B24" s="8" t="n">
        <v>0.0225</v>
      </c>
    </row>
    <row r="25" customFormat="false" ht="15" hidden="false" customHeight="false" outlineLevel="0" collapsed="false">
      <c r="A25" s="2" t="s">
        <v>53</v>
      </c>
      <c r="B25" s="11" t="n">
        <v>10</v>
      </c>
    </row>
    <row r="27" customFormat="false" ht="19.5" hidden="false" customHeight="true" outlineLevel="0" collapsed="false">
      <c r="A27" s="4" t="s">
        <v>54</v>
      </c>
      <c r="B27" s="5"/>
      <c r="C27" s="5"/>
    </row>
    <row r="28" customFormat="false" ht="15" hidden="false" customHeight="false" outlineLevel="0" collapsed="false">
      <c r="A28" s="2" t="s">
        <v>55</v>
      </c>
      <c r="B28" s="10" t="n">
        <v>8.5</v>
      </c>
    </row>
    <row r="29" customFormat="false" ht="15" hidden="false" customHeight="false" outlineLevel="0" collapsed="false">
      <c r="A29" s="2" t="s">
        <v>56</v>
      </c>
      <c r="B29" s="10" t="n">
        <v>6</v>
      </c>
    </row>
    <row r="30" customFormat="false" ht="15" hidden="false" customHeight="false" outlineLevel="0" collapsed="false">
      <c r="A30" s="2" t="s">
        <v>57</v>
      </c>
      <c r="B30" s="9" t="n">
        <v>1400</v>
      </c>
    </row>
    <row r="31" customFormat="false" ht="15" hidden="false" customHeight="false" outlineLevel="0" collapsed="false">
      <c r="A31" s="2" t="s">
        <v>58</v>
      </c>
      <c r="B31" s="9" t="n">
        <v>900</v>
      </c>
    </row>
    <row r="32" customFormat="false" ht="15" hidden="false" customHeight="false" outlineLevel="0" collapsed="false">
      <c r="A32" s="2" t="s">
        <v>59</v>
      </c>
      <c r="B32" s="8" t="n">
        <v>0.0035</v>
      </c>
    </row>
    <row r="33" customFormat="false" ht="15" hidden="false" customHeight="false" outlineLevel="0" collapsed="false">
      <c r="A33" s="2" t="s">
        <v>60</v>
      </c>
      <c r="B33" s="10" t="n">
        <v>0.75</v>
      </c>
    </row>
    <row r="34" customFormat="false" ht="15" hidden="false" customHeight="false" outlineLevel="0" collapsed="false">
      <c r="A34" s="2" t="s">
        <v>61</v>
      </c>
      <c r="B34" s="10" t="n">
        <v>1.1</v>
      </c>
    </row>
    <row r="35" customFormat="false" ht="15" hidden="false" customHeight="false" outlineLevel="0" collapsed="false">
      <c r="A35" s="2" t="s">
        <v>62</v>
      </c>
      <c r="B35" s="8" t="n">
        <v>0.0225</v>
      </c>
    </row>
    <row r="37" customFormat="false" ht="19.5" hidden="false" customHeight="true" outlineLevel="0" collapsed="false">
      <c r="A37" s="4" t="s">
        <v>63</v>
      </c>
      <c r="B37" s="5"/>
      <c r="C37" s="5"/>
    </row>
    <row r="38" customFormat="false" ht="15" hidden="false" customHeight="false" outlineLevel="0" collapsed="false">
      <c r="A38" s="2" t="s">
        <v>64</v>
      </c>
      <c r="B38" s="8" t="n">
        <v>0.041</v>
      </c>
    </row>
    <row r="39" customFormat="false" ht="15" hidden="false" customHeight="false" outlineLevel="0" collapsed="false">
      <c r="A39" s="2" t="s">
        <v>65</v>
      </c>
      <c r="B39" s="13" t="n">
        <v>0.01875</v>
      </c>
    </row>
    <row r="40" customFormat="false" ht="15" hidden="false" customHeight="false" outlineLevel="0" collapsed="false">
      <c r="A40" s="2" t="s">
        <v>66</v>
      </c>
      <c r="B40" s="8" t="n">
        <v>0.0175</v>
      </c>
    </row>
    <row r="41" customFormat="false" ht="15" hidden="false" customHeight="false" outlineLevel="0" collapsed="false">
      <c r="A41" s="2" t="s">
        <v>67</v>
      </c>
      <c r="B41" s="11" t="n">
        <v>18</v>
      </c>
    </row>
    <row r="42" customFormat="false" ht="15" hidden="false" customHeight="false" outlineLevel="0" collapsed="false">
      <c r="A42" s="2" t="s">
        <v>68</v>
      </c>
      <c r="B42" s="12" t="n">
        <v>1.35</v>
      </c>
    </row>
    <row r="43" customFormat="false" ht="15" hidden="false" customHeight="false" outlineLevel="0" collapsed="false">
      <c r="A43" s="2" t="s">
        <v>69</v>
      </c>
      <c r="B43" s="12" t="n">
        <v>1.9</v>
      </c>
      <c r="C43" s="14" t="s">
        <v>70</v>
      </c>
    </row>
    <row r="44" customFormat="false" ht="15" hidden="false" customHeight="false" outlineLevel="0" collapsed="false">
      <c r="A44" s="2" t="s">
        <v>71</v>
      </c>
      <c r="B44" s="7" t="n">
        <v>0.7</v>
      </c>
    </row>
    <row r="45" customFormat="false" ht="15" hidden="false" customHeight="false" outlineLevel="0" collapsed="false">
      <c r="A45" s="2" t="s">
        <v>72</v>
      </c>
      <c r="B45" s="11" t="n">
        <v>6</v>
      </c>
    </row>
    <row r="47" customFormat="false" ht="19.5" hidden="false" customHeight="true" outlineLevel="0" collapsed="false">
      <c r="A47" s="4" t="s">
        <v>73</v>
      </c>
      <c r="B47" s="5"/>
      <c r="C47" s="5"/>
    </row>
    <row r="48" customFormat="false" ht="15" hidden="false" customHeight="false" outlineLevel="0" collapsed="false">
      <c r="A48" s="2" t="s">
        <v>74</v>
      </c>
      <c r="B48" s="7" t="n">
        <v>0.21</v>
      </c>
    </row>
    <row r="49" customFormat="false" ht="15" hidden="false" customHeight="false" outlineLevel="0" collapsed="false">
      <c r="A49" s="2" t="s">
        <v>75</v>
      </c>
      <c r="B49" s="11" t="n">
        <v>20</v>
      </c>
    </row>
    <row r="50" customFormat="false" ht="15" hidden="false" customHeight="false" outlineLevel="0" collapsed="false">
      <c r="A50" s="2" t="s">
        <v>76</v>
      </c>
      <c r="B50" s="7" t="n">
        <v>0.3</v>
      </c>
      <c r="C50" s="15" t="s">
        <v>77</v>
      </c>
    </row>
    <row r="51" customFormat="false" ht="15" hidden="false" customHeight="false" outlineLevel="0" collapsed="false">
      <c r="A51" s="2" t="s">
        <v>78</v>
      </c>
      <c r="B51" s="7" t="n">
        <v>0.6</v>
      </c>
      <c r="C51" s="14" t="s">
        <v>79</v>
      </c>
    </row>
    <row r="52" customFormat="false" ht="15" hidden="false" customHeight="false" outlineLevel="0" collapsed="false">
      <c r="A52" s="2" t="s">
        <v>80</v>
      </c>
      <c r="B52" s="16" t="n">
        <v>0</v>
      </c>
      <c r="C52" s="14" t="s">
        <v>81</v>
      </c>
    </row>
    <row r="53" customFormat="false" ht="15" hidden="false" customHeight="false" outlineLevel="0" collapsed="false">
      <c r="A53" s="2" t="s">
        <v>82</v>
      </c>
      <c r="B53" s="7" t="n">
        <v>0.5</v>
      </c>
      <c r="C53" s="14" t="s">
        <v>83</v>
      </c>
    </row>
    <row r="55" customFormat="false" ht="15" hidden="false" customHeight="false" outlineLevel="0" collapsed="false">
      <c r="A55" s="4" t="s">
        <v>84</v>
      </c>
    </row>
    <row r="56" customFormat="false" ht="15" hidden="false" customHeight="false" outlineLevel="0" collapsed="false">
      <c r="A56" s="2" t="s">
        <v>85</v>
      </c>
      <c r="B56" s="17" t="s">
        <v>86</v>
      </c>
      <c r="C56" s="15" t="s">
        <v>87</v>
      </c>
    </row>
    <row r="57" customFormat="false" ht="15" hidden="false" customHeight="false" outlineLevel="0" collapsed="false">
      <c r="A57" s="2" t="s">
        <v>88</v>
      </c>
      <c r="B57" s="18" t="n">
        <v>242.933288845638</v>
      </c>
      <c r="C57" s="15" t="s">
        <v>89</v>
      </c>
    </row>
    <row r="59" customFormat="false" ht="15" hidden="false" customHeight="false" outlineLevel="0" collapsed="false">
      <c r="A59" s="15" t="s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6" min="2" style="0" width="10"/>
  </cols>
  <sheetData>
    <row r="1" customFormat="false" ht="17.35" hidden="false" customHeight="false" outlineLevel="0" collapsed="false">
      <c r="A1" s="1" t="s">
        <v>91</v>
      </c>
    </row>
    <row r="3" customFormat="false" ht="15" hidden="false" customHeight="false" outlineLevel="0" collapsed="false">
      <c r="A3" s="3" t="s">
        <v>92</v>
      </c>
      <c r="B3" s="3" t="n">
        <v>1</v>
      </c>
      <c r="C3" s="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U3" s="3" t="n">
        <v>20</v>
      </c>
      <c r="V3" s="3" t="n">
        <v>21</v>
      </c>
      <c r="W3" s="3" t="n">
        <v>22</v>
      </c>
      <c r="X3" s="3" t="n">
        <v>23</v>
      </c>
      <c r="Y3" s="3" t="n">
        <v>24</v>
      </c>
      <c r="Z3" s="3" t="n">
        <v>25</v>
      </c>
    </row>
    <row r="4" customFormat="false" ht="15" hidden="false" customHeight="false" outlineLevel="0" collapsed="false">
      <c r="A4" s="2" t="s">
        <v>93</v>
      </c>
      <c r="B4" s="19" t="n">
        <f aca="false">Assumptions!$B$4*Assumptions!$B$5*8760*(1-Assumptions!$B$6)^(B3-1)</f>
        <v>549252</v>
      </c>
      <c r="C4" s="19" t="n">
        <f aca="false">Assumptions!$B$4*Assumptions!$B$5*8760*(1-Assumptions!$B$6)^(C3-1)</f>
        <v>546505.74</v>
      </c>
      <c r="D4" s="19" t="n">
        <f aca="false">Assumptions!$B$4*Assumptions!$B$5*8760*(1-Assumptions!$B$6)^(D3-1)</f>
        <v>543773.2113</v>
      </c>
      <c r="E4" s="19" t="n">
        <f aca="false">Assumptions!$B$4*Assumptions!$B$5*8760*(1-Assumptions!$B$6)^(E3-1)</f>
        <v>541054.3452435</v>
      </c>
      <c r="F4" s="19" t="n">
        <f aca="false">Assumptions!$B$4*Assumptions!$B$5*8760*(1-Assumptions!$B$6)^(F3-1)</f>
        <v>538349.073517283</v>
      </c>
      <c r="G4" s="19" t="n">
        <f aca="false">Assumptions!$B$4*Assumptions!$B$5*8760*(1-Assumptions!$B$6)^(G3-1)</f>
        <v>535657.328149696</v>
      </c>
      <c r="H4" s="19" t="n">
        <f aca="false">Assumptions!$B$4*Assumptions!$B$5*8760*(1-Assumptions!$B$6)^(H3-1)</f>
        <v>532979.041508948</v>
      </c>
      <c r="I4" s="19" t="n">
        <f aca="false">Assumptions!$B$4*Assumptions!$B$5*8760*(1-Assumptions!$B$6)^(I3-1)</f>
        <v>530314.146301403</v>
      </c>
      <c r="J4" s="19" t="n">
        <f aca="false">Assumptions!$B$4*Assumptions!$B$5*8760*(1-Assumptions!$B$6)^(J3-1)</f>
        <v>527662.575569896</v>
      </c>
      <c r="K4" s="19" t="n">
        <f aca="false">Assumptions!$B$4*Assumptions!$B$5*8760*(1-Assumptions!$B$6)^(K3-1)</f>
        <v>525024.262692046</v>
      </c>
      <c r="L4" s="19" t="n">
        <f aca="false">Assumptions!$B$4*Assumptions!$B$5*8760*(1-Assumptions!$B$6)^(L3-1)</f>
        <v>522399.141378586</v>
      </c>
      <c r="M4" s="19" t="n">
        <f aca="false">Assumptions!$B$4*Assumptions!$B$5*8760*(1-Assumptions!$B$6)^(M3-1)</f>
        <v>519787.145671693</v>
      </c>
      <c r="N4" s="19" t="n">
        <f aca="false">Assumptions!$B$4*Assumptions!$B$5*8760*(1-Assumptions!$B$6)^(N3-1)</f>
        <v>517188.209943335</v>
      </c>
      <c r="O4" s="19" t="n">
        <f aca="false">Assumptions!$B$4*Assumptions!$B$5*8760*(1-Assumptions!$B$6)^(O3-1)</f>
        <v>514602.268893618</v>
      </c>
      <c r="P4" s="19" t="n">
        <f aca="false">Assumptions!$B$4*Assumptions!$B$5*8760*(1-Assumptions!$B$6)^(P3-1)</f>
        <v>512029.25754915</v>
      </c>
      <c r="Q4" s="19" t="n">
        <f aca="false">Assumptions!$B$4*Assumptions!$B$5*8760*(1-Assumptions!$B$6)^(Q3-1)</f>
        <v>509469.111261404</v>
      </c>
      <c r="R4" s="19" t="n">
        <f aca="false">Assumptions!$B$4*Assumptions!$B$5*8760*(1-Assumptions!$B$6)^(R3-1)</f>
        <v>506921.765705097</v>
      </c>
      <c r="S4" s="19" t="n">
        <f aca="false">Assumptions!$B$4*Assumptions!$B$5*8760*(1-Assumptions!$B$6)^(S3-1)</f>
        <v>504387.156876572</v>
      </c>
      <c r="T4" s="19" t="n">
        <f aca="false">Assumptions!$B$4*Assumptions!$B$5*8760*(1-Assumptions!$B$6)^(T3-1)</f>
        <v>501865.221092189</v>
      </c>
      <c r="U4" s="19" t="n">
        <f aca="false">Assumptions!$B$4*Assumptions!$B$5*8760*(1-Assumptions!$B$6)^(U3-1)</f>
        <v>499355.894986728</v>
      </c>
      <c r="V4" s="19" t="n">
        <f aca="false">Assumptions!$B$4*Assumptions!$B$5*8760*(1-Assumptions!$B$6)^(V3-1)</f>
        <v>496859.115511794</v>
      </c>
      <c r="W4" s="19" t="n">
        <f aca="false">Assumptions!$B$4*Assumptions!$B$5*8760*(1-Assumptions!$B$6)^(W3-1)</f>
        <v>494374.819934235</v>
      </c>
      <c r="X4" s="19" t="n">
        <f aca="false">Assumptions!$B$4*Assumptions!$B$5*8760*(1-Assumptions!$B$6)^(X3-1)</f>
        <v>491902.945834564</v>
      </c>
      <c r="Y4" s="19" t="n">
        <f aca="false">Assumptions!$B$4*Assumptions!$B$5*8760*(1-Assumptions!$B$6)^(Y3-1)</f>
        <v>489443.431105391</v>
      </c>
      <c r="Z4" s="19" t="n">
        <f aca="false">Assumptions!$B$4*Assumptions!$B$5*8760*(1-Assumptions!$B$6)^(Z3-1)</f>
        <v>486996.213949864</v>
      </c>
    </row>
    <row r="5" customFormat="false" ht="15" hidden="false" customHeight="false" outlineLevel="0" collapsed="false">
      <c r="A5" s="2" t="s">
        <v>94</v>
      </c>
      <c r="B5" s="0" t="str">
        <f aca="false">IF(B3&lt;=Assumptions!$B$20,"yes","merchant")</f>
        <v>yes</v>
      </c>
      <c r="C5" s="0" t="str">
        <f aca="false">IF(C3&lt;=Assumptions!$B$20,"yes","merchant")</f>
        <v>yes</v>
      </c>
      <c r="D5" s="0" t="str">
        <f aca="false">IF(D3&lt;=Assumptions!$B$20,"yes","merchant")</f>
        <v>yes</v>
      </c>
      <c r="E5" s="0" t="str">
        <f aca="false">IF(E3&lt;=Assumptions!$B$20,"yes","merchant")</f>
        <v>yes</v>
      </c>
      <c r="F5" s="0" t="str">
        <f aca="false">IF(F3&lt;=Assumptions!$B$20,"yes","merchant")</f>
        <v>yes</v>
      </c>
      <c r="G5" s="0" t="str">
        <f aca="false">IF(G3&lt;=Assumptions!$B$20,"yes","merchant")</f>
        <v>yes</v>
      </c>
      <c r="H5" s="0" t="str">
        <f aca="false">IF(H3&lt;=Assumptions!$B$20,"yes","merchant")</f>
        <v>yes</v>
      </c>
      <c r="I5" s="0" t="str">
        <f aca="false">IF(I3&lt;=Assumptions!$B$20,"yes","merchant")</f>
        <v>yes</v>
      </c>
      <c r="J5" s="0" t="str">
        <f aca="false">IF(J3&lt;=Assumptions!$B$20,"yes","merchant")</f>
        <v>yes</v>
      </c>
      <c r="K5" s="0" t="str">
        <f aca="false">IF(K3&lt;=Assumptions!$B$20,"yes","merchant")</f>
        <v>yes</v>
      </c>
      <c r="L5" s="0" t="str">
        <f aca="false">IF(L3&lt;=Assumptions!$B$20,"yes","merchant")</f>
        <v>yes</v>
      </c>
      <c r="M5" s="0" t="str">
        <f aca="false">IF(M3&lt;=Assumptions!$B$20,"yes","merchant")</f>
        <v>yes</v>
      </c>
      <c r="N5" s="0" t="str">
        <f aca="false">IF(N3&lt;=Assumptions!$B$20,"yes","merchant")</f>
        <v>yes</v>
      </c>
      <c r="O5" s="0" t="str">
        <f aca="false">IF(O3&lt;=Assumptions!$B$20,"yes","merchant")</f>
        <v>yes</v>
      </c>
      <c r="P5" s="0" t="str">
        <f aca="false">IF(P3&lt;=Assumptions!$B$20,"yes","merchant")</f>
        <v>yes</v>
      </c>
      <c r="Q5" s="0" t="str">
        <f aca="false">IF(Q3&lt;=Assumptions!$B$20,"yes","merchant")</f>
        <v>merchant</v>
      </c>
      <c r="R5" s="0" t="str">
        <f aca="false">IF(R3&lt;=Assumptions!$B$20,"yes","merchant")</f>
        <v>merchant</v>
      </c>
      <c r="S5" s="0" t="str">
        <f aca="false">IF(S3&lt;=Assumptions!$B$20,"yes","merchant")</f>
        <v>merchant</v>
      </c>
      <c r="T5" s="0" t="str">
        <f aca="false">IF(T3&lt;=Assumptions!$B$20,"yes","merchant")</f>
        <v>merchant</v>
      </c>
      <c r="U5" s="0" t="str">
        <f aca="false">IF(U3&lt;=Assumptions!$B$20,"yes","merchant")</f>
        <v>merchant</v>
      </c>
      <c r="V5" s="0" t="str">
        <f aca="false">IF(V3&lt;=Assumptions!$B$20,"yes","merchant")</f>
        <v>merchant</v>
      </c>
      <c r="W5" s="0" t="str">
        <f aca="false">IF(W3&lt;=Assumptions!$B$20,"yes","merchant")</f>
        <v>merchant</v>
      </c>
      <c r="X5" s="0" t="str">
        <f aca="false">IF(X3&lt;=Assumptions!$B$20,"yes","merchant")</f>
        <v>merchant</v>
      </c>
      <c r="Y5" s="0" t="str">
        <f aca="false">IF(Y3&lt;=Assumptions!$B$20,"yes","merchant")</f>
        <v>merchant</v>
      </c>
      <c r="Z5" s="0" t="str">
        <f aca="false">IF(Z3&lt;=Assumptions!$B$20,"yes","merchant")</f>
        <v>merchant</v>
      </c>
    </row>
    <row r="6" customFormat="false" ht="15" hidden="false" customHeight="false" outlineLevel="0" collapsed="false">
      <c r="A6" s="2" t="s">
        <v>95</v>
      </c>
      <c r="B6" s="20" t="n">
        <f aca="false">IF(B3&lt;=Assumptions!$B$20,B4*Assumptions!$B$19/1000000,B4*Assumptions!$B$22*Assumptions!$B$23*(1+Assumptions!$B$24)^(B3-1)/1000000)</f>
        <v>30.20886</v>
      </c>
      <c r="C6" s="20" t="n">
        <f aca="false">IF(C3&lt;=Assumptions!$B$20,C4*Assumptions!$B$19/1000000,C4*Assumptions!$B$22*Assumptions!$B$23*(1+Assumptions!$B$24)^(C3-1)/1000000)</f>
        <v>30.0578157</v>
      </c>
      <c r="D6" s="20" t="n">
        <f aca="false">IF(D3&lt;=Assumptions!$B$20,D4*Assumptions!$B$19/1000000,D4*Assumptions!$B$22*Assumptions!$B$23*(1+Assumptions!$B$24)^(D3-1)/1000000)</f>
        <v>29.9075266215</v>
      </c>
      <c r="E6" s="20" t="n">
        <f aca="false">IF(E3&lt;=Assumptions!$B$20,E4*Assumptions!$B$19/1000000,E4*Assumptions!$B$22*Assumptions!$B$23*(1+Assumptions!$B$24)^(E3-1)/1000000)</f>
        <v>29.7579889883925</v>
      </c>
      <c r="F6" s="20" t="n">
        <f aca="false">IF(F3&lt;=Assumptions!$B$20,F4*Assumptions!$B$19/1000000,F4*Assumptions!$B$22*Assumptions!$B$23*(1+Assumptions!$B$24)^(F3-1)/1000000)</f>
        <v>29.6091990434505</v>
      </c>
      <c r="G6" s="20" t="n">
        <f aca="false">IF(G3&lt;=Assumptions!$B$20,G4*Assumptions!$B$19/1000000,G4*Assumptions!$B$22*Assumptions!$B$23*(1+Assumptions!$B$24)^(G3-1)/1000000)</f>
        <v>29.4611530482333</v>
      </c>
      <c r="H6" s="20" t="n">
        <f aca="false">IF(H3&lt;=Assumptions!$B$20,H4*Assumptions!$B$19/1000000,H4*Assumptions!$B$22*Assumptions!$B$23*(1+Assumptions!$B$24)^(H3-1)/1000000)</f>
        <v>29.3138472829921</v>
      </c>
      <c r="I6" s="20" t="n">
        <f aca="false">IF(I3&lt;=Assumptions!$B$20,I4*Assumptions!$B$19/1000000,I4*Assumptions!$B$22*Assumptions!$B$23*(1+Assumptions!$B$24)^(I3-1)/1000000)</f>
        <v>29.1672780465772</v>
      </c>
      <c r="J6" s="20" t="n">
        <f aca="false">IF(J3&lt;=Assumptions!$B$20,J4*Assumptions!$B$19/1000000,J4*Assumptions!$B$22*Assumptions!$B$23*(1+Assumptions!$B$24)^(J3-1)/1000000)</f>
        <v>29.0214416563443</v>
      </c>
      <c r="K6" s="20" t="n">
        <f aca="false">IF(K3&lt;=Assumptions!$B$20,K4*Assumptions!$B$19/1000000,K4*Assumptions!$B$22*Assumptions!$B$23*(1+Assumptions!$B$24)^(K3-1)/1000000)</f>
        <v>28.8763344480626</v>
      </c>
      <c r="L6" s="20" t="n">
        <f aca="false">IF(L3&lt;=Assumptions!$B$20,L4*Assumptions!$B$19/1000000,L4*Assumptions!$B$22*Assumptions!$B$23*(1+Assumptions!$B$24)^(L3-1)/1000000)</f>
        <v>28.7319527758222</v>
      </c>
      <c r="M6" s="20" t="n">
        <f aca="false">IF(M3&lt;=Assumptions!$B$20,M4*Assumptions!$B$19/1000000,M4*Assumptions!$B$22*Assumptions!$B$23*(1+Assumptions!$B$24)^(M3-1)/1000000)</f>
        <v>28.5882930119431</v>
      </c>
      <c r="N6" s="20" t="n">
        <f aca="false">IF(N3&lt;=Assumptions!$B$20,N4*Assumptions!$B$19/1000000,N4*Assumptions!$B$22*Assumptions!$B$23*(1+Assumptions!$B$24)^(N3-1)/1000000)</f>
        <v>28.4453515468834</v>
      </c>
      <c r="O6" s="20" t="n">
        <f aca="false">IF(O3&lt;=Assumptions!$B$20,O4*Assumptions!$B$19/1000000,O4*Assumptions!$B$22*Assumptions!$B$23*(1+Assumptions!$B$24)^(O3-1)/1000000)</f>
        <v>28.303124789149</v>
      </c>
      <c r="P6" s="20" t="n">
        <f aca="false">IF(P3&lt;=Assumptions!$B$20,P4*Assumptions!$B$19/1000000,P4*Assumptions!$B$22*Assumptions!$B$23*(1+Assumptions!$B$24)^(P3-1)/1000000)</f>
        <v>28.1616091652033</v>
      </c>
      <c r="Q6" s="20" t="n">
        <f aca="false">IF(Q3&lt;=Assumptions!$B$20,Q4*Assumptions!$B$19/1000000,Q4*Assumptions!$B$22*Assumptions!$B$23*(1+Assumptions!$B$24)^(Q3-1)/1000000)</f>
        <v>18.743393717432</v>
      </c>
      <c r="R6" s="20" t="n">
        <f aca="false">IF(R3&lt;=Assumptions!$B$20,R4*Assumptions!$B$19/1000000,R4*Assumptions!$B$22*Assumptions!$B$23*(1+Assumptions!$B$24)^(R3-1)/1000000)</f>
        <v>19.0692944756938</v>
      </c>
      <c r="S6" s="20" t="n">
        <f aca="false">IF(S3&lt;=Assumptions!$B$20,S4*Assumptions!$B$19/1000000,S4*Assumptions!$B$22*Assumptions!$B$23*(1+Assumptions!$B$24)^(S3-1)/1000000)</f>
        <v>19.40086183339</v>
      </c>
      <c r="T6" s="20" t="n">
        <f aca="false">IF(T3&lt;=Assumptions!$B$20,T4*Assumptions!$B$19/1000000,T4*Assumptions!$B$22*Assumptions!$B$23*(1+Assumptions!$B$24)^(T3-1)/1000000)</f>
        <v>19.738194318518</v>
      </c>
      <c r="U6" s="20" t="n">
        <f aca="false">IF(U3&lt;=Assumptions!$B$20,U4*Assumptions!$B$19/1000000,U4*Assumptions!$B$22*Assumptions!$B$23*(1+Assumptions!$B$24)^(U3-1)/1000000)</f>
        <v>20.0813921722312</v>
      </c>
      <c r="V6" s="20" t="n">
        <f aca="false">IF(V3&lt;=Assumptions!$B$20,V4*Assumptions!$B$19/1000000,V4*Assumptions!$B$22*Assumptions!$B$23*(1+Assumptions!$B$24)^(V3-1)/1000000)</f>
        <v>20.4305573786259</v>
      </c>
      <c r="W6" s="20" t="n">
        <f aca="false">IF(W3&lt;=Assumptions!$B$20,W4*Assumptions!$B$19/1000000,W4*Assumptions!$B$22*Assumptions!$B$23*(1+Assumptions!$B$24)^(W3-1)/1000000)</f>
        <v>20.7857936950468</v>
      </c>
      <c r="X6" s="20" t="n">
        <f aca="false">IF(X3&lt;=Assumptions!$B$20,X4*Assumptions!$B$19/1000000,X4*Assumptions!$B$22*Assumptions!$B$23*(1+Assumptions!$B$24)^(X3-1)/1000000)</f>
        <v>21.1472066829194</v>
      </c>
      <c r="Y6" s="20" t="n">
        <f aca="false">IF(Y3&lt;=Assumptions!$B$20,Y4*Assumptions!$B$19/1000000,Y4*Assumptions!$B$22*Assumptions!$B$23*(1+Assumptions!$B$24)^(Y3-1)/1000000)</f>
        <v>21.5149037391187</v>
      </c>
      <c r="Z6" s="20" t="n">
        <f aca="false">IF(Z3&lt;=Assumptions!$B$20,Z4*Assumptions!$B$19/1000000,Z4*Assumptions!$B$22*Assumptions!$B$23*(1+Assumptions!$B$24)^(Z3-1)/1000000)</f>
        <v>21.8889941278826</v>
      </c>
    </row>
    <row r="7" customFormat="false" ht="15" hidden="false" customHeight="false" outlineLevel="0" collapsed="false">
      <c r="A7" s="2" t="s">
        <v>96</v>
      </c>
      <c r="B7" s="20" t="n">
        <f aca="false">IF(B3&lt;=Assumptions!$B$20,Assumptions!$B$7*1000*Assumptions!$B$21*12/1000000,Assumptions!$B$7*1000*Assumptions!$B$21*12/1000000*Assumptions!$B$51)</f>
        <v>11.04</v>
      </c>
      <c r="C7" s="20" t="n">
        <f aca="false">IF(C3&lt;=Assumptions!$B$20,Assumptions!$B$7*1000*Assumptions!$B$21*12/1000000,Assumptions!$B$7*1000*Assumptions!$B$21*12/1000000*Assumptions!$B$51)</f>
        <v>11.04</v>
      </c>
      <c r="D7" s="20" t="n">
        <f aca="false">IF(D3&lt;=Assumptions!$B$20,Assumptions!$B$7*1000*Assumptions!$B$21*12/1000000,Assumptions!$B$7*1000*Assumptions!$B$21*12/1000000*Assumptions!$B$51)</f>
        <v>11.04</v>
      </c>
      <c r="E7" s="20" t="n">
        <f aca="false">IF(E3&lt;=Assumptions!$B$20,Assumptions!$B$7*1000*Assumptions!$B$21*12/1000000,Assumptions!$B$7*1000*Assumptions!$B$21*12/1000000*Assumptions!$B$51)</f>
        <v>11.04</v>
      </c>
      <c r="F7" s="20" t="n">
        <f aca="false">IF(F3&lt;=Assumptions!$B$20,Assumptions!$B$7*1000*Assumptions!$B$21*12/1000000,Assumptions!$B$7*1000*Assumptions!$B$21*12/1000000*Assumptions!$B$51)</f>
        <v>11.04</v>
      </c>
      <c r="G7" s="20" t="n">
        <f aca="false">IF(G3&lt;=Assumptions!$B$20,Assumptions!$B$7*1000*Assumptions!$B$21*12/1000000,Assumptions!$B$7*1000*Assumptions!$B$21*12/1000000*Assumptions!$B$51)</f>
        <v>11.04</v>
      </c>
      <c r="H7" s="20" t="n">
        <f aca="false">IF(H3&lt;=Assumptions!$B$20,Assumptions!$B$7*1000*Assumptions!$B$21*12/1000000,Assumptions!$B$7*1000*Assumptions!$B$21*12/1000000*Assumptions!$B$51)</f>
        <v>11.04</v>
      </c>
      <c r="I7" s="20" t="n">
        <f aca="false">IF(I3&lt;=Assumptions!$B$20,Assumptions!$B$7*1000*Assumptions!$B$21*12/1000000,Assumptions!$B$7*1000*Assumptions!$B$21*12/1000000*Assumptions!$B$51)</f>
        <v>11.04</v>
      </c>
      <c r="J7" s="20" t="n">
        <f aca="false">IF(J3&lt;=Assumptions!$B$20,Assumptions!$B$7*1000*Assumptions!$B$21*12/1000000,Assumptions!$B$7*1000*Assumptions!$B$21*12/1000000*Assumptions!$B$51)</f>
        <v>11.04</v>
      </c>
      <c r="K7" s="20" t="n">
        <f aca="false">IF(K3&lt;=Assumptions!$B$20,Assumptions!$B$7*1000*Assumptions!$B$21*12/1000000,Assumptions!$B$7*1000*Assumptions!$B$21*12/1000000*Assumptions!$B$51)</f>
        <v>11.04</v>
      </c>
      <c r="L7" s="20" t="n">
        <f aca="false">IF(L3&lt;=Assumptions!$B$20,Assumptions!$B$7*1000*Assumptions!$B$21*12/1000000,Assumptions!$B$7*1000*Assumptions!$B$21*12/1000000*Assumptions!$B$51)</f>
        <v>11.04</v>
      </c>
      <c r="M7" s="20" t="n">
        <f aca="false">IF(M3&lt;=Assumptions!$B$20,Assumptions!$B$7*1000*Assumptions!$B$21*12/1000000,Assumptions!$B$7*1000*Assumptions!$B$21*12/1000000*Assumptions!$B$51)</f>
        <v>11.04</v>
      </c>
      <c r="N7" s="20" t="n">
        <f aca="false">IF(N3&lt;=Assumptions!$B$20,Assumptions!$B$7*1000*Assumptions!$B$21*12/1000000,Assumptions!$B$7*1000*Assumptions!$B$21*12/1000000*Assumptions!$B$51)</f>
        <v>11.04</v>
      </c>
      <c r="O7" s="20" t="n">
        <f aca="false">IF(O3&lt;=Assumptions!$B$20,Assumptions!$B$7*1000*Assumptions!$B$21*12/1000000,Assumptions!$B$7*1000*Assumptions!$B$21*12/1000000*Assumptions!$B$51)</f>
        <v>11.04</v>
      </c>
      <c r="P7" s="20" t="n">
        <f aca="false">IF(P3&lt;=Assumptions!$B$20,Assumptions!$B$7*1000*Assumptions!$B$21*12/1000000,Assumptions!$B$7*1000*Assumptions!$B$21*12/1000000*Assumptions!$B$51)</f>
        <v>11.04</v>
      </c>
      <c r="Q7" s="20" t="n">
        <f aca="false">IF(Q3&lt;=Assumptions!$B$20,Assumptions!$B$7*1000*Assumptions!$B$21*12/1000000,Assumptions!$B$7*1000*Assumptions!$B$21*12/1000000*Assumptions!$B$51)</f>
        <v>6.624</v>
      </c>
      <c r="R7" s="20" t="n">
        <f aca="false">IF(R3&lt;=Assumptions!$B$20,Assumptions!$B$7*1000*Assumptions!$B$21*12/1000000,Assumptions!$B$7*1000*Assumptions!$B$21*12/1000000*Assumptions!$B$51)</f>
        <v>6.624</v>
      </c>
      <c r="S7" s="20" t="n">
        <f aca="false">IF(S3&lt;=Assumptions!$B$20,Assumptions!$B$7*1000*Assumptions!$B$21*12/1000000,Assumptions!$B$7*1000*Assumptions!$B$21*12/1000000*Assumptions!$B$51)</f>
        <v>6.624</v>
      </c>
      <c r="T7" s="20" t="n">
        <f aca="false">IF(T3&lt;=Assumptions!$B$20,Assumptions!$B$7*1000*Assumptions!$B$21*12/1000000,Assumptions!$B$7*1000*Assumptions!$B$21*12/1000000*Assumptions!$B$51)</f>
        <v>6.624</v>
      </c>
      <c r="U7" s="20" t="n">
        <f aca="false">IF(U3&lt;=Assumptions!$B$20,Assumptions!$B$7*1000*Assumptions!$B$21*12/1000000,Assumptions!$B$7*1000*Assumptions!$B$21*12/1000000*Assumptions!$B$51)</f>
        <v>6.624</v>
      </c>
      <c r="V7" s="20" t="n">
        <f aca="false">IF(V3&lt;=Assumptions!$B$20,Assumptions!$B$7*1000*Assumptions!$B$21*12/1000000,Assumptions!$B$7*1000*Assumptions!$B$21*12/1000000*Assumptions!$B$51)</f>
        <v>6.624</v>
      </c>
      <c r="W7" s="20" t="n">
        <f aca="false">IF(W3&lt;=Assumptions!$B$20,Assumptions!$B$7*1000*Assumptions!$B$21*12/1000000,Assumptions!$B$7*1000*Assumptions!$B$21*12/1000000*Assumptions!$B$51)</f>
        <v>6.624</v>
      </c>
      <c r="X7" s="20" t="n">
        <f aca="false">IF(X3&lt;=Assumptions!$B$20,Assumptions!$B$7*1000*Assumptions!$B$21*12/1000000,Assumptions!$B$7*1000*Assumptions!$B$21*12/1000000*Assumptions!$B$51)</f>
        <v>6.624</v>
      </c>
      <c r="Y7" s="20" t="n">
        <f aca="false">IF(Y3&lt;=Assumptions!$B$20,Assumptions!$B$7*1000*Assumptions!$B$21*12/1000000,Assumptions!$B$7*1000*Assumptions!$B$21*12/1000000*Assumptions!$B$51)</f>
        <v>6.624</v>
      </c>
      <c r="Z7" s="20" t="n">
        <f aca="false">IF(Z3&lt;=Assumptions!$B$20,Assumptions!$B$7*1000*Assumptions!$B$21*12/1000000,Assumptions!$B$7*1000*Assumptions!$B$21*12/1000000*Assumptions!$B$51)</f>
        <v>6.624</v>
      </c>
    </row>
    <row r="8" customFormat="false" ht="15" hidden="false" customHeight="false" outlineLevel="0" collapsed="false">
      <c r="A8" s="2" t="s">
        <v>97</v>
      </c>
      <c r="B8" s="20" t="n">
        <f aca="false">B6+B7</f>
        <v>41.24886</v>
      </c>
      <c r="C8" s="20" t="n">
        <f aca="false">C6+C7</f>
        <v>41.0978157</v>
      </c>
      <c r="D8" s="20" t="n">
        <f aca="false">D6+D7</f>
        <v>40.9475266215</v>
      </c>
      <c r="E8" s="20" t="n">
        <f aca="false">E6+E7</f>
        <v>40.7979889883925</v>
      </c>
      <c r="F8" s="20" t="n">
        <f aca="false">F6+F7</f>
        <v>40.6491990434505</v>
      </c>
      <c r="G8" s="20" t="n">
        <f aca="false">G6+G7</f>
        <v>40.5011530482333</v>
      </c>
      <c r="H8" s="20" t="n">
        <f aca="false">H6+H7</f>
        <v>40.3538472829921</v>
      </c>
      <c r="I8" s="20" t="n">
        <f aca="false">I6+I7</f>
        <v>40.2072780465772</v>
      </c>
      <c r="J8" s="20" t="n">
        <f aca="false">J6+J7</f>
        <v>40.0614416563443</v>
      </c>
      <c r="K8" s="20" t="n">
        <f aca="false">K6+K7</f>
        <v>39.9163344480626</v>
      </c>
      <c r="L8" s="20" t="n">
        <f aca="false">L6+L7</f>
        <v>39.7719527758222</v>
      </c>
      <c r="M8" s="20" t="n">
        <f aca="false">M6+M7</f>
        <v>39.6282930119431</v>
      </c>
      <c r="N8" s="20" t="n">
        <f aca="false">N6+N7</f>
        <v>39.4853515468834</v>
      </c>
      <c r="O8" s="20" t="n">
        <f aca="false">O6+O7</f>
        <v>39.343124789149</v>
      </c>
      <c r="P8" s="20" t="n">
        <f aca="false">P6+P7</f>
        <v>39.2016091652033</v>
      </c>
      <c r="Q8" s="20" t="n">
        <f aca="false">Q6+Q7</f>
        <v>25.367393717432</v>
      </c>
      <c r="R8" s="20" t="n">
        <f aca="false">R6+R7</f>
        <v>25.6932944756938</v>
      </c>
      <c r="S8" s="20" t="n">
        <f aca="false">S6+S7</f>
        <v>26.02486183339</v>
      </c>
      <c r="T8" s="20" t="n">
        <f aca="false">T6+T7</f>
        <v>26.362194318518</v>
      </c>
      <c r="U8" s="20" t="n">
        <f aca="false">U6+U7</f>
        <v>26.7053921722312</v>
      </c>
      <c r="V8" s="20" t="n">
        <f aca="false">V6+V7</f>
        <v>27.0545573786259</v>
      </c>
      <c r="W8" s="20" t="n">
        <f aca="false">W6+W7</f>
        <v>27.4097936950468</v>
      </c>
      <c r="X8" s="20" t="n">
        <f aca="false">X6+X7</f>
        <v>27.7712066829194</v>
      </c>
      <c r="Y8" s="20" t="n">
        <f aca="false">Y6+Y7</f>
        <v>28.1389037391187</v>
      </c>
      <c r="Z8" s="20" t="n">
        <f aca="false">Z6+Z7</f>
        <v>28.5129941278826</v>
      </c>
    </row>
    <row r="9" customFormat="false" ht="15" hidden="false" customHeight="false" outlineLevel="0" collapsed="false">
      <c r="A9" s="2" t="s">
        <v>98</v>
      </c>
      <c r="B9" s="20" t="n">
        <f aca="false">(Assumptions!$B$28*Assumptions!$B$4*1000/1000000+Assumptions!$B$29*Assumptions!$B$7*1000/1000000+Assumptions!$B$30*Assumptions!$B$31/1000000+Solve!$B$8*Assumptions!$B$32+Assumptions!$B$33+Assumptions!$B$34)*(1+Assumptions!$B$35)^(B3-1)</f>
        <v>6.9356</v>
      </c>
      <c r="C9" s="20" t="n">
        <f aca="false">(Assumptions!$B$28*Assumptions!$B$4*1000/1000000+Assumptions!$B$29*Assumptions!$B$7*1000/1000000+Assumptions!$B$30*Assumptions!$B$31/1000000+Solve!$B$8*Assumptions!$B$32+Assumptions!$B$33+Assumptions!$B$34)*(1+Assumptions!$B$35)^(C3-1)</f>
        <v>7.091651</v>
      </c>
      <c r="D9" s="20" t="n">
        <f aca="false">(Assumptions!$B$28*Assumptions!$B$4*1000/1000000+Assumptions!$B$29*Assumptions!$B$7*1000/1000000+Assumptions!$B$30*Assumptions!$B$31/1000000+Solve!$B$8*Assumptions!$B$32+Assumptions!$B$33+Assumptions!$B$34)*(1+Assumptions!$B$35)^(D3-1)</f>
        <v>7.2512131475</v>
      </c>
      <c r="E9" s="20" t="n">
        <f aca="false">(Assumptions!$B$28*Assumptions!$B$4*1000/1000000+Assumptions!$B$29*Assumptions!$B$7*1000/1000000+Assumptions!$B$30*Assumptions!$B$31/1000000+Solve!$B$8*Assumptions!$B$32+Assumptions!$B$33+Assumptions!$B$34)*(1+Assumptions!$B$35)^(E3-1)</f>
        <v>7.41436544331875</v>
      </c>
      <c r="F9" s="20" t="n">
        <f aca="false">(Assumptions!$B$28*Assumptions!$B$4*1000/1000000+Assumptions!$B$29*Assumptions!$B$7*1000/1000000+Assumptions!$B$30*Assumptions!$B$31/1000000+Solve!$B$8*Assumptions!$B$32+Assumptions!$B$33+Assumptions!$B$34)*(1+Assumptions!$B$35)^(F3-1)</f>
        <v>7.58118866579342</v>
      </c>
      <c r="G9" s="20" t="n">
        <f aca="false">(Assumptions!$B$28*Assumptions!$B$4*1000/1000000+Assumptions!$B$29*Assumptions!$B$7*1000/1000000+Assumptions!$B$30*Assumptions!$B$31/1000000+Solve!$B$8*Assumptions!$B$32+Assumptions!$B$33+Assumptions!$B$34)*(1+Assumptions!$B$35)^(G3-1)</f>
        <v>7.75176541077377</v>
      </c>
      <c r="H9" s="20" t="n">
        <f aca="false">(Assumptions!$B$28*Assumptions!$B$4*1000/1000000+Assumptions!$B$29*Assumptions!$B$7*1000/1000000+Assumptions!$B$30*Assumptions!$B$31/1000000+Solve!$B$8*Assumptions!$B$32+Assumptions!$B$33+Assumptions!$B$34)*(1+Assumptions!$B$35)^(H3-1)</f>
        <v>7.92618013251618</v>
      </c>
      <c r="I9" s="20" t="n">
        <f aca="false">(Assumptions!$B$28*Assumptions!$B$4*1000/1000000+Assumptions!$B$29*Assumptions!$B$7*1000/1000000+Assumptions!$B$30*Assumptions!$B$31/1000000+Solve!$B$8*Assumptions!$B$32+Assumptions!$B$33+Assumptions!$B$34)*(1+Assumptions!$B$35)^(I3-1)</f>
        <v>8.1045191854978</v>
      </c>
      <c r="J9" s="20" t="n">
        <f aca="false">(Assumptions!$B$28*Assumptions!$B$4*1000/1000000+Assumptions!$B$29*Assumptions!$B$7*1000/1000000+Assumptions!$B$30*Assumptions!$B$31/1000000+Solve!$B$8*Assumptions!$B$32+Assumptions!$B$33+Assumptions!$B$34)*(1+Assumptions!$B$35)^(J3-1)</f>
        <v>8.2868708671715</v>
      </c>
      <c r="K9" s="20" t="n">
        <f aca="false">(Assumptions!$B$28*Assumptions!$B$4*1000/1000000+Assumptions!$B$29*Assumptions!$B$7*1000/1000000+Assumptions!$B$30*Assumptions!$B$31/1000000+Solve!$B$8*Assumptions!$B$32+Assumptions!$B$33+Assumptions!$B$34)*(1+Assumptions!$B$35)^(K3-1)</f>
        <v>8.47332546168286</v>
      </c>
      <c r="L9" s="20" t="n">
        <f aca="false">(Assumptions!$B$28*Assumptions!$B$4*1000/1000000+Assumptions!$B$29*Assumptions!$B$7*1000/1000000+Assumptions!$B$30*Assumptions!$B$31/1000000+Solve!$B$8*Assumptions!$B$32+Assumptions!$B$33+Assumptions!$B$34)*(1+Assumptions!$B$35)^(L3-1)</f>
        <v>8.66397528457072</v>
      </c>
      <c r="M9" s="20" t="n">
        <f aca="false">(Assumptions!$B$28*Assumptions!$B$4*1000/1000000+Assumptions!$B$29*Assumptions!$B$7*1000/1000000+Assumptions!$B$30*Assumptions!$B$31/1000000+Solve!$B$8*Assumptions!$B$32+Assumptions!$B$33+Assumptions!$B$34)*(1+Assumptions!$B$35)^(M3-1)</f>
        <v>8.85891472847356</v>
      </c>
      <c r="N9" s="20" t="n">
        <f aca="false">(Assumptions!$B$28*Assumptions!$B$4*1000/1000000+Assumptions!$B$29*Assumptions!$B$7*1000/1000000+Assumptions!$B$30*Assumptions!$B$31/1000000+Solve!$B$8*Assumptions!$B$32+Assumptions!$B$33+Assumptions!$B$34)*(1+Assumptions!$B$35)^(N3-1)</f>
        <v>9.05824030986422</v>
      </c>
      <c r="O9" s="20" t="n">
        <f aca="false">(Assumptions!$B$28*Assumptions!$B$4*1000/1000000+Assumptions!$B$29*Assumptions!$B$7*1000/1000000+Assumptions!$B$30*Assumptions!$B$31/1000000+Solve!$B$8*Assumptions!$B$32+Assumptions!$B$33+Assumptions!$B$34)*(1+Assumptions!$B$35)^(O3-1)</f>
        <v>9.26205071683616</v>
      </c>
      <c r="P9" s="20" t="n">
        <f aca="false">(Assumptions!$B$28*Assumptions!$B$4*1000/1000000+Assumptions!$B$29*Assumptions!$B$7*1000/1000000+Assumptions!$B$30*Assumptions!$B$31/1000000+Solve!$B$8*Assumptions!$B$32+Assumptions!$B$33+Assumptions!$B$34)*(1+Assumptions!$B$35)^(P3-1)</f>
        <v>9.47044685796497</v>
      </c>
      <c r="Q9" s="20" t="n">
        <f aca="false">(Assumptions!$B$28*Assumptions!$B$4*1000/1000000+Assumptions!$B$29*Assumptions!$B$7*1000/1000000+Assumptions!$B$30*Assumptions!$B$31/1000000+Solve!$B$8*Assumptions!$B$32+Assumptions!$B$33+Assumptions!$B$34)*(1+Assumptions!$B$35)^(Q3-1)</f>
        <v>9.68353191226918</v>
      </c>
      <c r="R9" s="20" t="n">
        <f aca="false">(Assumptions!$B$28*Assumptions!$B$4*1000/1000000+Assumptions!$B$29*Assumptions!$B$7*1000/1000000+Assumptions!$B$30*Assumptions!$B$31/1000000+Solve!$B$8*Assumptions!$B$32+Assumptions!$B$33+Assumptions!$B$34)*(1+Assumptions!$B$35)^(R3-1)</f>
        <v>9.90141138029524</v>
      </c>
      <c r="S9" s="20" t="n">
        <f aca="false">(Assumptions!$B$28*Assumptions!$B$4*1000/1000000+Assumptions!$B$29*Assumptions!$B$7*1000/1000000+Assumptions!$B$30*Assumptions!$B$31/1000000+Solve!$B$8*Assumptions!$B$32+Assumptions!$B$33+Assumptions!$B$34)*(1+Assumptions!$B$35)^(S3-1)</f>
        <v>10.1241931363519</v>
      </c>
      <c r="T9" s="20" t="n">
        <f aca="false">(Assumptions!$B$28*Assumptions!$B$4*1000/1000000+Assumptions!$B$29*Assumptions!$B$7*1000/1000000+Assumptions!$B$30*Assumptions!$B$31/1000000+Solve!$B$8*Assumptions!$B$32+Assumptions!$B$33+Assumptions!$B$34)*(1+Assumptions!$B$35)^(T3-1)</f>
        <v>10.3519874819198</v>
      </c>
      <c r="U9" s="20" t="n">
        <f aca="false">(Assumptions!$B$28*Assumptions!$B$4*1000/1000000+Assumptions!$B$29*Assumptions!$B$7*1000/1000000+Assumptions!$B$30*Assumptions!$B$31/1000000+Solve!$B$8*Assumptions!$B$32+Assumptions!$B$33+Assumptions!$B$34)*(1+Assumptions!$B$35)^(U3-1)</f>
        <v>10.584907200263</v>
      </c>
      <c r="V9" s="20" t="n">
        <f aca="false">(Assumptions!$B$28*Assumptions!$B$4*1000/1000000+Assumptions!$B$29*Assumptions!$B$7*1000/1000000+Assumptions!$B$30*Assumptions!$B$31/1000000+Solve!$B$8*Assumptions!$B$32+Assumptions!$B$33+Assumptions!$B$34)*(1+Assumptions!$B$35)^(V3-1)</f>
        <v>10.8230676122689</v>
      </c>
      <c r="W9" s="20" t="n">
        <f aca="false">(Assumptions!$B$28*Assumptions!$B$4*1000/1000000+Assumptions!$B$29*Assumptions!$B$7*1000/1000000+Assumptions!$B$30*Assumptions!$B$31/1000000+Solve!$B$8*Assumptions!$B$32+Assumptions!$B$33+Assumptions!$B$34)*(1+Assumptions!$B$35)^(W3-1)</f>
        <v>11.066586633545</v>
      </c>
      <c r="X9" s="20" t="n">
        <f aca="false">(Assumptions!$B$28*Assumptions!$B$4*1000/1000000+Assumptions!$B$29*Assumptions!$B$7*1000/1000000+Assumptions!$B$30*Assumptions!$B$31/1000000+Solve!$B$8*Assumptions!$B$32+Assumptions!$B$33+Assumptions!$B$34)*(1+Assumptions!$B$35)^(X3-1)</f>
        <v>11.3155848327997</v>
      </c>
      <c r="Y9" s="20" t="n">
        <f aca="false">(Assumptions!$B$28*Assumptions!$B$4*1000/1000000+Assumptions!$B$29*Assumptions!$B$7*1000/1000000+Assumptions!$B$30*Assumptions!$B$31/1000000+Solve!$B$8*Assumptions!$B$32+Assumptions!$B$33+Assumptions!$B$34)*(1+Assumptions!$B$35)^(Y3-1)</f>
        <v>11.5701854915377</v>
      </c>
      <c r="Z9" s="20" t="n">
        <f aca="false">(Assumptions!$B$28*Assumptions!$B$4*1000/1000000+Assumptions!$B$29*Assumptions!$B$7*1000/1000000+Assumptions!$B$30*Assumptions!$B$31/1000000+Solve!$B$8*Assumptions!$B$32+Assumptions!$B$33+Assumptions!$B$34)*(1+Assumptions!$B$35)^(Z3-1)</f>
        <v>11.8305146650973</v>
      </c>
    </row>
    <row r="10" customFormat="false" ht="15" hidden="false" customHeight="false" outlineLevel="0" collapsed="false">
      <c r="A10" s="3" t="s">
        <v>99</v>
      </c>
      <c r="B10" s="20" t="n">
        <f aca="false">B8-B9</f>
        <v>34.31326</v>
      </c>
      <c r="C10" s="20" t="n">
        <f aca="false">C8-C9</f>
        <v>34.0061647</v>
      </c>
      <c r="D10" s="20" t="n">
        <f aca="false">D8-D9</f>
        <v>33.696313474</v>
      </c>
      <c r="E10" s="20" t="n">
        <f aca="false">E8-E9</f>
        <v>33.3836235450737</v>
      </c>
      <c r="F10" s="20" t="n">
        <f aca="false">F8-F9</f>
        <v>33.0680103776571</v>
      </c>
      <c r="G10" s="20" t="n">
        <f aca="false">G8-G9</f>
        <v>32.7493876374595</v>
      </c>
      <c r="H10" s="20" t="n">
        <f aca="false">H8-H9</f>
        <v>32.4276671504759</v>
      </c>
      <c r="I10" s="20" t="n">
        <f aca="false">I8-I9</f>
        <v>32.1027588610794</v>
      </c>
      <c r="J10" s="20" t="n">
        <f aca="false">J8-J9</f>
        <v>31.7745707891728</v>
      </c>
      <c r="K10" s="20" t="n">
        <f aca="false">K8-K9</f>
        <v>31.4430089863797</v>
      </c>
      <c r="L10" s="20" t="n">
        <f aca="false">L8-L9</f>
        <v>31.1079774912515</v>
      </c>
      <c r="M10" s="20" t="n">
        <f aca="false">M8-M9</f>
        <v>30.7693782834696</v>
      </c>
      <c r="N10" s="20" t="n">
        <f aca="false">N8-N9</f>
        <v>30.4271112370192</v>
      </c>
      <c r="O10" s="20" t="n">
        <f aca="false">O8-O9</f>
        <v>30.0810740723128</v>
      </c>
      <c r="P10" s="20" t="n">
        <f aca="false">P8-P9</f>
        <v>29.7311623072383</v>
      </c>
      <c r="Q10" s="20" t="n">
        <f aca="false">Q8-Q9</f>
        <v>15.6838618051628</v>
      </c>
      <c r="R10" s="20" t="n">
        <f aca="false">R8-R9</f>
        <v>15.7918830953986</v>
      </c>
      <c r="S10" s="20" t="n">
        <f aca="false">S8-S9</f>
        <v>15.9006686970381</v>
      </c>
      <c r="T10" s="20" t="n">
        <f aca="false">T8-T9</f>
        <v>16.0102068365982</v>
      </c>
      <c r="U10" s="20" t="n">
        <f aca="false">U8-U9</f>
        <v>16.1204849719683</v>
      </c>
      <c r="V10" s="20" t="n">
        <f aca="false">V8-V9</f>
        <v>16.231489766357</v>
      </c>
      <c r="W10" s="20" t="n">
        <f aca="false">W8-W9</f>
        <v>16.3432070615018</v>
      </c>
      <c r="X10" s="20" t="n">
        <f aca="false">X8-X9</f>
        <v>16.4556218501197</v>
      </c>
      <c r="Y10" s="20" t="n">
        <f aca="false">Y8-Y9</f>
        <v>16.5687182475809</v>
      </c>
      <c r="Z10" s="20" t="n">
        <f aca="false">Z8-Z9</f>
        <v>16.6824794627853</v>
      </c>
    </row>
    <row r="11" customFormat="false" ht="15" hidden="false" customHeight="false" outlineLevel="0" collapsed="false">
      <c r="A11" s="2" t="s">
        <v>100</v>
      </c>
      <c r="B11" s="21" t="n">
        <f aca="false">IF(B3&lt;=Assumptions!$B$20,Assumptions!$B$42,Assumptions!$B$43)</f>
        <v>1.35</v>
      </c>
      <c r="C11" s="21" t="n">
        <f aca="false">IF(C3&lt;=Assumptions!$B$20,Assumptions!$B$42,Assumptions!$B$43)</f>
        <v>1.35</v>
      </c>
      <c r="D11" s="21" t="n">
        <f aca="false">IF(D3&lt;=Assumptions!$B$20,Assumptions!$B$42,Assumptions!$B$43)</f>
        <v>1.35</v>
      </c>
      <c r="E11" s="21" t="n">
        <f aca="false">IF(E3&lt;=Assumptions!$B$20,Assumptions!$B$42,Assumptions!$B$43)</f>
        <v>1.35</v>
      </c>
      <c r="F11" s="21" t="n">
        <f aca="false">IF(F3&lt;=Assumptions!$B$20,Assumptions!$B$42,Assumptions!$B$43)</f>
        <v>1.35</v>
      </c>
      <c r="G11" s="21" t="n">
        <f aca="false">IF(G3&lt;=Assumptions!$B$20,Assumptions!$B$42,Assumptions!$B$43)</f>
        <v>1.35</v>
      </c>
      <c r="H11" s="21" t="n">
        <f aca="false">IF(H3&lt;=Assumptions!$B$20,Assumptions!$B$42,Assumptions!$B$43)</f>
        <v>1.35</v>
      </c>
      <c r="I11" s="21" t="n">
        <f aca="false">IF(I3&lt;=Assumptions!$B$20,Assumptions!$B$42,Assumptions!$B$43)</f>
        <v>1.35</v>
      </c>
      <c r="J11" s="21" t="n">
        <f aca="false">IF(J3&lt;=Assumptions!$B$20,Assumptions!$B$42,Assumptions!$B$43)</f>
        <v>1.35</v>
      </c>
      <c r="K11" s="21" t="n">
        <f aca="false">IF(K3&lt;=Assumptions!$B$20,Assumptions!$B$42,Assumptions!$B$43)</f>
        <v>1.35</v>
      </c>
      <c r="L11" s="21" t="n">
        <f aca="false">IF(L3&lt;=Assumptions!$B$20,Assumptions!$B$42,Assumptions!$B$43)</f>
        <v>1.35</v>
      </c>
      <c r="M11" s="21" t="n">
        <f aca="false">IF(M3&lt;=Assumptions!$B$20,Assumptions!$B$42,Assumptions!$B$43)</f>
        <v>1.35</v>
      </c>
      <c r="N11" s="21" t="n">
        <f aca="false">IF(N3&lt;=Assumptions!$B$20,Assumptions!$B$42,Assumptions!$B$43)</f>
        <v>1.35</v>
      </c>
      <c r="O11" s="21" t="n">
        <f aca="false">IF(O3&lt;=Assumptions!$B$20,Assumptions!$B$42,Assumptions!$B$43)</f>
        <v>1.35</v>
      </c>
      <c r="P11" s="21" t="n">
        <f aca="false">IF(P3&lt;=Assumptions!$B$20,Assumptions!$B$42,Assumptions!$B$43)</f>
        <v>1.35</v>
      </c>
      <c r="Q11" s="21" t="n">
        <f aca="false">IF(Q3&lt;=Assumptions!$B$20,Assumptions!$B$42,Assumptions!$B$43)</f>
        <v>1.9</v>
      </c>
      <c r="R11" s="21" t="n">
        <f aca="false">IF(R3&lt;=Assumptions!$B$20,Assumptions!$B$42,Assumptions!$B$43)</f>
        <v>1.9</v>
      </c>
      <c r="S11" s="21" t="n">
        <f aca="false">IF(S3&lt;=Assumptions!$B$20,Assumptions!$B$42,Assumptions!$B$43)</f>
        <v>1.9</v>
      </c>
      <c r="T11" s="21" t="n">
        <f aca="false">IF(T3&lt;=Assumptions!$B$20,Assumptions!$B$42,Assumptions!$B$43)</f>
        <v>1.9</v>
      </c>
      <c r="U11" s="21" t="n">
        <f aca="false">IF(U3&lt;=Assumptions!$B$20,Assumptions!$B$42,Assumptions!$B$43)</f>
        <v>1.9</v>
      </c>
      <c r="V11" s="21" t="n">
        <f aca="false">IF(V3&lt;=Assumptions!$B$20,Assumptions!$B$42,Assumptions!$B$43)</f>
        <v>1.9</v>
      </c>
      <c r="W11" s="21" t="n">
        <f aca="false">IF(W3&lt;=Assumptions!$B$20,Assumptions!$B$42,Assumptions!$B$43)</f>
        <v>1.9</v>
      </c>
      <c r="X11" s="21" t="n">
        <f aca="false">IF(X3&lt;=Assumptions!$B$20,Assumptions!$B$42,Assumptions!$B$43)</f>
        <v>1.9</v>
      </c>
      <c r="Y11" s="21" t="n">
        <f aca="false">IF(Y3&lt;=Assumptions!$B$20,Assumptions!$B$42,Assumptions!$B$43)</f>
        <v>1.9</v>
      </c>
      <c r="Z11" s="21" t="n">
        <f aca="false">IF(Z3&lt;=Assumptions!$B$20,Assumptions!$B$42,Assumptions!$B$43)</f>
        <v>1.9</v>
      </c>
    </row>
    <row r="12" customFormat="false" ht="15" hidden="false" customHeight="false" outlineLevel="0" collapsed="false">
      <c r="A12" s="3" t="s">
        <v>101</v>
      </c>
      <c r="B12" s="20" t="n">
        <f aca="false">IF(B3&lt;=Assumptions!$B$41,IF(UPPER(Assumptions!$B$56)="YES",INDEX('Signed schedule'!$B$5:$S$5,B3),B10/B11*Solve!$B$26),0)</f>
        <v>25.4172296296296</v>
      </c>
      <c r="C12" s="20" t="n">
        <f aca="false">IF(C3&lt;=Assumptions!$B$41,IF(UPPER(Assumptions!$B$56)="YES",INDEX('Signed schedule'!$B$5:$S$5,C3),C10/C11*Solve!$B$26),0)</f>
        <v>25.1897516296296</v>
      </c>
      <c r="D12" s="20" t="n">
        <f aca="false">IF(D3&lt;=Assumptions!$B$41,IF(UPPER(Assumptions!$B$56)="YES",INDEX('Signed schedule'!$B$5:$S$5,D3),D10/D11*Solve!$B$26),0)</f>
        <v>24.960232202963</v>
      </c>
      <c r="E12" s="20" t="n">
        <f aca="false">IF(E3&lt;=Assumptions!$B$41,IF(UPPER(Assumptions!$B$56)="YES",INDEX('Signed schedule'!$B$5:$S$5,E3),E10/E11*Solve!$B$26),0)</f>
        <v>24.728610033388</v>
      </c>
      <c r="F12" s="20" t="n">
        <f aca="false">IF(F3&lt;=Assumptions!$B$41,IF(UPPER(Assumptions!$B$56)="YES",INDEX('Signed schedule'!$B$5:$S$5,F3),F10/F11*Solve!$B$26),0)</f>
        <v>24.4948225019682</v>
      </c>
      <c r="G12" s="20" t="n">
        <f aca="false">IF(G3&lt;=Assumptions!$B$41,IF(UPPER(Assumptions!$B$56)="YES",INDEX('Signed schedule'!$B$5:$S$5,G3),G10/G11*Solve!$B$26),0)</f>
        <v>24.2588056573774</v>
      </c>
      <c r="H12" s="20" t="n">
        <f aca="false">IF(H3&lt;=Assumptions!$B$41,IF(UPPER(Assumptions!$B$56)="YES",INDEX('Signed schedule'!$B$5:$S$5,H3),H10/H11*Solve!$B$26),0)</f>
        <v>24.0204941855377</v>
      </c>
      <c r="I12" s="20" t="n">
        <f aca="false">IF(I3&lt;=Assumptions!$B$41,IF(UPPER(Assumptions!$B$56)="YES",INDEX('Signed schedule'!$B$5:$S$5,I3),I10/I11*Solve!$B$26),0)</f>
        <v>23.7798213785773</v>
      </c>
      <c r="J12" s="20" t="n">
        <f aca="false">IF(J3&lt;=Assumptions!$B$41,IF(UPPER(Assumptions!$B$56)="YES",INDEX('Signed schedule'!$B$5:$S$5,J3),J10/J11*Solve!$B$26),0)</f>
        <v>23.5367191030909</v>
      </c>
      <c r="K12" s="20" t="n">
        <f aca="false">IF(K3&lt;=Assumptions!$B$41,IF(UPPER(Assumptions!$B$56)="YES",INDEX('Signed schedule'!$B$5:$S$5,K3),K10/K11*Solve!$B$26),0)</f>
        <v>23.2911177676887</v>
      </c>
      <c r="L12" s="20" t="n">
        <f aca="false">IF(L3&lt;=Assumptions!$B$41,IF(UPPER(Assumptions!$B$56)="YES",INDEX('Signed schedule'!$B$5:$S$5,L3),L10/L11*Solve!$B$26),0)</f>
        <v>23.0429462898159</v>
      </c>
      <c r="M12" s="20" t="n">
        <f aca="false">IF(M3&lt;=Assumptions!$B$41,IF(UPPER(Assumptions!$B$56)="YES",INDEX('Signed schedule'!$B$5:$S$5,M3),M10/M11*Solve!$B$26),0)</f>
        <v>22.7921320618293</v>
      </c>
      <c r="N12" s="20" t="n">
        <f aca="false">IF(N3&lt;=Assumptions!$B$41,IF(UPPER(Assumptions!$B$56)="YES",INDEX('Signed schedule'!$B$5:$S$5,N3),N10/N11*Solve!$B$26),0)</f>
        <v>22.5386009163105</v>
      </c>
      <c r="O12" s="20" t="n">
        <f aca="false">IF(O3&lt;=Assumptions!$B$41,IF(UPPER(Assumptions!$B$56)="YES",INDEX('Signed schedule'!$B$5:$S$5,O3),O10/O11*Solve!$B$26),0)</f>
        <v>22.2822770906021</v>
      </c>
      <c r="P12" s="20" t="n">
        <f aca="false">IF(P3&lt;=Assumptions!$B$41,IF(UPPER(Assumptions!$B$56)="YES",INDEX('Signed schedule'!$B$5:$S$5,P3),P10/P11*Solve!$B$26),0)</f>
        <v>22.0230831905469</v>
      </c>
      <c r="Q12" s="20" t="n">
        <f aca="false">IF(Q3&lt;=Assumptions!$B$41,IF(UPPER(Assumptions!$B$56)="YES",INDEX('Signed schedule'!$B$5:$S$5,Q3),Q10/Q11*Solve!$B$26),0)</f>
        <v>8.25466410798042</v>
      </c>
      <c r="R12" s="20" t="n">
        <f aca="false">IF(R3&lt;=Assumptions!$B$41,IF(UPPER(Assumptions!$B$56)="YES",INDEX('Signed schedule'!$B$5:$S$5,R3),R10/R11*Solve!$B$26),0)</f>
        <v>8.31151741863083</v>
      </c>
      <c r="S12" s="20" t="n">
        <f aca="false">IF(S3&lt;=Assumptions!$B$41,IF(UPPER(Assumptions!$B$56)="YES",INDEX('Signed schedule'!$B$5:$S$5,S3),S10/S11*Solve!$B$26),0)</f>
        <v>8.36877299844109</v>
      </c>
      <c r="T12" s="20" t="n">
        <f aca="false">IF(T3&lt;=Assumptions!$B$41,IF(UPPER(Assumptions!$B$56)="YES",INDEX('Signed schedule'!$B$5:$S$5,T3),T10/T11*Solve!$B$26),0)</f>
        <v>0</v>
      </c>
      <c r="U12" s="20" t="n">
        <f aca="false">IF(U3&lt;=Assumptions!$B$41,IF(UPPER(Assumptions!$B$56)="YES",INDEX('Signed schedule'!$B$5:$S$5,U3),U10/U11*Solve!$B$26),0)</f>
        <v>0</v>
      </c>
      <c r="V12" s="20" t="n">
        <f aca="false">IF(V3&lt;=Assumptions!$B$41,IF(UPPER(Assumptions!$B$56)="YES",INDEX('Signed schedule'!$B$5:$S$5,V3),V10/V11*Solve!$B$26),0)</f>
        <v>0</v>
      </c>
      <c r="W12" s="20" t="n">
        <f aca="false">IF(W3&lt;=Assumptions!$B$41,IF(UPPER(Assumptions!$B$56)="YES",INDEX('Signed schedule'!$B$5:$S$5,W3),W10/W11*Solve!$B$26),0)</f>
        <v>0</v>
      </c>
      <c r="X12" s="20" t="n">
        <f aca="false">IF(X3&lt;=Assumptions!$B$41,IF(UPPER(Assumptions!$B$56)="YES",INDEX('Signed schedule'!$B$5:$S$5,X3),X10/X11*Solve!$B$26),0)</f>
        <v>0</v>
      </c>
      <c r="Y12" s="20" t="n">
        <f aca="false">IF(Y3&lt;=Assumptions!$B$41,IF(UPPER(Assumptions!$B$56)="YES",INDEX('Signed schedule'!$B$5:$S$5,Y3),Y10/Y11*Solve!$B$26),0)</f>
        <v>0</v>
      </c>
      <c r="Z12" s="20" t="n">
        <f aca="false">IF(Z3&lt;=Assumptions!$B$41,IF(UPPER(Assumptions!$B$56)="YES",INDEX('Signed schedule'!$B$5:$S$5,Z3),Z10/Z11*Solve!$B$26),0)</f>
        <v>0</v>
      </c>
    </row>
    <row r="13" customFormat="false" ht="15" hidden="false" customHeight="false" outlineLevel="0" collapsed="false">
      <c r="A13" s="2" t="s">
        <v>102</v>
      </c>
      <c r="B13" s="22" t="n">
        <f aca="false">1/(1+Solve!$B$5)^B3</f>
        <v>0.943618778013683</v>
      </c>
      <c r="C13" s="22" t="n">
        <f aca="false">1/(1+Solve!$B$5)^C3</f>
        <v>0.890416398220036</v>
      </c>
      <c r="D13" s="22" t="n">
        <f aca="false">1/(1+Solve!$B$5)^D3</f>
        <v>0.840213633611734</v>
      </c>
      <c r="E13" s="22" t="n">
        <f aca="false">1/(1+Solve!$B$5)^E3</f>
        <v>0.792841362219141</v>
      </c>
      <c r="F13" s="22" t="n">
        <f aca="false">1/(1+Solve!$B$5)^F3</f>
        <v>0.748139997375929</v>
      </c>
      <c r="G13" s="22" t="n">
        <f aca="false">1/(1+Solve!$B$5)^G3</f>
        <v>0.705958950107034</v>
      </c>
      <c r="H13" s="22" t="n">
        <f aca="false">1/(1+Solve!$B$5)^H3</f>
        <v>0.666156121827821</v>
      </c>
      <c r="I13" s="22" t="n">
        <f aca="false">1/(1+Solve!$B$5)^I3</f>
        <v>0.628597425645503</v>
      </c>
      <c r="J13" s="22" t="n">
        <f aca="false">1/(1+Solve!$B$5)^J3</f>
        <v>0.593156334650156</v>
      </c>
      <c r="K13" s="22" t="n">
        <f aca="false">1/(1+Solve!$B$5)^K3</f>
        <v>0.559713455673655</v>
      </c>
      <c r="L13" s="22" t="n">
        <f aca="false">1/(1+Solve!$B$5)^L3</f>
        <v>0.52815612708059</v>
      </c>
      <c r="M13" s="22" t="n">
        <f aca="false">1/(1+Solve!$B$5)^M3</f>
        <v>0.498378039236225</v>
      </c>
      <c r="N13" s="22" t="n">
        <f aca="false">1/(1+Solve!$B$5)^N3</f>
        <v>0.470278876372942</v>
      </c>
      <c r="O13" s="22" t="n">
        <f aca="false">1/(1+Solve!$B$5)^O3</f>
        <v>0.443763978648683</v>
      </c>
      <c r="P13" s="22" t="n">
        <f aca="false">1/(1+Solve!$B$5)^P3</f>
        <v>0.41874402325896</v>
      </c>
      <c r="Q13" s="22" t="n">
        <f aca="false">1/(1+Solve!$B$5)^Q3</f>
        <v>0.395134723528153</v>
      </c>
      <c r="R13" s="22" t="n">
        <f aca="false">1/(1+Solve!$B$5)^R3</f>
        <v>0.37285654496641</v>
      </c>
      <c r="S13" s="22" t="n">
        <f aca="false">1/(1+Solve!$B$5)^S3</f>
        <v>0.351834437335608</v>
      </c>
      <c r="T13" s="22" t="n">
        <f aca="false">1/(1+Solve!$B$5)^T3</f>
        <v>0.331997581821758</v>
      </c>
      <c r="U13" s="22" t="n">
        <f aca="false">1/(1+Solve!$B$5)^U3</f>
        <v>0.313279152462145</v>
      </c>
      <c r="V13" s="22" t="n">
        <f aca="false">1/(1+Solve!$B$5)^V3</f>
        <v>0.295616091023491</v>
      </c>
      <c r="W13" s="22" t="n">
        <f aca="false">1/(1+Solve!$B$5)^W3</f>
        <v>0.278948894572768</v>
      </c>
      <c r="X13" s="22" t="n">
        <f aca="false">1/(1+Solve!$B$5)^X3</f>
        <v>0.263221415025023</v>
      </c>
      <c r="Y13" s="22" t="n">
        <f aca="false">1/(1+Solve!$B$5)^Y3</f>
        <v>0.248380669992945</v>
      </c>
      <c r="Z13" s="22" t="n">
        <f aca="false">1/(1+Solve!$B$5)^Z3</f>
        <v>0.234376664300962</v>
      </c>
    </row>
    <row r="15" customFormat="false" ht="15" hidden="false" customHeight="false" outlineLevel="0" collapsed="false">
      <c r="A15" s="3" t="s">
        <v>103</v>
      </c>
      <c r="B15" s="23" t="n">
        <f aca="false">B10/B12</f>
        <v>1.35</v>
      </c>
      <c r="C15" s="23" t="n">
        <f aca="false">C10/C12</f>
        <v>1.35</v>
      </c>
      <c r="D15" s="23" t="n">
        <f aca="false">D10/D12</f>
        <v>1.35</v>
      </c>
      <c r="E15" s="23" t="n">
        <f aca="false">E10/E12</f>
        <v>1.35</v>
      </c>
      <c r="F15" s="23" t="n">
        <f aca="false">F10/F12</f>
        <v>1.35</v>
      </c>
      <c r="G15" s="23" t="n">
        <f aca="false">G10/G12</f>
        <v>1.35</v>
      </c>
      <c r="H15" s="23" t="n">
        <f aca="false">H10/H12</f>
        <v>1.35</v>
      </c>
      <c r="I15" s="23" t="n">
        <f aca="false">I10/I12</f>
        <v>1.35</v>
      </c>
      <c r="J15" s="23" t="n">
        <f aca="false">J10/J12</f>
        <v>1.35</v>
      </c>
      <c r="K15" s="23" t="n">
        <f aca="false">K10/K12</f>
        <v>1.35</v>
      </c>
      <c r="L15" s="23" t="n">
        <f aca="false">L10/L12</f>
        <v>1.35</v>
      </c>
      <c r="M15" s="23" t="n">
        <f aca="false">M10/M12</f>
        <v>1.35</v>
      </c>
      <c r="N15" s="23" t="n">
        <f aca="false">N10/N12</f>
        <v>1.35</v>
      </c>
      <c r="O15" s="23" t="n">
        <f aca="false">O10/O12</f>
        <v>1.35</v>
      </c>
      <c r="P15" s="23" t="n">
        <f aca="false">P10/P12</f>
        <v>1.35</v>
      </c>
      <c r="Q15" s="23" t="n">
        <f aca="false">Q10/Q12</f>
        <v>1.9</v>
      </c>
      <c r="R15" s="23" t="n">
        <f aca="false">R10/R12</f>
        <v>1.9</v>
      </c>
      <c r="S15" s="23" t="n">
        <f aca="false">S10/S12</f>
        <v>1.9</v>
      </c>
    </row>
    <row r="17" customFormat="false" ht="15" hidden="false" customHeight="false" outlineLevel="0" collapsed="false">
      <c r="A17" s="14" t="s">
        <v>104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10" min="2" style="0" width="12"/>
  </cols>
  <sheetData>
    <row r="1" customFormat="false" ht="17.35" hidden="false" customHeight="false" outlineLevel="0" collapsed="false">
      <c r="A1" s="1" t="s">
        <v>105</v>
      </c>
    </row>
    <row r="2" customFormat="false" ht="15" hidden="false" customHeight="false" outlineLevel="0" collapsed="false">
      <c r="A2" s="14" t="s">
        <v>106</v>
      </c>
    </row>
    <row r="5" customFormat="false" ht="15" hidden="false" customHeight="false" outlineLevel="0" collapsed="false">
      <c r="A5" s="2" t="s">
        <v>107</v>
      </c>
      <c r="B5" s="24" t="n">
        <f aca="false">Assumptions!$B$38+Assumptions!$B$39</f>
        <v>0.05975</v>
      </c>
    </row>
    <row r="7" customFormat="false" ht="15" hidden="false" customHeight="false" outlineLevel="0" collapsed="false">
      <c r="A7" s="2" t="s">
        <v>108</v>
      </c>
      <c r="B7" s="25" t="n">
        <f aca="false">Assumptions!$B$4*1000000*Assumptions!$B$11/1000000</f>
        <v>308</v>
      </c>
    </row>
    <row r="8" customFormat="false" ht="15" hidden="false" customHeight="false" outlineLevel="0" collapsed="false">
      <c r="A8" s="2" t="s">
        <v>109</v>
      </c>
      <c r="B8" s="25" t="n">
        <f aca="false">B7+Assumptions!$B$8*1000*Assumptions!$B$12/1000000+Assumptions!$B$13</f>
        <v>421.6</v>
      </c>
    </row>
    <row r="9" customFormat="false" ht="15" hidden="false" customHeight="false" outlineLevel="0" collapsed="false">
      <c r="A9" s="3" t="s">
        <v>110</v>
      </c>
      <c r="B9" s="25" t="n">
        <f aca="false">B8*(1+Assumptions!$B$14)+Assumptions!$B$15+Assumptions!$B$16</f>
        <v>468.464</v>
      </c>
    </row>
    <row r="11" customFormat="false" ht="15" hidden="false" customHeight="false" outlineLevel="0" collapsed="false">
      <c r="A11" s="3" t="s">
        <v>111</v>
      </c>
      <c r="B11" s="25" t="n">
        <f aca="false">SUMPRODUCT('Cash flow'!B10:S10/'Cash flow'!B11:S11,'Cash flow'!B13:S13)</f>
        <v>242.933288845638</v>
      </c>
      <c r="C11" s="14" t="s">
        <v>112</v>
      </c>
    </row>
    <row r="13" customFormat="false" ht="15" hidden="false" customHeight="false" outlineLevel="0" collapsed="false">
      <c r="A13" s="3" t="s">
        <v>113</v>
      </c>
      <c r="B13" s="26" t="n">
        <v>0.1</v>
      </c>
      <c r="C13" s="26" t="n">
        <v>0.18</v>
      </c>
      <c r="D13" s="26" t="n">
        <v>0.22</v>
      </c>
      <c r="E13" s="26" t="n">
        <v>0.22</v>
      </c>
      <c r="F13" s="26" t="n">
        <v>0.18</v>
      </c>
      <c r="G13" s="26" t="n">
        <v>0.1</v>
      </c>
    </row>
    <row r="14" customFormat="false" ht="15" hidden="false" customHeight="false" outlineLevel="0" collapsed="false">
      <c r="B14" s="27" t="n">
        <f aca="false">B13</f>
        <v>0.1</v>
      </c>
      <c r="C14" s="27" t="n">
        <f aca="false">B14+C13</f>
        <v>0.28</v>
      </c>
      <c r="D14" s="27" t="n">
        <f aca="false">C14+D13</f>
        <v>0.5</v>
      </c>
      <c r="E14" s="27" t="n">
        <f aca="false">D14+E13</f>
        <v>0.72</v>
      </c>
      <c r="F14" s="27" t="n">
        <f aca="false">E14+F13</f>
        <v>0.9</v>
      </c>
      <c r="G14" s="27" t="n">
        <f aca="false">F14+G13</f>
        <v>1</v>
      </c>
    </row>
    <row r="16" customFormat="false" ht="15" hidden="false" customHeight="false" outlineLevel="0" collapsed="false">
      <c r="A16" s="3" t="s">
        <v>114</v>
      </c>
      <c r="B16" s="3" t="n">
        <v>1</v>
      </c>
      <c r="C16" s="3" t="n">
        <v>2</v>
      </c>
      <c r="D16" s="3" t="n">
        <v>3</v>
      </c>
      <c r="E16" s="3" t="n">
        <v>4</v>
      </c>
      <c r="F16" s="3" t="n">
        <v>5</v>
      </c>
      <c r="G16" s="3" t="n">
        <v>6</v>
      </c>
      <c r="H16" s="3" t="n">
        <v>7</v>
      </c>
      <c r="I16" s="3" t="n">
        <v>8</v>
      </c>
    </row>
    <row r="17" customFormat="false" ht="15" hidden="false" customHeight="false" outlineLevel="0" collapsed="false">
      <c r="A17" s="2" t="s">
        <v>115</v>
      </c>
      <c r="B17" s="20" t="n">
        <f aca="false">IF(UPPER(Assumptions!$B$56)="YES",Assumptions!$B$57,MIN($B$11,$B$9*Assumptions!$B$44))</f>
        <v>242.933288845638</v>
      </c>
      <c r="C17" s="20" t="n">
        <f aca="false">B23</f>
        <v>242.933288845638</v>
      </c>
      <c r="D17" s="20" t="n">
        <f aca="false">C23</f>
        <v>242.933288845638</v>
      </c>
      <c r="E17" s="20" t="n">
        <f aca="false">D23</f>
        <v>242.933288845638</v>
      </c>
      <c r="F17" s="20" t="n">
        <f aca="false">E23</f>
        <v>242.933288845638</v>
      </c>
      <c r="G17" s="20" t="n">
        <f aca="false">F23</f>
        <v>242.933288845638</v>
      </c>
      <c r="H17" s="20" t="n">
        <f aca="false">G23</f>
        <v>242.933288845638</v>
      </c>
      <c r="I17" s="20" t="n">
        <f aca="false">H23</f>
        <v>242.933288845638</v>
      </c>
    </row>
    <row r="18" customFormat="false" ht="15" hidden="false" customHeight="false" outlineLevel="0" collapsed="false">
      <c r="A18" s="2" t="s">
        <v>116</v>
      </c>
      <c r="B18" s="20" t="n">
        <f aca="false">$B$9-B17</f>
        <v>225.530711154362</v>
      </c>
      <c r="C18" s="20" t="n">
        <f aca="false">B22-B23</f>
        <v>250.553590534438</v>
      </c>
      <c r="D18" s="20" t="n">
        <f aca="false">C22-C23</f>
        <v>249.489166880457</v>
      </c>
      <c r="E18" s="20" t="n">
        <f aca="false">D22-D23</f>
        <v>249.528916451285</v>
      </c>
      <c r="F18" s="20" t="n">
        <f aca="false">E22-E23</f>
        <v>249.52743205325</v>
      </c>
      <c r="G18" s="20" t="n">
        <f aca="false">F22-F23</f>
        <v>249.527487486239</v>
      </c>
      <c r="H18" s="20" t="n">
        <f aca="false">G22-G23</f>
        <v>249.527485416163</v>
      </c>
      <c r="I18" s="20" t="n">
        <f aca="false">H22-H23</f>
        <v>249.527485493467</v>
      </c>
    </row>
    <row r="19" customFormat="false" ht="15" hidden="false" customHeight="false" outlineLevel="0" collapsed="false">
      <c r="A19" s="2" t="s">
        <v>117</v>
      </c>
      <c r="B19" s="20" t="n">
        <f aca="false">$B$5/4*((MAX(0,0-B$18)+MAX(0,$B$9*B14-B$18))/2+(MAX(0,$B$9*B14-B$18)+MAX(0,$B$9*C14-B$18))/2+(MAX(0,$B$9*C14-B$18)+MAX(0,$B$9*D14-B$18))/2+(MAX(0,$B$9*D14-B$18)+MAX(0,$B$9*E14-B$18))/2+(MAX(0,$B$9*E14-B$18)+MAX(0,$B$9*F14-B$18))/2+(MAX(0,$B$9*F14-B$18)+MAX(0,$B$9*G14-B$18))/2+6*(B20+B21))</f>
        <v>8.06293201046261</v>
      </c>
      <c r="C19" s="20" t="n">
        <f aca="false">$B$5/4*((MAX(0,0-C$18)+MAX(0,$B$9*B14-C$18))/2+(MAX(0,$B$9*B14-C$18)+MAX(0,$B$9*C14-C$18))/2+(MAX(0,$B$9*C14-C$18)+MAX(0,$B$9*D14-C$18))/2+(MAX(0,$B$9*D14-C$18)+MAX(0,$B$9*E14-C$18))/2+(MAX(0,$B$9*E14-C$18)+MAX(0,$B$9*F14-C$18))/2+(MAX(0,$B$9*F14-C$18)+MAX(0,$B$9*G14-C$18))/2+6*(C20+C21))</f>
        <v>6.99850835648118</v>
      </c>
      <c r="D19" s="20" t="n">
        <f aca="false">$B$5/4*((MAX(0,0-D$18)+MAX(0,$B$9*B14-D$18))/2+(MAX(0,$B$9*B14-D$18)+MAX(0,$B$9*C14-D$18))/2+(MAX(0,$B$9*C14-D$18)+MAX(0,$B$9*D14-D$18))/2+(MAX(0,$B$9*D14-D$18)+MAX(0,$B$9*E14-D$18))/2+(MAX(0,$B$9*E14-D$18)+MAX(0,$B$9*F14-D$18))/2+(MAX(0,$B$9*F14-D$18)+MAX(0,$B$9*G14-D$18))/2+6*(D20+D21))</f>
        <v>7.03825792730955</v>
      </c>
      <c r="E19" s="20" t="n">
        <f aca="false">$B$5/4*((MAX(0,0-E$18)+MAX(0,$B$9*B14-E$18))/2+(MAX(0,$B$9*B14-E$18)+MAX(0,$B$9*C14-E$18))/2+(MAX(0,$B$9*C14-E$18)+MAX(0,$B$9*D14-E$18))/2+(MAX(0,$B$9*D14-E$18)+MAX(0,$B$9*E14-E$18))/2+(MAX(0,$B$9*E14-E$18)+MAX(0,$B$9*F14-E$18))/2+(MAX(0,$B$9*F14-E$18)+MAX(0,$B$9*G14-E$18))/2+6*(E20+E21))</f>
        <v>7.03677352927393</v>
      </c>
      <c r="F19" s="20" t="n">
        <f aca="false">$B$5/4*((MAX(0,0-F$18)+MAX(0,$B$9*B14-F$18))/2+(MAX(0,$B$9*B14-F$18)+MAX(0,$B$9*C14-F$18))/2+(MAX(0,$B$9*C14-F$18)+MAX(0,$B$9*D14-F$18))/2+(MAX(0,$B$9*D14-F$18)+MAX(0,$B$9*E14-F$18))/2+(MAX(0,$B$9*E14-F$18)+MAX(0,$B$9*F14-F$18))/2+(MAX(0,$B$9*F14-F$18)+MAX(0,$B$9*G14-F$18))/2+6*(F20+F21))</f>
        <v>7.03682896226307</v>
      </c>
      <c r="G19" s="20" t="n">
        <f aca="false">$B$5/4*((MAX(0,0-G$18)+MAX(0,$B$9*B14-G$18))/2+(MAX(0,$B$9*B14-G$18)+MAX(0,$B$9*C14-G$18))/2+(MAX(0,$B$9*C14-G$18)+MAX(0,$B$9*D14-G$18))/2+(MAX(0,$B$9*D14-G$18)+MAX(0,$B$9*E14-G$18))/2+(MAX(0,$B$9*E14-G$18)+MAX(0,$B$9*F14-G$18))/2+(MAX(0,$B$9*F14-G$18)+MAX(0,$B$9*G14-G$18))/2+6*(G20+G21))</f>
        <v>7.03682689218738</v>
      </c>
      <c r="H19" s="20" t="n">
        <f aca="false">$B$5/4*((MAX(0,0-H$18)+MAX(0,$B$9*B14-H$18))/2+(MAX(0,$B$9*B14-H$18)+MAX(0,$B$9*C14-H$18))/2+(MAX(0,$B$9*C14-H$18)+MAX(0,$B$9*D14-H$18))/2+(MAX(0,$B$9*D14-H$18)+MAX(0,$B$9*E14-H$18))/2+(MAX(0,$B$9*E14-H$18)+MAX(0,$B$9*F14-H$18))/2+(MAX(0,$B$9*F14-H$18)+MAX(0,$B$9*G14-H$18))/2+6*(H20+H21))</f>
        <v>7.03682696949177</v>
      </c>
      <c r="I19" s="20" t="n">
        <f aca="false">$B$5/4*((MAX(0,0-I$18)+MAX(0,$B$9*B14-I$18))/2+(MAX(0,$B$9*B14-I$18)+MAX(0,$B$9*C14-I$18))/2+(MAX(0,$B$9*C14-I$18)+MAX(0,$B$9*D14-I$18))/2+(MAX(0,$B$9*D14-I$18)+MAX(0,$B$9*E14-I$18))/2+(MAX(0,$B$9*E14-I$18)+MAX(0,$B$9*F14-I$18))/2+(MAX(0,$B$9*F14-I$18)+MAX(0,$B$9*G14-I$18))/2+6*(I20+I21))</f>
        <v>7.03682696660494</v>
      </c>
    </row>
    <row r="20" customFormat="false" ht="15" hidden="false" customHeight="false" outlineLevel="0" collapsed="false">
      <c r="A20" s="2" t="s">
        <v>118</v>
      </c>
      <c r="B20" s="20" t="n">
        <f aca="false">B17*Assumptions!$B$40</f>
        <v>4.25133255479867</v>
      </c>
      <c r="C20" s="20" t="n">
        <f aca="false">C17*Assumptions!$B$40</f>
        <v>4.25133255479867</v>
      </c>
      <c r="D20" s="20" t="n">
        <f aca="false">D17*Assumptions!$B$40</f>
        <v>4.25133255479867</v>
      </c>
      <c r="E20" s="20" t="n">
        <f aca="false">E17*Assumptions!$B$40</f>
        <v>4.25133255479867</v>
      </c>
      <c r="F20" s="20" t="n">
        <f aca="false">F17*Assumptions!$B$40</f>
        <v>4.25133255479867</v>
      </c>
      <c r="G20" s="20" t="n">
        <f aca="false">G17*Assumptions!$B$40</f>
        <v>4.25133255479867</v>
      </c>
      <c r="H20" s="20" t="n">
        <f aca="false">H17*Assumptions!$B$40</f>
        <v>4.25133255479867</v>
      </c>
      <c r="I20" s="20" t="n">
        <f aca="false">I17*Assumptions!$B$40</f>
        <v>4.25133255479867</v>
      </c>
    </row>
    <row r="21" customFormat="false" ht="15" hidden="false" customHeight="false" outlineLevel="0" collapsed="false">
      <c r="A21" s="2" t="s">
        <v>119</v>
      </c>
      <c r="B21" s="20" t="n">
        <f aca="false">IF(UPPER(Assumptions!$B$56)="YES",'Signed schedule'!$B$5*Assumptions!$B$45/12,'Cash flow'!B10/'Cash flow'!B11*B17/$B$11*Assumptions!$B$45/12)</f>
        <v>12.7086148148148</v>
      </c>
      <c r="C21" s="20" t="n">
        <f aca="false">IF(UPPER(Assumptions!$B$56)="YES",'Signed schedule'!$B$5*Assumptions!$B$45/12,'Cash flow'!B10/'Cash flow'!B11*C17/$B$11*Assumptions!$B$45/12)</f>
        <v>12.7086148148148</v>
      </c>
      <c r="D21" s="20" t="n">
        <f aca="false">IF(UPPER(Assumptions!$B$56)="YES",'Signed schedule'!$B$5*Assumptions!$B$45/12,'Cash flow'!B10/'Cash flow'!B11*D17/$B$11*Assumptions!$B$45/12)</f>
        <v>12.7086148148148</v>
      </c>
      <c r="E21" s="20" t="n">
        <f aca="false">IF(UPPER(Assumptions!$B$56)="YES",'Signed schedule'!$B$5*Assumptions!$B$45/12,'Cash flow'!B10/'Cash flow'!B11*E17/$B$11*Assumptions!$B$45/12)</f>
        <v>12.7086148148148</v>
      </c>
      <c r="F21" s="20" t="n">
        <f aca="false">IF(UPPER(Assumptions!$B$56)="YES",'Signed schedule'!$B$5*Assumptions!$B$45/12,'Cash flow'!B10/'Cash flow'!B11*F17/$B$11*Assumptions!$B$45/12)</f>
        <v>12.7086148148148</v>
      </c>
      <c r="G21" s="20" t="n">
        <f aca="false">IF(UPPER(Assumptions!$B$56)="YES",'Signed schedule'!$B$5*Assumptions!$B$45/12,'Cash flow'!B10/'Cash flow'!B11*G17/$B$11*Assumptions!$B$45/12)</f>
        <v>12.7086148148148</v>
      </c>
      <c r="H21" s="20" t="n">
        <f aca="false">IF(UPPER(Assumptions!$B$56)="YES",'Signed schedule'!$B$5*Assumptions!$B$45/12,'Cash flow'!B10/'Cash flow'!B11*H17/$B$11*Assumptions!$B$45/12)</f>
        <v>12.7086148148148</v>
      </c>
      <c r="I21" s="20" t="n">
        <f aca="false">IF(UPPER(Assumptions!$B$56)="YES",'Signed schedule'!$B$5*Assumptions!$B$45/12,'Cash flow'!B10/'Cash flow'!B11*I17/$B$11*Assumptions!$B$45/12)</f>
        <v>12.7086148148148</v>
      </c>
    </row>
    <row r="22" customFormat="false" ht="15" hidden="false" customHeight="false" outlineLevel="0" collapsed="false">
      <c r="A22" s="3" t="s">
        <v>120</v>
      </c>
      <c r="B22" s="20" t="n">
        <f aca="false">$B$9+B19+B20+B21</f>
        <v>493.486879380076</v>
      </c>
      <c r="C22" s="20" t="n">
        <f aca="false">$B$9+C19+C20+C21</f>
        <v>492.422455726095</v>
      </c>
      <c r="D22" s="20" t="n">
        <f aca="false">$B$9+D19+D20+D21</f>
        <v>492.462205296923</v>
      </c>
      <c r="E22" s="20" t="n">
        <f aca="false">$B$9+E19+E20+E21</f>
        <v>492.460720898888</v>
      </c>
      <c r="F22" s="20" t="n">
        <f aca="false">$B$9+F19+F20+F21</f>
        <v>492.460776331877</v>
      </c>
      <c r="G22" s="20" t="n">
        <f aca="false">$B$9+G19+G20+G21</f>
        <v>492.460774261801</v>
      </c>
      <c r="H22" s="20" t="n">
        <f aca="false">$B$9+H19+H20+H21</f>
        <v>492.460774339105</v>
      </c>
      <c r="I22" s="20" t="n">
        <f aca="false">$B$9+I19+I20+I21</f>
        <v>492.460774336219</v>
      </c>
    </row>
    <row r="23" customFormat="false" ht="15" hidden="false" customHeight="false" outlineLevel="0" collapsed="false">
      <c r="A23" s="3" t="s">
        <v>121</v>
      </c>
      <c r="B23" s="20" t="n">
        <f aca="false">IF(UPPER(Assumptions!$B$56)="YES",Assumptions!$B$57,MIN($B$11,B22*Assumptions!$B$44))</f>
        <v>242.933288845638</v>
      </c>
      <c r="C23" s="20" t="n">
        <f aca="false">IF(UPPER(Assumptions!$B$56)="YES",Assumptions!$B$57,MIN($B$11,C22*Assumptions!$B$44))</f>
        <v>242.933288845638</v>
      </c>
      <c r="D23" s="20" t="n">
        <f aca="false">IF(UPPER(Assumptions!$B$56)="YES",Assumptions!$B$57,MIN($B$11,D22*Assumptions!$B$44))</f>
        <v>242.933288845638</v>
      </c>
      <c r="E23" s="20" t="n">
        <f aca="false">IF(UPPER(Assumptions!$B$56)="YES",Assumptions!$B$57,MIN($B$11,E22*Assumptions!$B$44))</f>
        <v>242.933288845638</v>
      </c>
      <c r="F23" s="20" t="n">
        <f aca="false">IF(UPPER(Assumptions!$B$56)="YES",Assumptions!$B$57,MIN($B$11,F22*Assumptions!$B$44))</f>
        <v>242.933288845638</v>
      </c>
      <c r="G23" s="20" t="n">
        <f aca="false">IF(UPPER(Assumptions!$B$56)="YES",Assumptions!$B$57,MIN($B$11,G22*Assumptions!$B$44))</f>
        <v>242.933288845638</v>
      </c>
      <c r="H23" s="20" t="n">
        <f aca="false">IF(UPPER(Assumptions!$B$56)="YES",Assumptions!$B$57,MIN($B$11,H22*Assumptions!$B$44))</f>
        <v>242.933288845638</v>
      </c>
      <c r="I23" s="20" t="n">
        <f aca="false">IF(UPPER(Assumptions!$B$56)="YES",Assumptions!$B$57,MIN($B$11,I22*Assumptions!$B$44))</f>
        <v>242.933288845638</v>
      </c>
    </row>
    <row r="24" customFormat="false" ht="15" hidden="false" customHeight="false" outlineLevel="0" collapsed="false">
      <c r="A24" s="2" t="s">
        <v>122</v>
      </c>
      <c r="B24" s="28" t="n">
        <f aca="false">B23-B17</f>
        <v>0</v>
      </c>
      <c r="C24" s="28" t="n">
        <f aca="false">C23-C17</f>
        <v>0</v>
      </c>
      <c r="D24" s="28" t="n">
        <f aca="false">D23-D17</f>
        <v>0</v>
      </c>
      <c r="E24" s="28" t="n">
        <f aca="false">E23-E17</f>
        <v>0</v>
      </c>
      <c r="F24" s="28" t="n">
        <f aca="false">F23-F17</f>
        <v>0</v>
      </c>
      <c r="G24" s="28" t="n">
        <f aca="false">G23-G17</f>
        <v>0</v>
      </c>
      <c r="H24" s="28" t="n">
        <f aca="false">H23-H17</f>
        <v>0</v>
      </c>
      <c r="I24" s="28" t="n">
        <f aca="false">I23-I17</f>
        <v>0</v>
      </c>
    </row>
    <row r="26" customFormat="false" ht="15" hidden="false" customHeight="false" outlineLevel="0" collapsed="false">
      <c r="A26" s="3" t="s">
        <v>123</v>
      </c>
      <c r="B26" s="29" t="n">
        <f aca="false">IF($B$11=0,0,I23/$B$11)</f>
        <v>1</v>
      </c>
      <c r="C26" s="14" t="s">
        <v>124</v>
      </c>
    </row>
    <row r="27" customFormat="false" ht="15" hidden="false" customHeight="false" outlineLevel="0" collapsed="false">
      <c r="A27" s="3" t="s">
        <v>125</v>
      </c>
      <c r="B27" s="30" t="n">
        <f aca="false">I23</f>
        <v>242.933288845638</v>
      </c>
    </row>
    <row r="28" customFormat="false" ht="15" hidden="false" customHeight="false" outlineLevel="0" collapsed="false">
      <c r="A28" s="3" t="s">
        <v>126</v>
      </c>
      <c r="B28" s="0" t="str">
        <f aca="false">IF(ABS(I24)&lt;0.001,"CONVERGED","NOT CONVERGED — add passes")</f>
        <v>CONVERGED</v>
      </c>
    </row>
    <row r="29" customFormat="false" ht="15" hidden="false" customHeight="false" outlineLevel="0" collapsed="false">
      <c r="A29" s="2" t="s">
        <v>127</v>
      </c>
      <c r="B29" s="0" t="str">
        <f aca="false">IF(UPPER(Assumptions!$B$56)="YES","schedule held (stress case)",IF($B$11&lt;=I22*Assumptions!$B$44,"cover","loan to cost"))</f>
        <v>cover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5"/>
    <col collapsed="false" customWidth="true" hidden="false" outlineLevel="0" max="3" min="3" style="0" width="52"/>
    <col collapsed="false" customWidth="true" hidden="false" outlineLevel="0" max="28" min="4" style="0" width="10"/>
  </cols>
  <sheetData>
    <row r="1" customFormat="false" ht="17.35" hidden="false" customHeight="false" outlineLevel="0" collapsed="false">
      <c r="A1" s="1" t="s">
        <v>128</v>
      </c>
    </row>
    <row r="3" customFormat="false" ht="19.5" hidden="false" customHeight="true" outlineLevel="0" collapsed="false">
      <c r="A3" s="4" t="s">
        <v>129</v>
      </c>
      <c r="B3" s="5"/>
      <c r="C3" s="5"/>
    </row>
    <row r="4" customFormat="false" ht="15" hidden="false" customHeight="false" outlineLevel="0" collapsed="false">
      <c r="A4" s="2" t="s">
        <v>130</v>
      </c>
      <c r="B4" s="25" t="n">
        <f aca="false">Solve!$B$9</f>
        <v>468.464</v>
      </c>
    </row>
    <row r="5" customFormat="false" ht="15" hidden="false" customHeight="false" outlineLevel="0" collapsed="false">
      <c r="A5" s="2" t="s">
        <v>131</v>
      </c>
      <c r="B5" s="25" t="n">
        <f aca="false">Solve!$I$19</f>
        <v>7.03682696660494</v>
      </c>
    </row>
    <row r="6" customFormat="false" ht="15" hidden="false" customHeight="false" outlineLevel="0" collapsed="false">
      <c r="A6" s="2" t="s">
        <v>132</v>
      </c>
      <c r="B6" s="25" t="n">
        <f aca="false">Solve!$I$20</f>
        <v>4.25133255479867</v>
      </c>
    </row>
    <row r="7" customFormat="false" ht="15" hidden="false" customHeight="false" outlineLevel="0" collapsed="false">
      <c r="A7" s="2" t="s">
        <v>133</v>
      </c>
      <c r="B7" s="25" t="n">
        <f aca="false">Solve!$I$21</f>
        <v>12.7086148148148</v>
      </c>
    </row>
    <row r="8" customFormat="false" ht="15" hidden="false" customHeight="false" outlineLevel="0" collapsed="false">
      <c r="A8" s="3" t="s">
        <v>134</v>
      </c>
      <c r="B8" s="25" t="n">
        <f aca="false">SUM(B4:B7)</f>
        <v>492.460774336219</v>
      </c>
    </row>
    <row r="9" customFormat="false" ht="15" hidden="false" customHeight="false" outlineLevel="0" collapsed="false">
      <c r="A9" s="2" t="s">
        <v>135</v>
      </c>
      <c r="B9" s="25" t="n">
        <f aca="false">Solve!$B$27</f>
        <v>242.933288845638</v>
      </c>
    </row>
    <row r="10" customFormat="false" ht="15" hidden="false" customHeight="false" outlineLevel="0" collapsed="false">
      <c r="A10" s="3" t="s">
        <v>136</v>
      </c>
      <c r="B10" s="25" t="n">
        <f aca="false">B8-B9</f>
        <v>249.527485490581</v>
      </c>
    </row>
    <row r="11" customFormat="false" ht="15" hidden="false" customHeight="false" outlineLevel="0" collapsed="false">
      <c r="A11" s="2" t="s">
        <v>137</v>
      </c>
      <c r="B11" s="27" t="n">
        <f aca="false">B9/B8</f>
        <v>0.493304850874843</v>
      </c>
    </row>
    <row r="12" customFormat="false" ht="15" hidden="false" customHeight="false" outlineLevel="0" collapsed="false">
      <c r="A12" s="2" t="s">
        <v>138</v>
      </c>
      <c r="B12" s="25" t="n">
        <f aca="false">(B4+B5)*Assumptions!$B$50</f>
        <v>142.650248089982</v>
      </c>
    </row>
    <row r="13" customFormat="false" ht="15" hidden="false" customHeight="false" outlineLevel="0" collapsed="false">
      <c r="A13" s="3" t="s">
        <v>139</v>
      </c>
      <c r="B13" s="25" t="n">
        <f aca="false">B10-B12</f>
        <v>106.877237400599</v>
      </c>
    </row>
    <row r="15" customFormat="false" ht="19.5" hidden="false" customHeight="true" outlineLevel="0" collapsed="false">
      <c r="A15" s="4" t="s">
        <v>140</v>
      </c>
      <c r="B15" s="5"/>
      <c r="C15" s="5"/>
    </row>
    <row r="16" customFormat="false" ht="15" hidden="false" customHeight="false" outlineLevel="0" collapsed="false">
      <c r="A16" s="2" t="s">
        <v>141</v>
      </c>
      <c r="B16" s="20" t="n">
        <f aca="false">'Cash flow'!B10</f>
        <v>34.31326</v>
      </c>
    </row>
    <row r="17" customFormat="false" ht="15" hidden="false" customHeight="false" outlineLevel="0" collapsed="false">
      <c r="A17" s="2" t="s">
        <v>142</v>
      </c>
      <c r="B17" s="31" t="n">
        <f aca="false">B16/B8</f>
        <v>0.0696771434156363</v>
      </c>
    </row>
    <row r="18" customFormat="false" ht="15" hidden="false" customHeight="false" outlineLevel="0" collapsed="false">
      <c r="A18" s="2" t="s">
        <v>143</v>
      </c>
      <c r="B18" s="23" t="n">
        <f aca="false">MIN('Cash flow'!B15:S15)</f>
        <v>1.35</v>
      </c>
    </row>
    <row r="20" customFormat="false" ht="19.5" hidden="false" customHeight="true" outlineLevel="0" collapsed="false">
      <c r="A20" s="32" t="s">
        <v>144</v>
      </c>
      <c r="B20" s="5"/>
      <c r="C20" s="5"/>
    </row>
    <row r="21" customFormat="false" ht="15" hidden="false" customHeight="false" outlineLevel="0" collapsed="false">
      <c r="A21" s="3" t="s">
        <v>92</v>
      </c>
      <c r="B21" s="0" t="n">
        <v>0</v>
      </c>
      <c r="C21" s="0" t="n">
        <v>1</v>
      </c>
      <c r="D21" s="3" t="n">
        <v>2</v>
      </c>
      <c r="E21" s="3" t="n">
        <v>3</v>
      </c>
      <c r="F21" s="3" t="n">
        <v>4</v>
      </c>
      <c r="G21" s="3" t="n">
        <v>5</v>
      </c>
      <c r="H21" s="3" t="n">
        <v>6</v>
      </c>
      <c r="I21" s="3" t="n">
        <v>7</v>
      </c>
      <c r="J21" s="3" t="n">
        <v>8</v>
      </c>
      <c r="K21" s="3" t="n">
        <v>9</v>
      </c>
      <c r="L21" s="3" t="n">
        <v>10</v>
      </c>
      <c r="M21" s="3" t="n">
        <v>11</v>
      </c>
      <c r="N21" s="3" t="n">
        <v>12</v>
      </c>
      <c r="O21" s="3" t="n">
        <v>13</v>
      </c>
      <c r="P21" s="3" t="n">
        <v>14</v>
      </c>
      <c r="Q21" s="3" t="n">
        <v>15</v>
      </c>
      <c r="R21" s="3" t="n">
        <v>16</v>
      </c>
      <c r="S21" s="3" t="n">
        <v>17</v>
      </c>
      <c r="T21" s="3" t="n">
        <v>18</v>
      </c>
      <c r="U21" s="3" t="n">
        <v>19</v>
      </c>
      <c r="V21" s="3" t="n">
        <v>20</v>
      </c>
      <c r="W21" s="3" t="n">
        <v>21</v>
      </c>
      <c r="X21" s="3" t="n">
        <v>22</v>
      </c>
      <c r="Y21" s="3" t="n">
        <v>23</v>
      </c>
      <c r="Z21" s="3" t="n">
        <v>24</v>
      </c>
      <c r="AA21" s="3" t="n">
        <v>25</v>
      </c>
      <c r="AB21" s="3" t="n">
        <v>26</v>
      </c>
    </row>
    <row r="22" customFormat="false" ht="15" hidden="false" customHeight="false" outlineLevel="0" collapsed="false">
      <c r="A22" s="2" t="s">
        <v>145</v>
      </c>
      <c r="B22" s="20" t="n">
        <f aca="false">-B10</f>
        <v>-249.527485490581</v>
      </c>
      <c r="C22" s="20" t="n">
        <f aca="false">B12</f>
        <v>142.650248089982</v>
      </c>
      <c r="D22" s="20" t="n">
        <f aca="false">'Cash flow'!B10-'Cash flow'!B12-MAX(0,'Cash flow'!B10-Debt!B4-IF(D21-1&lt;=Assumptions!$B$49,$B$24,0))*Assumptions!$B$48</f>
        <v>8.89603037037037</v>
      </c>
      <c r="E22" s="20" t="n">
        <f aca="false">'Cash flow'!C10-'Cash flow'!C12-MAX(0,'Cash flow'!C10-Debt!C4-IF(E21-1&lt;=Assumptions!$B$49,$B$24,0))*Assumptions!$B$48</f>
        <v>8.81641307037037</v>
      </c>
      <c r="F22" s="20" t="n">
        <f aca="false">'Cash flow'!D10-'Cash flow'!D12-MAX(0,'Cash flow'!D10-Debt!D4-IF(F21-1&lt;=Assumptions!$B$49,$B$24,0))*Assumptions!$B$48</f>
        <v>8.67300187019362</v>
      </c>
      <c r="G22" s="20" t="n">
        <f aca="false">'Cash flow'!E10-'Cash flow'!E12-MAX(0,'Cash flow'!E10-Debt!E4-IF(G21-1&lt;=Assumptions!$B$49,$B$24,0))*Assumptions!$B$48</f>
        <v>8.50987624984438</v>
      </c>
      <c r="H22" s="20" t="n">
        <f aca="false">'Cash flow'!F10-'Cash flow'!F12-MAX(0,'Cash flow'!F10-Debt!F4-IF(H21-1&lt;=Assumptions!$B$49,$B$24,0))*Assumptions!$B$48</f>
        <v>8.34068647802737</v>
      </c>
      <c r="I22" s="20" t="n">
        <f aca="false">'Cash flow'!G10-'Cash flow'!G12-MAX(0,'Cash flow'!G10-Debt!G4-IF(I21-1&lt;=Assumptions!$B$49,$B$24,0))*Assumptions!$B$48</f>
        <v>8.16510174260156</v>
      </c>
      <c r="J22" s="20" t="n">
        <f aca="false">'Cash flow'!H10-'Cash flow'!H12-MAX(0,'Cash flow'!H10-Debt!H4-IF(J21-1&lt;=Assumptions!$B$49,$B$24,0))*Assumptions!$B$48</f>
        <v>7.98277243130939</v>
      </c>
      <c r="K22" s="20" t="n">
        <f aca="false">'Cash flow'!I10-'Cash flow'!I12-MAX(0,'Cash flow'!I10-Debt!I4-IF(K21-1&lt;=Assumptions!$B$49,$B$24,0))*Assumptions!$B$48</f>
        <v>7.79332902891932</v>
      </c>
      <c r="L22" s="20" t="n">
        <f aca="false">'Cash flow'!J10-'Cash flow'!J12-MAX(0,'Cash flow'!J10-Debt!J4-IF(L21-1&lt;=Assumptions!$B$49,$B$24,0))*Assumptions!$B$48</f>
        <v>7.59638094893915</v>
      </c>
      <c r="M22" s="20" t="n">
        <f aca="false">'Cash flow'!K10-'Cash flow'!K12-MAX(0,'Cash flow'!K10-Debt!K4-IF(M21-1&lt;=Assumptions!$B$49,$B$24,0))*Assumptions!$B$48</f>
        <v>7.39151529600129</v>
      </c>
      <c r="N22" s="20" t="n">
        <f aca="false">'Cash flow'!L10-'Cash flow'!L12-MAX(0,'Cash flow'!L10-Debt!L4-IF(N21-1&lt;=Assumptions!$B$49,$B$24,0))*Assumptions!$B$48</f>
        <v>7.17829555478812</v>
      </c>
      <c r="O22" s="20" t="n">
        <f aca="false">'Cash flow'!M10-'Cash flow'!M12-MAX(0,'Cash flow'!M10-Debt!M4-IF(O21-1&lt;=Assumptions!$B$49,$B$24,0))*Assumptions!$B$48</f>
        <v>6.95626020111939</v>
      </c>
      <c r="P22" s="20" t="n">
        <f aca="false">'Cash flow'!N10-'Cash flow'!N12-MAX(0,'Cash flow'!N10-Debt!N4-IF(P21-1&lt;=Assumptions!$B$49,$B$24,0))*Assumptions!$B$48</f>
        <v>6.72492123056185</v>
      </c>
      <c r="Q22" s="20" t="n">
        <f aca="false">'Cash flow'!O10-'Cash flow'!O12-MAX(0,'Cash flow'!O10-Debt!O4-IF(Q21-1&lt;=Assumptions!$B$49,$B$24,0))*Assumptions!$B$48</f>
        <v>6.48376259964461</v>
      </c>
      <c r="R22" s="20" t="n">
        <f aca="false">'Cash flow'!P10-'Cash flow'!P12-MAX(0,'Cash flow'!P10-Debt!P4-IF(R21-1&lt;=Assumptions!$B$49,$B$24,0))*Assumptions!$B$48</f>
        <v>6.23223857447006</v>
      </c>
      <c r="S22" s="20" t="n">
        <f aca="false">'Cash flow'!Q10-'Cash flow'!Q12-MAX(0,'Cash flow'!Q10-Debt!Q4-IF(S21-1&lt;=Assumptions!$B$49,$B$24,0))*Assumptions!$B$48</f>
        <v>7.42919769718237</v>
      </c>
      <c r="T22" s="20" t="n">
        <f aca="false">'Cash flow'!R10-'Cash flow'!R12-MAX(0,'Cash flow'!R10-Debt!R4-IF(T21-1&lt;=Assumptions!$B$49,$B$24,0))*Assumptions!$B$48</f>
        <v>7.48036567676775</v>
      </c>
      <c r="U22" s="20" t="n">
        <f aca="false">'Cash flow'!S10-'Cash flow'!S12-MAX(0,'Cash flow'!S10-Debt!S4-IF(U21-1&lt;=Assumptions!$B$49,$B$24,0))*Assumptions!$B$48</f>
        <v>7.53189569859698</v>
      </c>
      <c r="V22" s="20" t="n">
        <f aca="false">'Cash flow'!T10-'Cash flow'!T12-MAX(0,'Cash flow'!T10-Debt!T4-IF(V21-1&lt;=Assumptions!$B$49,$B$24,0))*Assumptions!$B$48</f>
        <v>16.0102068365982</v>
      </c>
      <c r="W22" s="20" t="n">
        <f aca="false">'Cash flow'!U10-'Cash flow'!U12-MAX(0,'Cash flow'!U10-Debt!U4-IF(W21-1&lt;=Assumptions!$B$49,$B$24,0))*Assumptions!$B$48</f>
        <v>16.1204849719683</v>
      </c>
      <c r="X22" s="20" t="n">
        <f aca="false">'Cash flow'!V10-'Cash flow'!V12-MAX(0,'Cash flow'!V10-Debt!V4-IF(X21-1&lt;=Assumptions!$B$49,$B$24,0))*Assumptions!$B$48</f>
        <v>12.822876915422</v>
      </c>
      <c r="Y22" s="20" t="n">
        <f aca="false">'Cash flow'!W10-'Cash flow'!W12-MAX(0,'Cash flow'!W10-Debt!W4-IF(Y21-1&lt;=Assumptions!$B$49,$B$24,0))*Assumptions!$B$48</f>
        <v>12.9111335785864</v>
      </c>
      <c r="Z22" s="20" t="n">
        <f aca="false">'Cash flow'!X10-'Cash flow'!X12-MAX(0,'Cash flow'!X10-Debt!X4-IF(Z21-1&lt;=Assumptions!$B$49,$B$24,0))*Assumptions!$B$48</f>
        <v>12.9999412615945</v>
      </c>
      <c r="AA22" s="20" t="n">
        <f aca="false">'Cash flow'!Y10-'Cash flow'!Y12-MAX(0,'Cash flow'!Y10-Debt!Y4-IF(AA21-1&lt;=Assumptions!$B$49,$B$24,0))*Assumptions!$B$48</f>
        <v>13.0892874155889</v>
      </c>
      <c r="AB22" s="20" t="n">
        <f aca="false">'Cash flow'!Z10-'Cash flow'!Z12-MAX(0,'Cash flow'!Z10-Debt!Z4-IF(AB21-1&lt;=Assumptions!$B$49,$B$24,0))*Assumptions!$B$48+$B$7+'Cash flow'!Z10*Assumptions!$B$52</f>
        <v>25.8877735904152</v>
      </c>
    </row>
    <row r="24" customFormat="false" ht="15" hidden="false" customHeight="false" outlineLevel="0" collapsed="false">
      <c r="A24" s="2" t="s">
        <v>146</v>
      </c>
      <c r="B24" s="20" t="n">
        <f aca="false">(B4+B5)*(1-Assumptions!$B$50*Assumptions!$B$53)/Assumptions!$B$49</f>
        <v>20.2087851460807</v>
      </c>
    </row>
    <row r="26" customFormat="false" ht="19.5" hidden="false" customHeight="true" outlineLevel="0" collapsed="false">
      <c r="A26" s="4" t="s">
        <v>147</v>
      </c>
      <c r="B26" s="5"/>
      <c r="C26" s="5"/>
    </row>
    <row r="27" customFormat="false" ht="15" hidden="false" customHeight="false" outlineLevel="0" collapsed="false">
      <c r="A27" s="3" t="s">
        <v>148</v>
      </c>
      <c r="B27" s="33" t="n">
        <f aca="false">IRR(B22:AB22)</f>
        <v>0.055913623817024</v>
      </c>
    </row>
    <row r="28" customFormat="false" ht="15" hidden="false" customHeight="false" outlineLevel="0" collapsed="false">
      <c r="A28" s="2" t="s">
        <v>149</v>
      </c>
      <c r="B28" s="31" t="n">
        <f aca="false">IRR(Project!B4:AB4)</f>
        <v>0.0267649062168542</v>
      </c>
    </row>
    <row r="30" customFormat="false" ht="15" hidden="false" customHeight="false" outlineLevel="0" collapsed="false">
      <c r="A30" s="14" t="s">
        <v>150</v>
      </c>
    </row>
    <row r="32" customFormat="false" ht="15" hidden="false" customHeight="false" outlineLevel="0" collapsed="false">
      <c r="A32" s="4" t="s">
        <v>151</v>
      </c>
    </row>
    <row r="33" customFormat="false" ht="15" hidden="false" customHeight="false" outlineLevel="0" collapsed="false">
      <c r="A33" s="2" t="s">
        <v>152</v>
      </c>
      <c r="B33" s="34" t="n">
        <f aca="false">-B10</f>
        <v>-249.527485490581</v>
      </c>
      <c r="C33" s="34" t="n">
        <f aca="false">0</f>
        <v>0</v>
      </c>
      <c r="D33" s="34" t="n">
        <f aca="false">'Cash flow'!B10-'Cash flow'!B12-MAX(0,'Cash flow'!B10-Debt!B4-IF(D21-1&lt;=Assumptions!$B$49,$B$34,0))*Assumptions!$B$48</f>
        <v>8.89603037037037</v>
      </c>
      <c r="E33" s="34" t="n">
        <f aca="false">'Cash flow'!C10-'Cash flow'!C12-MAX(0,'Cash flow'!C10-Debt!C4-IF(E21-1&lt;=Assumptions!$B$49,$B$34,0))*Assumptions!$B$48</f>
        <v>8.81641307037037</v>
      </c>
      <c r="F33" s="34" t="n">
        <f aca="false">'Cash flow'!D10-'Cash flow'!D12-MAX(0,'Cash flow'!D10-Debt!D4-IF(F21-1&lt;=Assumptions!$B$49,$B$34,0))*Assumptions!$B$48</f>
        <v>8.73608127103704</v>
      </c>
      <c r="G33" s="34" t="n">
        <f aca="false">'Cash flow'!E10-'Cash flow'!E12-MAX(0,'Cash flow'!E10-Debt!E4-IF(G21-1&lt;=Assumptions!$B$49,$B$34,0))*Assumptions!$B$48</f>
        <v>8.65501351168579</v>
      </c>
      <c r="H33" s="34" t="n">
        <f aca="false">'Cash flow'!F10-'Cash flow'!F12-MAX(0,'Cash flow'!F10-Debt!F4-IF(H21-1&lt;=Assumptions!$B$49,$B$34,0))*Assumptions!$B$48</f>
        <v>8.57318787568888</v>
      </c>
      <c r="I33" s="34" t="n">
        <f aca="false">'Cash flow'!G10-'Cash flow'!G12-MAX(0,'Cash flow'!G10-Debt!G4-IF(I21-1&lt;=Assumptions!$B$49,$B$34,0))*Assumptions!$B$48</f>
        <v>8.4905819800821</v>
      </c>
      <c r="J33" s="34" t="n">
        <f aca="false">'Cash flow'!H10-'Cash flow'!H12-MAX(0,'Cash flow'!H10-Debt!H4-IF(J21-1&lt;=Assumptions!$B$49,$B$34,0))*Assumptions!$B$48</f>
        <v>8.40717296493821</v>
      </c>
      <c r="K33" s="34" t="n">
        <f aca="false">'Cash flow'!I10-'Cash flow'!I12-MAX(0,'Cash flow'!I10-Debt!I4-IF(K21-1&lt;=Assumptions!$B$49,$B$34,0))*Assumptions!$B$48</f>
        <v>8.32293748250206</v>
      </c>
      <c r="L33" s="34" t="n">
        <f aca="false">'Cash flow'!J10-'Cash flow'!J12-MAX(0,'Cash flow'!J10-Debt!J4-IF(L21-1&lt;=Assumptions!$B$49,$B$34,0))*Assumptions!$B$48</f>
        <v>8.23785168608183</v>
      </c>
      <c r="M33" s="34" t="n">
        <f aca="false">'Cash flow'!K10-'Cash flow'!K12-MAX(0,'Cash flow'!K10-Debt!K4-IF(M21-1&lt;=Assumptions!$B$49,$B$34,0))*Assumptions!$B$48</f>
        <v>8.14042909847369</v>
      </c>
      <c r="N33" s="34" t="n">
        <f aca="false">'Cash flow'!L10-'Cash flow'!L12-MAX(0,'Cash flow'!L10-Debt!L4-IF(N21-1&lt;=Assumptions!$B$49,$B$34,0))*Assumptions!$B$48</f>
        <v>7.92720935726052</v>
      </c>
      <c r="O33" s="34" t="n">
        <f aca="false">'Cash flow'!M10-'Cash flow'!M12-MAX(0,'Cash flow'!M10-Debt!M4-IF(O21-1&lt;=Assumptions!$B$49,$B$34,0))*Assumptions!$B$48</f>
        <v>7.70517400359179</v>
      </c>
      <c r="P33" s="34" t="n">
        <f aca="false">'Cash flow'!N10-'Cash flow'!N12-MAX(0,'Cash flow'!N10-Debt!N4-IF(P21-1&lt;=Assumptions!$B$49,$B$34,0))*Assumptions!$B$48</f>
        <v>7.47383503303425</v>
      </c>
      <c r="Q33" s="34" t="n">
        <f aca="false">'Cash flow'!O10-'Cash flow'!O12-MAX(0,'Cash flow'!O10-Debt!O4-IF(Q21-1&lt;=Assumptions!$B$49,$B$34,0))*Assumptions!$B$48</f>
        <v>7.23267640211702</v>
      </c>
      <c r="R33" s="34" t="n">
        <f aca="false">'Cash flow'!P10-'Cash flow'!P12-MAX(0,'Cash flow'!P10-Debt!P4-IF(R21-1&lt;=Assumptions!$B$49,$B$34,0))*Assumptions!$B$48</f>
        <v>6.98115237694246</v>
      </c>
      <c r="S33" s="34" t="n">
        <f aca="false">'Cash flow'!Q10-'Cash flow'!Q12-MAX(0,'Cash flow'!Q10-Debt!Q4-IF(S21-1&lt;=Assumptions!$B$49,$B$34,0))*Assumptions!$B$48</f>
        <v>7.42919769718237</v>
      </c>
      <c r="T33" s="34" t="n">
        <f aca="false">'Cash flow'!R10-'Cash flow'!R12-MAX(0,'Cash flow'!R10-Debt!R4-IF(T21-1&lt;=Assumptions!$B$49,$B$34,0))*Assumptions!$B$48</f>
        <v>7.48036567676775</v>
      </c>
      <c r="U33" s="34" t="n">
        <f aca="false">'Cash flow'!S10-'Cash flow'!S12-MAX(0,'Cash flow'!S10-Debt!S4-IF(U21-1&lt;=Assumptions!$B$49,$B$34,0))*Assumptions!$B$48</f>
        <v>7.53189569859698</v>
      </c>
      <c r="V33" s="34" t="n">
        <f aca="false">'Cash flow'!T10-'Cash flow'!T12-MAX(0,'Cash flow'!T10-Debt!T4-IF(V21-1&lt;=Assumptions!$B$49,$B$34,0))*Assumptions!$B$48</f>
        <v>16.0102068365982</v>
      </c>
      <c r="W33" s="34" t="n">
        <f aca="false">'Cash flow'!U10-'Cash flow'!U12-MAX(0,'Cash flow'!U10-Debt!U4-IF(W21-1&lt;=Assumptions!$B$49,$B$34,0))*Assumptions!$B$48</f>
        <v>16.1204849719683</v>
      </c>
      <c r="X33" s="34" t="n">
        <f aca="false">'Cash flow'!V10-'Cash flow'!V12-MAX(0,'Cash flow'!V10-Debt!V4-IF(X21-1&lt;=Assumptions!$B$49,$B$34,0))*Assumptions!$B$48</f>
        <v>12.822876915422</v>
      </c>
      <c r="Y33" s="34" t="n">
        <f aca="false">'Cash flow'!W10-'Cash flow'!W12-MAX(0,'Cash flow'!W10-Debt!W4-IF(Y21-1&lt;=Assumptions!$B$49,$B$34,0))*Assumptions!$B$48</f>
        <v>12.9111335785864</v>
      </c>
      <c r="Z33" s="34" t="n">
        <f aca="false">'Cash flow'!X10-'Cash flow'!X12-MAX(0,'Cash flow'!X10-Debt!X4-IF(Z21-1&lt;=Assumptions!$B$49,$B$34,0))*Assumptions!$B$48</f>
        <v>12.9999412615945</v>
      </c>
      <c r="AA33" s="34" t="n">
        <f aca="false">'Cash flow'!Y10-'Cash flow'!Y12-MAX(0,'Cash flow'!Y10-Debt!Y4-IF(AA21-1&lt;=Assumptions!$B$49,$B$34,0))*Assumptions!$B$48</f>
        <v>13.0892874155889</v>
      </c>
      <c r="AB33" s="34" t="n">
        <f aca="false">'Cash flow'!Z10-'Cash flow'!Z12-MAX(0,'Cash flow'!Z10-Debt!Z4-IF(AB21-1&lt;=Assumptions!$B$49,$B$34,0))*Assumptions!$B$48+$B$7+'Cash flow'!Z10*Assumptions!$B$52</f>
        <v>25.8877735904152</v>
      </c>
    </row>
    <row r="34" customFormat="false" ht="15" hidden="false" customHeight="false" outlineLevel="0" collapsed="false">
      <c r="A34" s="2" t="s">
        <v>153</v>
      </c>
      <c r="B34" s="34" t="n">
        <f aca="false">(B4+B5)/Assumptions!$B$49</f>
        <v>23.7750413483303</v>
      </c>
    </row>
    <row r="35" customFormat="false" ht="15" hidden="false" customHeight="false" outlineLevel="0" collapsed="false">
      <c r="A35" s="3" t="s">
        <v>154</v>
      </c>
      <c r="B35" s="35" t="n">
        <f aca="false">IRR(B33:AB33)</f>
        <v>0.00134913041435844</v>
      </c>
    </row>
    <row r="36" customFormat="false" ht="15" hidden="false" customHeight="false" outlineLevel="0" collapsed="false">
      <c r="A36" s="2" t="s">
        <v>155</v>
      </c>
      <c r="B36" s="36" t="n">
        <f aca="false">(B27-B35)*100</f>
        <v>5.45644934026656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9" min="2" style="0" width="10"/>
  </cols>
  <sheetData>
    <row r="1" customFormat="false" ht="17.35" hidden="false" customHeight="false" outlineLevel="0" collapsed="false">
      <c r="A1" s="1" t="s">
        <v>156</v>
      </c>
    </row>
    <row r="3" customFormat="false" ht="15" hidden="false" customHeight="false" outlineLevel="0" collapsed="false">
      <c r="A3" s="3" t="s">
        <v>92</v>
      </c>
      <c r="B3" s="3" t="n">
        <v>1</v>
      </c>
      <c r="C3" s="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</row>
    <row r="4" customFormat="false" ht="15" hidden="false" customHeight="false" outlineLevel="0" collapsed="false">
      <c r="A4" s="2" t="s">
        <v>157</v>
      </c>
      <c r="B4" s="20" t="n">
        <f aca="false">Returns!$B$9*Solve!$B$5</f>
        <v>14.5152640085269</v>
      </c>
      <c r="C4" s="20" t="n">
        <f aca="false">B6*Solve!$B$5</f>
        <v>13.863871562666</v>
      </c>
      <c r="D4" s="20" t="n">
        <f aca="false">C6*Solve!$B$5</f>
        <v>13.1871502286649</v>
      </c>
      <c r="E4" s="20" t="n">
        <f aca="false">D6*Solve!$B$5</f>
        <v>12.4837085807006</v>
      </c>
      <c r="F4" s="20" t="n">
        <f aca="false">E6*Solve!$B$5</f>
        <v>11.7520757189025</v>
      </c>
      <c r="G4" s="20" t="n">
        <f aca="false">F6*Solve!$B$5</f>
        <v>10.9906965986143</v>
      </c>
      <c r="H4" s="20" t="n">
        <f aca="false">G6*Solve!$B$5</f>
        <v>10.1979270823533</v>
      </c>
      <c r="I4" s="20" t="n">
        <f aca="false">H6*Solve!$B$5</f>
        <v>9.37202869793798</v>
      </c>
      <c r="J4" s="20" t="n">
        <f aca="false">I6*Solve!$B$5</f>
        <v>8.51116308526978</v>
      </c>
      <c r="K4" s="20" t="n">
        <f aca="false">J6*Solve!$B$5</f>
        <v>7.61338611320497</v>
      </c>
      <c r="L4" s="20" t="n">
        <f aca="false">K6*Solve!$B$5</f>
        <v>6.67664164684957</v>
      </c>
      <c r="M4" s="20" t="n">
        <f aca="false">L6*Solve!$B$5</f>
        <v>5.69875494443233</v>
      </c>
      <c r="N4" s="20" t="n">
        <f aca="false">M6*Solve!$B$5</f>
        <v>4.67742566166786</v>
      </c>
      <c r="O4" s="20" t="n">
        <f aca="false">N6*Solve!$B$5</f>
        <v>3.61022044020296</v>
      </c>
      <c r="P4" s="20" t="n">
        <f aca="false">O6*Solve!$B$5</f>
        <v>2.49456505534161</v>
      </c>
      <c r="Q4" s="20" t="n">
        <f aca="false">P6*Solve!$B$5</f>
        <v>1.3277360967631</v>
      </c>
      <c r="R4" s="20" t="n">
        <f aca="false">Q6*Solve!$B$5</f>
        <v>0.91385214809286</v>
      </c>
      <c r="S4" s="20" t="n">
        <f aca="false">R6*Solve!$B$5</f>
        <v>0.471841648178216</v>
      </c>
    </row>
    <row r="5" customFormat="false" ht="15" hidden="false" customHeight="false" outlineLevel="0" collapsed="false">
      <c r="A5" s="2" t="s">
        <v>158</v>
      </c>
      <c r="B5" s="20" t="n">
        <f aca="false">'Cash flow'!B12-B4</f>
        <v>10.9019656211028</v>
      </c>
      <c r="C5" s="20" t="n">
        <f aca="false">'Cash flow'!C12-C4</f>
        <v>11.3258800669636</v>
      </c>
      <c r="D5" s="20" t="n">
        <f aca="false">'Cash flow'!D12-D4</f>
        <v>11.7730819742981</v>
      </c>
      <c r="E5" s="20" t="n">
        <f aca="false">'Cash flow'!E12-E4</f>
        <v>12.2449014526874</v>
      </c>
      <c r="F5" s="20" t="n">
        <f aca="false">'Cash flow'!F12-F4</f>
        <v>12.7427467830657</v>
      </c>
      <c r="G5" s="20" t="n">
        <f aca="false">'Cash flow'!G12-G4</f>
        <v>13.2681090587631</v>
      </c>
      <c r="H5" s="20" t="n">
        <f aca="false">'Cash flow'!H12-H4</f>
        <v>13.8225671031845</v>
      </c>
      <c r="I5" s="20" t="n">
        <f aca="false">'Cash flow'!I12-I4</f>
        <v>14.4077926806393</v>
      </c>
      <c r="J5" s="20" t="n">
        <f aca="false">'Cash flow'!J12-J4</f>
        <v>15.0255560178212</v>
      </c>
      <c r="K5" s="20" t="n">
        <f aca="false">'Cash flow'!K12-K4</f>
        <v>15.6777316544837</v>
      </c>
      <c r="L5" s="20" t="n">
        <f aca="false">'Cash flow'!L12-L4</f>
        <v>16.3663046429664</v>
      </c>
      <c r="M5" s="20" t="n">
        <f aca="false">'Cash flow'!M12-M4</f>
        <v>17.093377117397</v>
      </c>
      <c r="N5" s="20" t="n">
        <f aca="false">'Cash flow'!N12-N4</f>
        <v>17.8611752546427</v>
      </c>
      <c r="O5" s="20" t="n">
        <f aca="false">'Cash flow'!O12-O4</f>
        <v>18.6720566503991</v>
      </c>
      <c r="P5" s="20" t="n">
        <f aca="false">'Cash flow'!P12-P4</f>
        <v>19.5285181352053</v>
      </c>
      <c r="Q5" s="20" t="n">
        <f aca="false">'Cash flow'!Q12-Q4</f>
        <v>6.92692801121732</v>
      </c>
      <c r="R5" s="20" t="n">
        <f aca="false">'Cash flow'!R12-R4</f>
        <v>7.39766527053797</v>
      </c>
      <c r="S5" s="20" t="n">
        <f aca="false">'Cash flow'!S12-S4</f>
        <v>7.89693135026287</v>
      </c>
    </row>
    <row r="6" customFormat="false" ht="15" hidden="false" customHeight="false" outlineLevel="0" collapsed="false">
      <c r="A6" s="2" t="s">
        <v>159</v>
      </c>
      <c r="B6" s="20" t="n">
        <f aca="false">Returns!$B$9-B5</f>
        <v>232.031323224535</v>
      </c>
      <c r="C6" s="20" t="n">
        <f aca="false">B6-C5</f>
        <v>220.705443157572</v>
      </c>
      <c r="D6" s="20" t="n">
        <f aca="false">C6-D5</f>
        <v>208.932361183274</v>
      </c>
      <c r="E6" s="20" t="n">
        <f aca="false">D6-E5</f>
        <v>196.687459730586</v>
      </c>
      <c r="F6" s="20" t="n">
        <f aca="false">E6-F5</f>
        <v>183.94471294752</v>
      </c>
      <c r="G6" s="20" t="n">
        <f aca="false">F6-G5</f>
        <v>170.676603888757</v>
      </c>
      <c r="H6" s="20" t="n">
        <f aca="false">G6-H5</f>
        <v>156.854036785573</v>
      </c>
      <c r="I6" s="20" t="n">
        <f aca="false">H6-I5</f>
        <v>142.446244104934</v>
      </c>
      <c r="J6" s="20" t="n">
        <f aca="false">I6-J5</f>
        <v>127.420688087112</v>
      </c>
      <c r="K6" s="20" t="n">
        <f aca="false">J6-K5</f>
        <v>111.742956432629</v>
      </c>
      <c r="L6" s="20" t="n">
        <f aca="false">K6-L5</f>
        <v>95.3766517896624</v>
      </c>
      <c r="M6" s="20" t="n">
        <f aca="false">L6-M5</f>
        <v>78.2832746722654</v>
      </c>
      <c r="N6" s="20" t="n">
        <f aca="false">M6-N5</f>
        <v>60.4220994176227</v>
      </c>
      <c r="O6" s="20" t="n">
        <f aca="false">N6-O5</f>
        <v>41.7500427672236</v>
      </c>
      <c r="P6" s="20" t="n">
        <f aca="false">O6-P5</f>
        <v>22.2215246320183</v>
      </c>
      <c r="Q6" s="20" t="n">
        <f aca="false">P6-Q5</f>
        <v>15.294596620801</v>
      </c>
      <c r="R6" s="20" t="n">
        <f aca="false">Q6-R5</f>
        <v>7.89693135026304</v>
      </c>
      <c r="S6" s="20" t="n">
        <f aca="false">R6-S5</f>
        <v>1.64313007644523E-013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19" min="2" style="0" width="9"/>
  </cols>
  <sheetData>
    <row r="1" customFormat="false" ht="17.35" hidden="false" customHeight="false" outlineLevel="0" collapsed="false">
      <c r="A1" s="1" t="s">
        <v>160</v>
      </c>
    </row>
    <row r="2" customFormat="false" ht="15" hidden="false" customHeight="false" outlineLevel="0" collapsed="false">
      <c r="A2" s="15" t="s">
        <v>161</v>
      </c>
    </row>
    <row r="4" customFormat="false" ht="15" hidden="false" customHeight="false" outlineLevel="0" collapsed="false">
      <c r="A4" s="3" t="s">
        <v>92</v>
      </c>
      <c r="B4" s="3" t="n">
        <v>1</v>
      </c>
      <c r="C4" s="3" t="n">
        <v>2</v>
      </c>
      <c r="D4" s="3" t="n">
        <v>3</v>
      </c>
      <c r="E4" s="3" t="n">
        <v>4</v>
      </c>
      <c r="F4" s="3" t="n">
        <v>5</v>
      </c>
      <c r="G4" s="3" t="n">
        <v>6</v>
      </c>
      <c r="H4" s="3" t="n">
        <v>7</v>
      </c>
      <c r="I4" s="3" t="n">
        <v>8</v>
      </c>
      <c r="J4" s="3" t="n">
        <v>9</v>
      </c>
      <c r="K4" s="3" t="n">
        <v>10</v>
      </c>
      <c r="L4" s="3" t="n">
        <v>11</v>
      </c>
      <c r="M4" s="3" t="n">
        <v>12</v>
      </c>
      <c r="N4" s="3" t="n">
        <v>13</v>
      </c>
      <c r="O4" s="3" t="n">
        <v>14</v>
      </c>
      <c r="P4" s="3" t="n">
        <v>15</v>
      </c>
      <c r="Q4" s="3" t="n">
        <v>16</v>
      </c>
      <c r="R4" s="3" t="n">
        <v>17</v>
      </c>
      <c r="S4" s="3" t="n">
        <v>18</v>
      </c>
    </row>
    <row r="5" customFormat="false" ht="15" hidden="false" customHeight="false" outlineLevel="0" collapsed="false">
      <c r="A5" s="2" t="s">
        <v>162</v>
      </c>
      <c r="B5" s="37" t="n">
        <v>25.4172296296296</v>
      </c>
      <c r="C5" s="37" t="n">
        <v>25.1897516296296</v>
      </c>
      <c r="D5" s="37" t="n">
        <v>24.960232202963</v>
      </c>
      <c r="E5" s="37" t="n">
        <v>24.728610033388</v>
      </c>
      <c r="F5" s="37" t="n">
        <v>24.4948225019682</v>
      </c>
      <c r="G5" s="37" t="n">
        <v>24.2588056573774</v>
      </c>
      <c r="H5" s="37" t="n">
        <v>24.0204941855377</v>
      </c>
      <c r="I5" s="37" t="n">
        <v>23.7798213785773</v>
      </c>
      <c r="J5" s="37" t="n">
        <v>23.5367191030909</v>
      </c>
      <c r="K5" s="37" t="n">
        <v>23.2911177676887</v>
      </c>
      <c r="L5" s="37" t="n">
        <v>23.0429462898159</v>
      </c>
      <c r="M5" s="37" t="n">
        <v>22.7921320618293</v>
      </c>
      <c r="N5" s="37" t="n">
        <v>22.5386009163105</v>
      </c>
      <c r="O5" s="37" t="n">
        <v>22.2822770906021</v>
      </c>
      <c r="P5" s="37" t="n">
        <v>22.0230831905469</v>
      </c>
      <c r="Q5" s="37" t="n">
        <v>8.25466410798042</v>
      </c>
      <c r="R5" s="37" t="n">
        <v>8.31151741863083</v>
      </c>
      <c r="S5" s="37" t="n">
        <v>8.36877299844109</v>
      </c>
    </row>
    <row r="7" customFormat="false" ht="15" hidden="false" customHeight="false" outlineLevel="0" collapsed="false">
      <c r="A7" s="2" t="s">
        <v>163</v>
      </c>
      <c r="B7" s="38" t="n">
        <f aca="false">SUMPRODUCT(B5:S5/(1+Solve!$B$5)^B4:S4)</f>
        <v>242.933288845638</v>
      </c>
    </row>
    <row r="8" customFormat="false" ht="15" hidden="false" customHeight="false" outlineLevel="0" collapsed="false">
      <c r="A8" s="2" t="s">
        <v>164</v>
      </c>
      <c r="B8" s="39" t="n">
        <f aca="false">B7-Assumptions!$B$57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8" min="2" style="0" width="9"/>
  </cols>
  <sheetData>
    <row r="1" customFormat="false" ht="17.35" hidden="false" customHeight="false" outlineLevel="0" collapsed="false">
      <c r="A1" s="1" t="s">
        <v>165</v>
      </c>
    </row>
    <row r="2" customFormat="false" ht="15" hidden="false" customHeight="false" outlineLevel="0" collapsed="false">
      <c r="A2" s="15" t="s">
        <v>166</v>
      </c>
    </row>
    <row r="3" customFormat="false" ht="15" hidden="false" customHeight="false" outlineLevel="0" collapsed="false">
      <c r="A3" s="3" t="s">
        <v>92</v>
      </c>
      <c r="B3" s="3" t="n">
        <v>0</v>
      </c>
      <c r="C3" s="3" t="n">
        <v>1</v>
      </c>
      <c r="D3" s="3" t="n">
        <v>2</v>
      </c>
      <c r="E3" s="3" t="n">
        <v>3</v>
      </c>
      <c r="F3" s="3" t="n">
        <v>4</v>
      </c>
      <c r="G3" s="3" t="n">
        <v>5</v>
      </c>
      <c r="H3" s="3" t="n">
        <v>6</v>
      </c>
      <c r="I3" s="3" t="n">
        <v>7</v>
      </c>
      <c r="J3" s="3" t="n">
        <v>8</v>
      </c>
      <c r="K3" s="3" t="n">
        <v>9</v>
      </c>
      <c r="L3" s="3" t="n">
        <v>10</v>
      </c>
      <c r="M3" s="3" t="n">
        <v>11</v>
      </c>
      <c r="N3" s="3" t="n">
        <v>12</v>
      </c>
      <c r="O3" s="3" t="n">
        <v>13</v>
      </c>
      <c r="P3" s="3" t="n">
        <v>14</v>
      </c>
      <c r="Q3" s="3" t="n">
        <v>15</v>
      </c>
      <c r="R3" s="3" t="n">
        <v>16</v>
      </c>
      <c r="S3" s="3" t="n">
        <v>17</v>
      </c>
      <c r="T3" s="3" t="n">
        <v>18</v>
      </c>
      <c r="U3" s="3" t="n">
        <v>19</v>
      </c>
      <c r="V3" s="3" t="n">
        <v>20</v>
      </c>
      <c r="W3" s="3" t="n">
        <v>21</v>
      </c>
      <c r="X3" s="3" t="n">
        <v>22</v>
      </c>
      <c r="Y3" s="3" t="n">
        <v>23</v>
      </c>
      <c r="Z3" s="3" t="n">
        <v>24</v>
      </c>
      <c r="AA3" s="3" t="n">
        <v>25</v>
      </c>
      <c r="AB3" s="3" t="n">
        <v>26</v>
      </c>
    </row>
    <row r="5" customFormat="false" ht="15" hidden="false" customHeight="false" outlineLevel="0" collapsed="false">
      <c r="A5" s="4" t="s">
        <v>167</v>
      </c>
    </row>
    <row r="6" customFormat="false" ht="15" hidden="false" customHeight="false" outlineLevel="0" collapsed="false">
      <c r="A6" s="2" t="s">
        <v>145</v>
      </c>
      <c r="B6" s="34" t="n">
        <f aca="false">Returns!B22+IF(B$3=Assumptions!$B$41+1,Returns!$B$7,0)-IF(B$3=26,Returns!$B$7,0)</f>
        <v>-249.527485490581</v>
      </c>
      <c r="C6" s="34" t="n">
        <f aca="false">Returns!C22+IF(C$3=Assumptions!$B$41+1,Returns!$B$7,0)-IF(C$3=26,Returns!$B$7,0)</f>
        <v>142.650248089982</v>
      </c>
      <c r="D6" s="34" t="n">
        <f aca="false">Returns!D22+IF(D$3=Assumptions!$B$41+1,Returns!$B$7,0)-IF(D$3=26,Returns!$B$7,0)</f>
        <v>8.89603037037037</v>
      </c>
      <c r="E6" s="34" t="n">
        <f aca="false">Returns!E22+IF(E$3=Assumptions!$B$41+1,Returns!$B$7,0)-IF(E$3=26,Returns!$B$7,0)</f>
        <v>8.81641307037037</v>
      </c>
      <c r="F6" s="34" t="n">
        <f aca="false">Returns!F22+IF(F$3=Assumptions!$B$41+1,Returns!$B$7,0)-IF(F$3=26,Returns!$B$7,0)</f>
        <v>8.67300187019362</v>
      </c>
      <c r="G6" s="34" t="n">
        <f aca="false">Returns!G22+IF(G$3=Assumptions!$B$41+1,Returns!$B$7,0)-IF(G$3=26,Returns!$B$7,0)</f>
        <v>8.50987624984438</v>
      </c>
      <c r="H6" s="34" t="n">
        <f aca="false">Returns!H22+IF(H$3=Assumptions!$B$41+1,Returns!$B$7,0)-IF(H$3=26,Returns!$B$7,0)</f>
        <v>8.34068647802737</v>
      </c>
      <c r="I6" s="34" t="n">
        <f aca="false">Returns!I22+IF(I$3=Assumptions!$B$41+1,Returns!$B$7,0)-IF(I$3=26,Returns!$B$7,0)</f>
        <v>8.16510174260156</v>
      </c>
      <c r="J6" s="34" t="n">
        <f aca="false">Returns!J22+IF(J$3=Assumptions!$B$41+1,Returns!$B$7,0)-IF(J$3=26,Returns!$B$7,0)</f>
        <v>7.98277243130939</v>
      </c>
      <c r="K6" s="34" t="n">
        <f aca="false">Returns!K22+IF(K$3=Assumptions!$B$41+1,Returns!$B$7,0)-IF(K$3=26,Returns!$B$7,0)</f>
        <v>7.79332902891932</v>
      </c>
      <c r="L6" s="34" t="n">
        <f aca="false">Returns!L22+IF(L$3=Assumptions!$B$41+1,Returns!$B$7,0)-IF(L$3=26,Returns!$B$7,0)</f>
        <v>7.59638094893915</v>
      </c>
      <c r="M6" s="34" t="n">
        <f aca="false">Returns!M22+IF(M$3=Assumptions!$B$41+1,Returns!$B$7,0)-IF(M$3=26,Returns!$B$7,0)</f>
        <v>7.39151529600129</v>
      </c>
      <c r="N6" s="34" t="n">
        <f aca="false">Returns!N22+IF(N$3=Assumptions!$B$41+1,Returns!$B$7,0)-IF(N$3=26,Returns!$B$7,0)</f>
        <v>7.17829555478812</v>
      </c>
      <c r="O6" s="34" t="n">
        <f aca="false">Returns!O22+IF(O$3=Assumptions!$B$41+1,Returns!$B$7,0)-IF(O$3=26,Returns!$B$7,0)</f>
        <v>6.95626020111939</v>
      </c>
      <c r="P6" s="34" t="n">
        <f aca="false">Returns!P22+IF(P$3=Assumptions!$B$41+1,Returns!$B$7,0)-IF(P$3=26,Returns!$B$7,0)</f>
        <v>6.72492123056185</v>
      </c>
      <c r="Q6" s="34" t="n">
        <f aca="false">Returns!Q22+IF(Q$3=Assumptions!$B$41+1,Returns!$B$7,0)-IF(Q$3=26,Returns!$B$7,0)</f>
        <v>6.48376259964461</v>
      </c>
      <c r="R6" s="34" t="n">
        <f aca="false">Returns!R22+IF(R$3=Assumptions!$B$41+1,Returns!$B$7,0)-IF(R$3=26,Returns!$B$7,0)</f>
        <v>6.23223857447006</v>
      </c>
      <c r="S6" s="34" t="n">
        <f aca="false">Returns!S22+IF(S$3=Assumptions!$B$41+1,Returns!$B$7,0)-IF(S$3=26,Returns!$B$7,0)</f>
        <v>7.42919769718237</v>
      </c>
      <c r="T6" s="34" t="n">
        <f aca="false">Returns!T22+IF(T$3=Assumptions!$B$41+1,Returns!$B$7,0)-IF(T$3=26,Returns!$B$7,0)</f>
        <v>7.48036567676775</v>
      </c>
      <c r="U6" s="34" t="n">
        <f aca="false">Returns!U22+IF(U$3=Assumptions!$B$41+1,Returns!$B$7,0)-IF(U$3=26,Returns!$B$7,0)</f>
        <v>20.2405105134118</v>
      </c>
      <c r="V6" s="34" t="n">
        <f aca="false">Returns!V22+IF(V$3=Assumptions!$B$41+1,Returns!$B$7,0)-IF(V$3=26,Returns!$B$7,0)</f>
        <v>16.0102068365982</v>
      </c>
      <c r="W6" s="34" t="n">
        <f aca="false">Returns!W22+IF(W$3=Assumptions!$B$41+1,Returns!$B$7,0)-IF(W$3=26,Returns!$B$7,0)</f>
        <v>16.1204849719683</v>
      </c>
      <c r="X6" s="34" t="n">
        <f aca="false">Returns!X22+IF(X$3=Assumptions!$B$41+1,Returns!$B$7,0)-IF(X$3=26,Returns!$B$7,0)</f>
        <v>12.822876915422</v>
      </c>
      <c r="Y6" s="34" t="n">
        <f aca="false">Returns!Y22+IF(Y$3=Assumptions!$B$41+1,Returns!$B$7,0)-IF(Y$3=26,Returns!$B$7,0)</f>
        <v>12.9111335785864</v>
      </c>
      <c r="Z6" s="34" t="n">
        <f aca="false">Returns!Z22+IF(Z$3=Assumptions!$B$41+1,Returns!$B$7,0)-IF(Z$3=26,Returns!$B$7,0)</f>
        <v>12.9999412615945</v>
      </c>
      <c r="AA6" s="34" t="n">
        <f aca="false">Returns!AA22+IF(AA$3=Assumptions!$B$41+1,Returns!$B$7,0)-IF(AA$3=26,Returns!$B$7,0)</f>
        <v>13.0892874155889</v>
      </c>
      <c r="AB6" s="34" t="n">
        <f aca="false">Returns!AB22+IF(AB$3=Assumptions!$B$41+1,Returns!$B$7,0)-IF(AB$3=26,Returns!$B$7,0)</f>
        <v>13.1791587756004</v>
      </c>
    </row>
    <row r="7" customFormat="false" ht="15" hidden="false" customHeight="false" outlineLevel="0" collapsed="false">
      <c r="A7" s="3" t="s">
        <v>148</v>
      </c>
      <c r="B7" s="35" t="n">
        <f aca="false">IRR(B6:AB6)</f>
        <v>0.0568804149609212</v>
      </c>
    </row>
    <row r="8" customFormat="false" ht="15" hidden="false" customHeight="false" outlineLevel="0" collapsed="false">
      <c r="A8" s="2" t="s">
        <v>168</v>
      </c>
      <c r="B8" s="36" t="n">
        <f aca="false">(B7-Returns!B27)*100</f>
        <v>0.0966791143897181</v>
      </c>
    </row>
    <row r="9" customFormat="false" ht="15" hidden="false" customHeight="false" outlineLevel="0" collapsed="false">
      <c r="A9" s="15" t="s">
        <v>169</v>
      </c>
    </row>
    <row r="11" customFormat="false" ht="15" hidden="false" customHeight="false" outlineLevel="0" collapsed="false">
      <c r="A11" s="4" t="s">
        <v>170</v>
      </c>
    </row>
    <row r="12" customFormat="false" ht="15" hidden="false" customHeight="false" outlineLevel="0" collapsed="false">
      <c r="A12" s="2" t="s">
        <v>171</v>
      </c>
      <c r="D12" s="34" t="n">
        <f aca="false">'Cash flow'!B10-Debt!B4-IF(D$3-1&lt;=Assumptions!$B$49,Returns!$B$24,0)</f>
        <v>-0.410789154607581</v>
      </c>
      <c r="E12" s="34" t="n">
        <f aca="false">'Cash flow'!C10-Debt!C4-IF(E$3-1&lt;=Assumptions!$B$49,Returns!$B$24,0)</f>
        <v>-0.0664920087466889</v>
      </c>
      <c r="F12" s="34" t="n">
        <f aca="false">'Cash flow'!D10-Debt!D4-IF(F$3-1&lt;=Assumptions!$B$49,Returns!$B$24,0)</f>
        <v>0.300378099254381</v>
      </c>
      <c r="G12" s="34" t="n">
        <f aca="false">'Cash flow'!E10-Debt!E4-IF(G$3-1&lt;=Assumptions!$B$49,Returns!$B$24,0)</f>
        <v>0.691129818292442</v>
      </c>
      <c r="H12" s="34" t="n">
        <f aca="false">'Cash flow'!F10-Debt!F4-IF(H$3-1&lt;=Assumptions!$B$49,Returns!$B$24,0)</f>
        <v>1.10714951267389</v>
      </c>
      <c r="I12" s="34" t="n">
        <f aca="false">'Cash flow'!G10-Debt!G4-IF(I$3-1&lt;=Assumptions!$B$49,Returns!$B$24,0)</f>
        <v>1.54990589276446</v>
      </c>
      <c r="J12" s="34" t="n">
        <f aca="false">'Cash flow'!H10-Debt!H4-IF(J$3-1&lt;=Assumptions!$B$49,Returns!$B$24,0)</f>
        <v>2.02095492204198</v>
      </c>
      <c r="K12" s="34" t="n">
        <f aca="false">'Cash flow'!I10-Debt!I4-IF(K$3-1&lt;=Assumptions!$B$49,Returns!$B$24,0)</f>
        <v>2.52194501706067</v>
      </c>
      <c r="L12" s="34" t="n">
        <f aca="false">'Cash flow'!J10-Debt!J4-IF(L$3-1&lt;=Assumptions!$B$49,Returns!$B$24,0)</f>
        <v>3.05462255782228</v>
      </c>
      <c r="M12" s="34" t="n">
        <f aca="false">'Cash flow'!K10-Debt!K4-IF(M$3-1&lt;=Assumptions!$B$49,Returns!$B$24,0)</f>
        <v>3.62083772709402</v>
      </c>
      <c r="N12" s="34" t="n">
        <f aca="false">'Cash flow'!L10-Debt!L4-IF(N$3-1&lt;=Assumptions!$B$49,Returns!$B$24,0)</f>
        <v>4.22255069832124</v>
      </c>
      <c r="O12" s="34" t="n">
        <f aca="false">'Cash flow'!M10-Debt!M4-IF(O$3-1&lt;=Assumptions!$B$49,Returns!$B$24,0)</f>
        <v>4.86183819295653</v>
      </c>
      <c r="P12" s="34" t="n">
        <f aca="false">'Cash flow'!N10-Debt!N4-IF(P$3-1&lt;=Assumptions!$B$49,Returns!$B$24,0)</f>
        <v>5.54090042927063</v>
      </c>
      <c r="Q12" s="34" t="n">
        <f aca="false">'Cash flow'!O10-Debt!O4-IF(Q$3-1&lt;=Assumptions!$B$49,Returns!$B$24,0)</f>
        <v>6.26206848602916</v>
      </c>
      <c r="R12" s="34" t="n">
        <f aca="false">'Cash flow'!P10-Debt!P4-IF(R$3-1&lt;=Assumptions!$B$49,Returns!$B$24,0)</f>
        <v>7.02781210581596</v>
      </c>
      <c r="S12" s="34" t="n">
        <f aca="false">'Cash flow'!Q10-Debt!Q4-IF(S$3-1&lt;=Assumptions!$B$49,Returns!$B$24,0)</f>
        <v>-5.85265943768102</v>
      </c>
      <c r="T12" s="34" t="n">
        <f aca="false">'Cash flow'!R10-Debt!R4-IF(T$3-1&lt;=Assumptions!$B$49,Returns!$B$24,0)</f>
        <v>-5.33075419877499</v>
      </c>
      <c r="U12" s="34" t="n">
        <f aca="false">'Cash flow'!S10-Debt!S4-IF(U$3-1&lt;=Assumptions!$B$49,Returns!$B$24,0)</f>
        <v>-4.77995809722086</v>
      </c>
      <c r="V12" s="34" t="n">
        <f aca="false">'Cash flow'!T10-Debt!T4-IF(V$3-1&lt;=Assumptions!$B$49,Returns!$B$24,0)</f>
        <v>-4.1985783094825</v>
      </c>
      <c r="W12" s="34" t="n">
        <f aca="false">'Cash flow'!U10-Debt!U4-IF(W$3-1&lt;=Assumptions!$B$49,Returns!$B$24,0)</f>
        <v>-4.08830017411246</v>
      </c>
      <c r="X12" s="34" t="n">
        <f aca="false">'Cash flow'!V10-Debt!V4-IF(X$3-1&lt;=Assumptions!$B$49,Returns!$B$24,0)</f>
        <v>16.231489766357</v>
      </c>
      <c r="Y12" s="34" t="n">
        <f aca="false">'Cash flow'!W10-Debt!W4-IF(Y$3-1&lt;=Assumptions!$B$49,Returns!$B$24,0)</f>
        <v>16.3432070615018</v>
      </c>
      <c r="Z12" s="34" t="n">
        <f aca="false">'Cash flow'!X10-Debt!X4-IF(Z$3-1&lt;=Assumptions!$B$49,Returns!$B$24,0)</f>
        <v>16.4556218501197</v>
      </c>
      <c r="AA12" s="34" t="n">
        <f aca="false">'Cash flow'!Y10-Debt!Y4-IF(AA$3-1&lt;=Assumptions!$B$49,Returns!$B$24,0)</f>
        <v>16.5687182475809</v>
      </c>
      <c r="AB12" s="34" t="n">
        <f aca="false">'Cash flow'!Z10-Debt!Z4-IF(AB$3-1&lt;=Assumptions!$B$49,Returns!$B$24,0)</f>
        <v>16.6824794627853</v>
      </c>
    </row>
    <row r="13" customFormat="false" ht="15" hidden="false" customHeight="false" outlineLevel="0" collapsed="false">
      <c r="A13" s="2" t="s">
        <v>172</v>
      </c>
      <c r="D13" s="34" t="n">
        <f aca="false">0</f>
        <v>0</v>
      </c>
      <c r="E13" s="34" t="n">
        <f aca="false">D13-D14+MAX(0,-D12)</f>
        <v>0.410789154607581</v>
      </c>
      <c r="F13" s="34" t="n">
        <f aca="false">E13-E14+MAX(0,-E12)</f>
        <v>0.47728116335427</v>
      </c>
      <c r="G13" s="34" t="n">
        <f aca="false">F13-F14+MAX(0,-F12)</f>
        <v>0.176903064099889</v>
      </c>
      <c r="H13" s="34" t="n">
        <f aca="false">G13-G14+MAX(0,-G12)</f>
        <v>0</v>
      </c>
      <c r="I13" s="34" t="n">
        <f aca="false">H13-H14+MAX(0,-H12)</f>
        <v>0</v>
      </c>
      <c r="J13" s="34" t="n">
        <f aca="false">I13-I14+MAX(0,-I12)</f>
        <v>0</v>
      </c>
      <c r="K13" s="34" t="n">
        <f aca="false">J13-J14+MAX(0,-J12)</f>
        <v>0</v>
      </c>
      <c r="L13" s="34" t="n">
        <f aca="false">K13-K14+MAX(0,-K12)</f>
        <v>0</v>
      </c>
      <c r="M13" s="34" t="n">
        <f aca="false">L13-L14+MAX(0,-L12)</f>
        <v>0</v>
      </c>
      <c r="N13" s="34" t="n">
        <f aca="false">M13-M14+MAX(0,-M12)</f>
        <v>0</v>
      </c>
      <c r="O13" s="34" t="n">
        <f aca="false">N13-N14+MAX(0,-N12)</f>
        <v>0</v>
      </c>
      <c r="P13" s="34" t="n">
        <f aca="false">O13-O14+MAX(0,-O12)</f>
        <v>0</v>
      </c>
      <c r="Q13" s="34" t="n">
        <f aca="false">P13-P14+MAX(0,-P12)</f>
        <v>0</v>
      </c>
      <c r="R13" s="34" t="n">
        <f aca="false">Q13-Q14+MAX(0,-Q12)</f>
        <v>0</v>
      </c>
      <c r="S13" s="34" t="n">
        <f aca="false">R13-R14+MAX(0,-R12)</f>
        <v>0</v>
      </c>
      <c r="T13" s="34" t="n">
        <f aca="false">S13-S14+MAX(0,-S12)</f>
        <v>5.85265943768102</v>
      </c>
      <c r="U13" s="34" t="n">
        <f aca="false">T13-T14+MAX(0,-T12)</f>
        <v>11.183413636456</v>
      </c>
      <c r="V13" s="34" t="n">
        <f aca="false">U13-U14+MAX(0,-U12)</f>
        <v>15.9633717336769</v>
      </c>
      <c r="W13" s="34" t="n">
        <f aca="false">V13-V14+MAX(0,-V12)</f>
        <v>20.1619500431594</v>
      </c>
      <c r="X13" s="34" t="n">
        <f aca="false">W13-W14+MAX(0,-W12)</f>
        <v>24.2502502172718</v>
      </c>
      <c r="Y13" s="34" t="n">
        <f aca="false">X13-X14+MAX(0,-X12)</f>
        <v>8.01876045091482</v>
      </c>
      <c r="Z13" s="34" t="n">
        <f aca="false">Y13-Y14+MAX(0,-Y12)</f>
        <v>0</v>
      </c>
      <c r="AA13" s="34" t="n">
        <f aca="false">Z13-Z14+MAX(0,-Z12)</f>
        <v>0</v>
      </c>
      <c r="AB13" s="34" t="n">
        <f aca="false">AA13-AA14+MAX(0,-AA12)</f>
        <v>0</v>
      </c>
    </row>
    <row r="14" customFormat="false" ht="15" hidden="false" customHeight="false" outlineLevel="0" collapsed="false">
      <c r="A14" s="2" t="s">
        <v>173</v>
      </c>
      <c r="D14" s="34" t="n">
        <f aca="false">MIN(D13,MAX(D12,0))</f>
        <v>0</v>
      </c>
      <c r="E14" s="34" t="n">
        <f aca="false">MIN(E13,MAX(E12,0))</f>
        <v>0</v>
      </c>
      <c r="F14" s="34" t="n">
        <f aca="false">MIN(F13,MAX(F12,0))</f>
        <v>0.300378099254381</v>
      </c>
      <c r="G14" s="34" t="n">
        <f aca="false">MIN(G13,MAX(G12,0))</f>
        <v>0.176903064099889</v>
      </c>
      <c r="H14" s="34" t="n">
        <f aca="false">MIN(H13,MAX(H12,0))</f>
        <v>0</v>
      </c>
      <c r="I14" s="34" t="n">
        <f aca="false">MIN(I13,MAX(I12,0))</f>
        <v>0</v>
      </c>
      <c r="J14" s="34" t="n">
        <f aca="false">MIN(J13,MAX(J12,0))</f>
        <v>0</v>
      </c>
      <c r="K14" s="34" t="n">
        <f aca="false">MIN(K13,MAX(K12,0))</f>
        <v>0</v>
      </c>
      <c r="L14" s="34" t="n">
        <f aca="false">MIN(L13,MAX(L12,0))</f>
        <v>0</v>
      </c>
      <c r="M14" s="34" t="n">
        <f aca="false">MIN(M13,MAX(M12,0))</f>
        <v>0</v>
      </c>
      <c r="N14" s="34" t="n">
        <f aca="false">MIN(N13,MAX(N12,0))</f>
        <v>0</v>
      </c>
      <c r="O14" s="34" t="n">
        <f aca="false">MIN(O13,MAX(O12,0))</f>
        <v>0</v>
      </c>
      <c r="P14" s="34" t="n">
        <f aca="false">MIN(P13,MAX(P12,0))</f>
        <v>0</v>
      </c>
      <c r="Q14" s="34" t="n">
        <f aca="false">MIN(Q13,MAX(Q12,0))</f>
        <v>0</v>
      </c>
      <c r="R14" s="34" t="n">
        <f aca="false">MIN(R13,MAX(R12,0))</f>
        <v>0</v>
      </c>
      <c r="S14" s="34" t="n">
        <f aca="false">MIN(S13,MAX(S12,0))</f>
        <v>0</v>
      </c>
      <c r="T14" s="34" t="n">
        <f aca="false">MIN(T13,MAX(T12,0))</f>
        <v>0</v>
      </c>
      <c r="U14" s="34" t="n">
        <f aca="false">MIN(U13,MAX(U12,0))</f>
        <v>0</v>
      </c>
      <c r="V14" s="34" t="n">
        <f aca="false">MIN(V13,MAX(V12,0))</f>
        <v>0</v>
      </c>
      <c r="W14" s="34" t="n">
        <f aca="false">MIN(W13,MAX(W12,0))</f>
        <v>0</v>
      </c>
      <c r="X14" s="34" t="n">
        <f aca="false">MIN(X13,MAX(X12,0))</f>
        <v>16.231489766357</v>
      </c>
      <c r="Y14" s="34" t="n">
        <f aca="false">MIN(Y13,MAX(Y12,0))</f>
        <v>8.01876045091482</v>
      </c>
      <c r="Z14" s="34" t="n">
        <f aca="false">MIN(Z13,MAX(Z12,0))</f>
        <v>0</v>
      </c>
      <c r="AA14" s="34" t="n">
        <f aca="false">MIN(AA13,MAX(AA12,0))</f>
        <v>0</v>
      </c>
      <c r="AB14" s="34" t="n">
        <f aca="false">MIN(AB13,MAX(AB12,0))</f>
        <v>0</v>
      </c>
    </row>
    <row r="15" customFormat="false" ht="15" hidden="false" customHeight="false" outlineLevel="0" collapsed="false">
      <c r="A15" s="2" t="s">
        <v>174</v>
      </c>
      <c r="D15" s="34" t="n">
        <f aca="false">MAX(D12-D14,0)*Assumptions!$B$48</f>
        <v>0</v>
      </c>
      <c r="E15" s="34" t="n">
        <f aca="false">MAX(E12-E14,0)*Assumptions!$B$48</f>
        <v>0</v>
      </c>
      <c r="F15" s="34" t="n">
        <f aca="false">MAX(F12-F14,0)*Assumptions!$B$48</f>
        <v>0</v>
      </c>
      <c r="G15" s="34" t="n">
        <f aca="false">MAX(G12-G14,0)*Assumptions!$B$48</f>
        <v>0.107987618380436</v>
      </c>
      <c r="H15" s="34" t="n">
        <f aca="false">MAX(H12-H14,0)*Assumptions!$B$48</f>
        <v>0.232501397661516</v>
      </c>
      <c r="I15" s="34" t="n">
        <f aca="false">MAX(I12-I14,0)*Assumptions!$B$48</f>
        <v>0.325480237480536</v>
      </c>
      <c r="J15" s="34" t="n">
        <f aca="false">MAX(J12-J14,0)*Assumptions!$B$48</f>
        <v>0.424400533628815</v>
      </c>
      <c r="K15" s="34" t="n">
        <f aca="false">MAX(K12-K14,0)*Assumptions!$B$48</f>
        <v>0.529608453582741</v>
      </c>
      <c r="L15" s="34" t="n">
        <f aca="false">MAX(L12-L14,0)*Assumptions!$B$48</f>
        <v>0.641470737142679</v>
      </c>
      <c r="M15" s="34" t="n">
        <f aca="false">MAX(M12-M14,0)*Assumptions!$B$48</f>
        <v>0.760375922689744</v>
      </c>
      <c r="N15" s="34" t="n">
        <f aca="false">MAX(N12-N14,0)*Assumptions!$B$48</f>
        <v>0.88673564664746</v>
      </c>
      <c r="O15" s="34" t="n">
        <f aca="false">MAX(O12-O14,0)*Assumptions!$B$48</f>
        <v>1.02098602052087</v>
      </c>
      <c r="P15" s="34" t="n">
        <f aca="false">MAX(P12-P14,0)*Assumptions!$B$48</f>
        <v>1.16358909014683</v>
      </c>
      <c r="Q15" s="34" t="n">
        <f aca="false">MAX(Q12-Q14,0)*Assumptions!$B$48</f>
        <v>1.31503438206612</v>
      </c>
      <c r="R15" s="34" t="n">
        <f aca="false">MAX(R12-R14,0)*Assumptions!$B$48</f>
        <v>1.47584054222135</v>
      </c>
      <c r="S15" s="34" t="n">
        <f aca="false">MAX(S12-S14,0)*Assumptions!$B$48</f>
        <v>0</v>
      </c>
      <c r="T15" s="34" t="n">
        <f aca="false">MAX(T12-T14,0)*Assumptions!$B$48</f>
        <v>0</v>
      </c>
      <c r="U15" s="34" t="n">
        <f aca="false">MAX(U12-U14,0)*Assumptions!$B$48</f>
        <v>0</v>
      </c>
      <c r="V15" s="34" t="n">
        <f aca="false">MAX(V12-V14,0)*Assumptions!$B$48</f>
        <v>0</v>
      </c>
      <c r="W15" s="34" t="n">
        <f aca="false">MAX(W12-W14,0)*Assumptions!$B$48</f>
        <v>0</v>
      </c>
      <c r="X15" s="34" t="n">
        <f aca="false">MAX(X12-X14,0)*Assumptions!$B$48</f>
        <v>0</v>
      </c>
      <c r="Y15" s="34" t="n">
        <f aca="false">MAX(Y12-Y14,0)*Assumptions!$B$48</f>
        <v>1.74813378822327</v>
      </c>
      <c r="Z15" s="34" t="n">
        <f aca="false">MAX(Z12-Z14,0)*Assumptions!$B$48</f>
        <v>3.45568058852513</v>
      </c>
      <c r="AA15" s="34" t="n">
        <f aca="false">MAX(AA12-AA14,0)*Assumptions!$B$48</f>
        <v>3.479430831992</v>
      </c>
      <c r="AB15" s="34" t="n">
        <f aca="false">MAX(AB12-AB14,0)*Assumptions!$B$48</f>
        <v>3.50332068718491</v>
      </c>
    </row>
    <row r="16" customFormat="false" ht="15" hidden="false" customHeight="false" outlineLevel="0" collapsed="false">
      <c r="A16" s="2" t="s">
        <v>145</v>
      </c>
      <c r="B16" s="34" t="n">
        <f aca="false">Returns!B22</f>
        <v>-249.527485490581</v>
      </c>
      <c r="C16" s="34" t="n">
        <f aca="false">Returns!C22</f>
        <v>142.650248089982</v>
      </c>
      <c r="D16" s="34" t="n">
        <f aca="false">Returns!D22+MAX(0,D12)*Assumptions!$B$48-D15</f>
        <v>8.89603037037037</v>
      </c>
      <c r="E16" s="34" t="n">
        <f aca="false">Returns!E22+MAX(0,E12)*Assumptions!$B$48-E15</f>
        <v>8.81641307037037</v>
      </c>
      <c r="F16" s="34" t="n">
        <f aca="false">Returns!F22+MAX(0,F12)*Assumptions!$B$48-F15</f>
        <v>8.73608127103704</v>
      </c>
      <c r="G16" s="34" t="n">
        <f aca="false">Returns!G22+MAX(0,G12)*Assumptions!$B$48-G15</f>
        <v>8.54702589330535</v>
      </c>
      <c r="H16" s="34" t="n">
        <f aca="false">Returns!H22+MAX(0,H12)*Assumptions!$B$48-H15</f>
        <v>8.34068647802737</v>
      </c>
      <c r="I16" s="34" t="n">
        <f aca="false">Returns!I22+MAX(0,I12)*Assumptions!$B$48-I15</f>
        <v>8.16510174260156</v>
      </c>
      <c r="J16" s="34" t="n">
        <f aca="false">Returns!J22+MAX(0,J12)*Assumptions!$B$48-J15</f>
        <v>7.98277243130939</v>
      </c>
      <c r="K16" s="34" t="n">
        <f aca="false">Returns!K22+MAX(0,K12)*Assumptions!$B$48-K15</f>
        <v>7.79332902891932</v>
      </c>
      <c r="L16" s="34" t="n">
        <f aca="false">Returns!L22+MAX(0,L12)*Assumptions!$B$48-L15</f>
        <v>7.59638094893915</v>
      </c>
      <c r="M16" s="34" t="n">
        <f aca="false">Returns!M22+MAX(0,M12)*Assumptions!$B$48-M15</f>
        <v>7.39151529600129</v>
      </c>
      <c r="N16" s="34" t="n">
        <f aca="false">Returns!N22+MAX(0,N12)*Assumptions!$B$48-N15</f>
        <v>7.17829555478812</v>
      </c>
      <c r="O16" s="34" t="n">
        <f aca="false">Returns!O22+MAX(0,O12)*Assumptions!$B$48-O15</f>
        <v>6.95626020111939</v>
      </c>
      <c r="P16" s="34" t="n">
        <f aca="false">Returns!P22+MAX(0,P12)*Assumptions!$B$48-P15</f>
        <v>6.72492123056185</v>
      </c>
      <c r="Q16" s="34" t="n">
        <f aca="false">Returns!Q22+MAX(0,Q12)*Assumptions!$B$48-Q15</f>
        <v>6.48376259964461</v>
      </c>
      <c r="R16" s="34" t="n">
        <f aca="false">Returns!R22+MAX(0,R12)*Assumptions!$B$48-R15</f>
        <v>6.23223857447006</v>
      </c>
      <c r="S16" s="34" t="n">
        <f aca="false">Returns!S22+MAX(0,S12)*Assumptions!$B$48-S15</f>
        <v>7.42919769718237</v>
      </c>
      <c r="T16" s="34" t="n">
        <f aca="false">Returns!T22+MAX(0,T12)*Assumptions!$B$48-T15</f>
        <v>7.48036567676775</v>
      </c>
      <c r="U16" s="34" t="n">
        <f aca="false">Returns!U22+MAX(0,U12)*Assumptions!$B$48-U15</f>
        <v>7.53189569859698</v>
      </c>
      <c r="V16" s="34" t="n">
        <f aca="false">Returns!V22+MAX(0,V12)*Assumptions!$B$48-V15</f>
        <v>16.0102068365982</v>
      </c>
      <c r="W16" s="34" t="n">
        <f aca="false">Returns!W22+MAX(0,W12)*Assumptions!$B$48-W15</f>
        <v>16.1204849719683</v>
      </c>
      <c r="X16" s="34" t="n">
        <f aca="false">Returns!X22+MAX(0,X12)*Assumptions!$B$48-X15</f>
        <v>16.231489766357</v>
      </c>
      <c r="Y16" s="34" t="n">
        <f aca="false">Returns!Y22+MAX(0,Y12)*Assumptions!$B$48-Y15</f>
        <v>14.5950732732785</v>
      </c>
      <c r="Z16" s="34" t="n">
        <f aca="false">Returns!Z22+MAX(0,Z12)*Assumptions!$B$48-Z15</f>
        <v>12.9999412615945</v>
      </c>
      <c r="AA16" s="34" t="n">
        <f aca="false">Returns!AA22+MAX(0,AA12)*Assumptions!$B$48-AA15</f>
        <v>13.0892874155889</v>
      </c>
      <c r="AB16" s="34" t="n">
        <f aca="false">Returns!AB22+MAX(0,AB12)*Assumptions!$B$48-AB15</f>
        <v>25.8877735904152</v>
      </c>
    </row>
    <row r="17" customFormat="false" ht="15" hidden="false" customHeight="false" outlineLevel="0" collapsed="false">
      <c r="A17" s="3" t="s">
        <v>148</v>
      </c>
      <c r="B17" s="35" t="n">
        <f aca="false">IRR(B16:AB16)</f>
        <v>0.0569697101258171</v>
      </c>
    </row>
    <row r="18" customFormat="false" ht="15" hidden="false" customHeight="false" outlineLevel="0" collapsed="false">
      <c r="A18" s="2" t="s">
        <v>168</v>
      </c>
      <c r="B18" s="36" t="n">
        <f aca="false">(B17-Returns!B27)*100</f>
        <v>0.105608630879307</v>
      </c>
    </row>
    <row r="19" customFormat="false" ht="15" hidden="false" customHeight="false" outlineLevel="0" collapsed="false">
      <c r="A19" s="15" t="s">
        <v>175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8" min="4" style="0" width="10"/>
  </cols>
  <sheetData>
    <row r="1" customFormat="false" ht="17.35" hidden="false" customHeight="false" outlineLevel="0" collapsed="false">
      <c r="A1" s="1" t="s">
        <v>176</v>
      </c>
    </row>
    <row r="3" customFormat="false" ht="15" hidden="false" customHeight="false" outlineLevel="0" collapsed="false">
      <c r="A3" s="3" t="s">
        <v>92</v>
      </c>
      <c r="B3" s="0" t="n">
        <v>0</v>
      </c>
      <c r="C3" s="0" t="n">
        <v>1</v>
      </c>
      <c r="D3" s="3" t="n">
        <v>2</v>
      </c>
      <c r="E3" s="3" t="n">
        <v>3</v>
      </c>
      <c r="F3" s="3" t="n">
        <v>4</v>
      </c>
      <c r="G3" s="3" t="n">
        <v>5</v>
      </c>
      <c r="H3" s="3" t="n">
        <v>6</v>
      </c>
      <c r="I3" s="3" t="n">
        <v>7</v>
      </c>
      <c r="J3" s="3" t="n">
        <v>8</v>
      </c>
      <c r="K3" s="3" t="n">
        <v>9</v>
      </c>
      <c r="L3" s="3" t="n">
        <v>10</v>
      </c>
      <c r="M3" s="3" t="n">
        <v>11</v>
      </c>
      <c r="N3" s="3" t="n">
        <v>12</v>
      </c>
      <c r="O3" s="3" t="n">
        <v>13</v>
      </c>
      <c r="P3" s="3" t="n">
        <v>14</v>
      </c>
      <c r="Q3" s="3" t="n">
        <v>15</v>
      </c>
      <c r="R3" s="3" t="n">
        <v>16</v>
      </c>
      <c r="S3" s="3" t="n">
        <v>17</v>
      </c>
      <c r="T3" s="3" t="n">
        <v>18</v>
      </c>
      <c r="U3" s="3" t="n">
        <v>19</v>
      </c>
      <c r="V3" s="3" t="n">
        <v>20</v>
      </c>
      <c r="W3" s="3" t="n">
        <v>21</v>
      </c>
      <c r="X3" s="3" t="n">
        <v>22</v>
      </c>
      <c r="Y3" s="3" t="n">
        <v>23</v>
      </c>
      <c r="Z3" s="3" t="n">
        <v>24</v>
      </c>
      <c r="AA3" s="3" t="n">
        <v>25</v>
      </c>
      <c r="AB3" s="3" t="n">
        <v>26</v>
      </c>
    </row>
    <row r="4" customFormat="false" ht="15" hidden="false" customHeight="false" outlineLevel="0" collapsed="false">
      <c r="A4" s="2" t="s">
        <v>177</v>
      </c>
      <c r="B4" s="20" t="n">
        <f aca="false">-(Returns!B4+Returns!B5)</f>
        <v>-475.500826966605</v>
      </c>
      <c r="C4" s="20" t="n">
        <f aca="false">0</f>
        <v>0</v>
      </c>
      <c r="D4" s="20" t="n">
        <f aca="false">'Cash flow'!B10</f>
        <v>34.31326</v>
      </c>
      <c r="E4" s="20" t="n">
        <f aca="false">'Cash flow'!C10</f>
        <v>34.0061647</v>
      </c>
      <c r="F4" s="20" t="n">
        <f aca="false">'Cash flow'!D10</f>
        <v>33.696313474</v>
      </c>
      <c r="G4" s="20" t="n">
        <f aca="false">'Cash flow'!E10</f>
        <v>33.3836235450737</v>
      </c>
      <c r="H4" s="20" t="n">
        <f aca="false">'Cash flow'!F10</f>
        <v>33.0680103776571</v>
      </c>
      <c r="I4" s="20" t="n">
        <f aca="false">'Cash flow'!G10</f>
        <v>32.7493876374595</v>
      </c>
      <c r="J4" s="20" t="n">
        <f aca="false">'Cash flow'!H10</f>
        <v>32.4276671504759</v>
      </c>
      <c r="K4" s="20" t="n">
        <f aca="false">'Cash flow'!I10</f>
        <v>32.1027588610794</v>
      </c>
      <c r="L4" s="20" t="n">
        <f aca="false">'Cash flow'!J10</f>
        <v>31.7745707891728</v>
      </c>
      <c r="M4" s="20" t="n">
        <f aca="false">'Cash flow'!K10</f>
        <v>31.4430089863797</v>
      </c>
      <c r="N4" s="20" t="n">
        <f aca="false">'Cash flow'!L10</f>
        <v>31.1079774912515</v>
      </c>
      <c r="O4" s="20" t="n">
        <f aca="false">'Cash flow'!M10</f>
        <v>30.7693782834696</v>
      </c>
      <c r="P4" s="20" t="n">
        <f aca="false">'Cash flow'!N10</f>
        <v>30.4271112370192</v>
      </c>
      <c r="Q4" s="20" t="n">
        <f aca="false">'Cash flow'!O10</f>
        <v>30.0810740723128</v>
      </c>
      <c r="R4" s="20" t="n">
        <f aca="false">'Cash flow'!P10</f>
        <v>29.7311623072383</v>
      </c>
      <c r="S4" s="20" t="n">
        <f aca="false">'Cash flow'!Q10</f>
        <v>15.6838618051628</v>
      </c>
      <c r="T4" s="20" t="n">
        <f aca="false">'Cash flow'!R10</f>
        <v>15.7918830953986</v>
      </c>
      <c r="U4" s="20" t="n">
        <f aca="false">'Cash flow'!S10</f>
        <v>15.9006686970381</v>
      </c>
      <c r="V4" s="20" t="n">
        <f aca="false">'Cash flow'!T10</f>
        <v>16.0102068365982</v>
      </c>
      <c r="W4" s="20" t="n">
        <f aca="false">'Cash flow'!U10</f>
        <v>16.1204849719683</v>
      </c>
      <c r="X4" s="20" t="n">
        <f aca="false">'Cash flow'!V10</f>
        <v>16.231489766357</v>
      </c>
      <c r="Y4" s="20" t="n">
        <f aca="false">'Cash flow'!W10</f>
        <v>16.3432070615018</v>
      </c>
      <c r="Z4" s="20" t="n">
        <f aca="false">'Cash flow'!X10</f>
        <v>16.4556218501197</v>
      </c>
      <c r="AA4" s="20" t="n">
        <f aca="false">'Cash flow'!Y10</f>
        <v>16.5687182475809</v>
      </c>
      <c r="AB4" s="20" t="n">
        <f aca="false">'Cash flow'!Z10+'Cash flow'!Z10*Assumptions!$B$52</f>
        <v>16.6824794627853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3" min="2" style="0" width="13"/>
    <col collapsed="false" customWidth="true" hidden="false" outlineLevel="0" max="4" min="4" style="0" width="11"/>
    <col collapsed="false" customWidth="true" hidden="false" outlineLevel="0" max="5" min="5" style="0" width="60"/>
  </cols>
  <sheetData>
    <row r="1" customFormat="false" ht="17.35" hidden="false" customHeight="false" outlineLevel="0" collapsed="false">
      <c r="A1" s="1" t="s">
        <v>178</v>
      </c>
    </row>
    <row r="2" customFormat="false" ht="15" hidden="false" customHeight="false" outlineLevel="0" collapsed="false">
      <c r="A2" s="15" t="s">
        <v>179</v>
      </c>
    </row>
    <row r="4" customFormat="false" ht="15" hidden="false" customHeight="false" outlineLevel="0" collapsed="false">
      <c r="A4" s="4" t="s">
        <v>126</v>
      </c>
      <c r="B4" s="4" t="s">
        <v>180</v>
      </c>
      <c r="C4" s="4" t="s">
        <v>181</v>
      </c>
      <c r="D4" s="4" t="s">
        <v>182</v>
      </c>
      <c r="E4" s="4" t="s">
        <v>183</v>
      </c>
    </row>
    <row r="5" customFormat="false" ht="15" hidden="false" customHeight="false" outlineLevel="0" collapsed="false">
      <c r="A5" s="40" t="s">
        <v>110</v>
      </c>
      <c r="B5" s="41" t="n">
        <v>468.5</v>
      </c>
      <c r="C5" s="41" t="n">
        <f aca="false">Returns!B4</f>
        <v>468.464</v>
      </c>
      <c r="D5" s="42" t="str">
        <f aca="false">IF(ISNUMBER(C5)=FALSE(),"CHECK",IF(ABS(C5-B5)&lt;=0.05,"OK","CHECK"))</f>
        <v>OK</v>
      </c>
      <c r="E5" s="43"/>
    </row>
    <row r="6" customFormat="false" ht="15" hidden="false" customHeight="false" outlineLevel="0" collapsed="false">
      <c r="A6" s="40" t="s">
        <v>117</v>
      </c>
      <c r="B6" s="41" t="n">
        <v>7</v>
      </c>
      <c r="C6" s="41" t="n">
        <f aca="false">Returns!B5</f>
        <v>7.03682696660494</v>
      </c>
      <c r="D6" s="42" t="str">
        <f aca="false">IF(ISNUMBER(C6)=FALSE(),"CHECK",IF(ABS(C6-B6)&lt;=0.05,"OK","CHECK"))</f>
        <v>OK</v>
      </c>
      <c r="E6" s="43"/>
    </row>
    <row r="7" customFormat="false" ht="15" hidden="false" customHeight="false" outlineLevel="0" collapsed="false">
      <c r="A7" s="40" t="s">
        <v>120</v>
      </c>
      <c r="B7" s="41" t="n">
        <v>492.5</v>
      </c>
      <c r="C7" s="41" t="n">
        <f aca="false">Returns!B8</f>
        <v>492.460774336219</v>
      </c>
      <c r="D7" s="42" t="str">
        <f aca="false">IF(ISNUMBER(C7)=FALSE(),"CHECK",IF(ABS(C7-B7)&lt;=0.05,"OK","CHECK"))</f>
        <v>OK</v>
      </c>
      <c r="E7" s="43"/>
    </row>
    <row r="8" customFormat="false" ht="15" hidden="false" customHeight="false" outlineLevel="0" collapsed="false">
      <c r="A8" s="40" t="s">
        <v>184</v>
      </c>
      <c r="B8" s="41" t="n">
        <v>242.9</v>
      </c>
      <c r="C8" s="41" t="n">
        <f aca="false">Returns!B9</f>
        <v>242.933288845638</v>
      </c>
      <c r="D8" s="42" t="str">
        <f aca="false">IF(ISNUMBER(C8)=FALSE(),"CHECK",IF(ABS(C8-B8)&lt;=0.05,"OK","CHECK"))</f>
        <v>OK</v>
      </c>
      <c r="E8" s="43"/>
    </row>
    <row r="9" customFormat="false" ht="15" hidden="false" customHeight="false" outlineLevel="0" collapsed="false">
      <c r="A9" s="40" t="s">
        <v>185</v>
      </c>
      <c r="B9" s="41" t="n">
        <v>249.5</v>
      </c>
      <c r="C9" s="41" t="n">
        <f aca="false">Returns!B10</f>
        <v>249.527485490581</v>
      </c>
      <c r="D9" s="42" t="str">
        <f aca="false">IF(ISNUMBER(C9)=FALSE(),"CHECK",IF(ABS(C9-B9)&lt;=0.05,"OK","CHECK"))</f>
        <v>OK</v>
      </c>
      <c r="E9" s="43"/>
    </row>
    <row r="10" customFormat="false" ht="15" hidden="false" customHeight="false" outlineLevel="0" collapsed="false">
      <c r="A10" s="40" t="s">
        <v>137</v>
      </c>
      <c r="B10" s="44" t="n">
        <v>0.493</v>
      </c>
      <c r="C10" s="44" t="n">
        <f aca="false">Returns!B11</f>
        <v>0.493304850874843</v>
      </c>
      <c r="D10" s="42" t="str">
        <f aca="false">IF(ISNUMBER(C10)=FALSE(),"CHECK",IF(ABS(C10-B10)&lt;=0.0005,"OK","CHECK"))</f>
        <v>OK</v>
      </c>
      <c r="E10" s="43"/>
    </row>
    <row r="11" customFormat="false" ht="15" hidden="false" customHeight="false" outlineLevel="0" collapsed="false">
      <c r="A11" s="40" t="s">
        <v>186</v>
      </c>
      <c r="B11" s="45" t="n">
        <v>549252</v>
      </c>
      <c r="C11" s="45" t="n">
        <f aca="false">'Cash flow'!B4</f>
        <v>549252</v>
      </c>
      <c r="D11" s="42" t="str">
        <f aca="false">IF(ISNUMBER(C11)=FALSE(),"CHECK",IF(ABS(C11-B11)&lt;=0.5,"OK","CHECK"))</f>
        <v>OK</v>
      </c>
      <c r="E11" s="43"/>
    </row>
    <row r="12" customFormat="false" ht="15" hidden="false" customHeight="false" outlineLevel="0" collapsed="false">
      <c r="A12" s="40" t="s">
        <v>187</v>
      </c>
      <c r="B12" s="46" t="n">
        <v>34.31</v>
      </c>
      <c r="C12" s="46" t="n">
        <f aca="false">'Cash flow'!B10</f>
        <v>34.31326</v>
      </c>
      <c r="D12" s="42" t="str">
        <f aca="false">IF(ISNUMBER(C12)=FALSE(),"CHECK",IF(ABS(C12-B12)&lt;=0.005,"OK","CHECK"))</f>
        <v>OK</v>
      </c>
      <c r="E12" s="43"/>
    </row>
    <row r="13" customFormat="false" ht="15" hidden="false" customHeight="false" outlineLevel="0" collapsed="false">
      <c r="A13" s="40" t="s">
        <v>188</v>
      </c>
      <c r="B13" s="46" t="n">
        <v>29.73</v>
      </c>
      <c r="C13" s="46" t="n">
        <f aca="false">'Cash flow'!P10</f>
        <v>29.7311623072383</v>
      </c>
      <c r="D13" s="42" t="str">
        <f aca="false">IF(ISNUMBER(C13)=FALSE(),"CHECK",IF(ABS(C13-B13)&lt;=0.005,"OK","CHECK"))</f>
        <v>OK</v>
      </c>
      <c r="E13" s="43"/>
    </row>
    <row r="14" customFormat="false" ht="15" hidden="false" customHeight="false" outlineLevel="0" collapsed="false">
      <c r="A14" s="40" t="s">
        <v>189</v>
      </c>
      <c r="B14" s="46" t="n">
        <v>15.68</v>
      </c>
      <c r="C14" s="46" t="n">
        <f aca="false">'Cash flow'!Q10</f>
        <v>15.6838618051628</v>
      </c>
      <c r="D14" s="42" t="str">
        <f aca="false">IF(ISNUMBER(C14)=FALSE(),"CHECK",IF(ABS(C14-B14)&lt;=0.005,"OK","CHECK"))</f>
        <v>OK</v>
      </c>
      <c r="E14" s="43"/>
    </row>
    <row r="15" customFormat="false" ht="15" hidden="false" customHeight="false" outlineLevel="0" collapsed="false">
      <c r="A15" s="40" t="s">
        <v>190</v>
      </c>
      <c r="B15" s="46" t="n">
        <v>25.42</v>
      </c>
      <c r="C15" s="46" t="n">
        <f aca="false">'Cash flow'!B12</f>
        <v>25.4172296296296</v>
      </c>
      <c r="D15" s="42" t="str">
        <f aca="false">IF(ISNUMBER(C15)=FALSE(),"CHECK",IF(ABS(C15-B15)&lt;=0.005,"OK","CHECK"))</f>
        <v>OK</v>
      </c>
      <c r="E15" s="43"/>
    </row>
    <row r="16" customFormat="false" ht="15" hidden="false" customHeight="false" outlineLevel="0" collapsed="false">
      <c r="A16" s="40" t="s">
        <v>191</v>
      </c>
      <c r="B16" s="46" t="n">
        <v>8.25</v>
      </c>
      <c r="C16" s="46" t="n">
        <f aca="false">'Cash flow'!Q12</f>
        <v>8.25466410798042</v>
      </c>
      <c r="D16" s="42" t="str">
        <f aca="false">IF(ISNUMBER(C16)=FALSE(),"CHECK",IF(ABS(C16-B16)&lt;=0.005,"OK","CHECK"))</f>
        <v>OK</v>
      </c>
      <c r="E16" s="43"/>
    </row>
    <row r="17" customFormat="false" ht="15" hidden="false" customHeight="false" outlineLevel="0" collapsed="false">
      <c r="A17" s="40" t="s">
        <v>192</v>
      </c>
      <c r="B17" s="46" t="n">
        <v>28.51</v>
      </c>
      <c r="C17" s="46" t="n">
        <f aca="false">'Cash flow'!Z8</f>
        <v>28.5129941278826</v>
      </c>
      <c r="D17" s="42" t="str">
        <f aca="false">IF(ISNUMBER(C17)=FALSE(),"CHECK",IF(ABS(C17-B17)&lt;=0.005,"OK","CHECK"))</f>
        <v>OK</v>
      </c>
      <c r="E17" s="43" t="s">
        <v>193</v>
      </c>
    </row>
    <row r="18" customFormat="false" ht="15" hidden="false" customHeight="false" outlineLevel="0" collapsed="false">
      <c r="A18" s="40" t="s">
        <v>194</v>
      </c>
      <c r="B18" s="41" t="n">
        <v>142.7</v>
      </c>
      <c r="C18" s="41" t="n">
        <f aca="false">Returns!B12</f>
        <v>142.650248089982</v>
      </c>
      <c r="D18" s="42" t="str">
        <f aca="false">IF(ISNUMBER(C18)=FALSE(),"CHECK",IF(ABS(C18-B18)&lt;=0.05,"OK","CHECK"))</f>
        <v>OK</v>
      </c>
      <c r="E18" s="43"/>
    </row>
    <row r="19" customFormat="false" ht="15" hidden="false" customHeight="false" outlineLevel="0" collapsed="false">
      <c r="A19" s="40" t="s">
        <v>195</v>
      </c>
      <c r="B19" s="47" t="n">
        <v>0.0559</v>
      </c>
      <c r="C19" s="47" t="n">
        <f aca="false">Returns!B27</f>
        <v>0.055913623817024</v>
      </c>
      <c r="D19" s="42" t="str">
        <f aca="false">IF(ISNUMBER(C19)=FALSE(),"CHECK",IF(ABS(C19-B19)&lt;=0.00005,"OK","CHECK"))</f>
        <v>OK</v>
      </c>
      <c r="E19" s="43"/>
    </row>
    <row r="20" customFormat="false" ht="15" hidden="false" customHeight="false" outlineLevel="0" collapsed="false">
      <c r="A20" s="40" t="s">
        <v>154</v>
      </c>
      <c r="B20" s="47" t="n">
        <v>0.0013</v>
      </c>
      <c r="C20" s="47" t="n">
        <f aca="false">Returns!B35</f>
        <v>0.00134913041435844</v>
      </c>
      <c r="D20" s="42" t="str">
        <f aca="false">IF(ISNUMBER(C20)=FALSE(),"CHECK",IF(ABS(C20-B20)&lt;=0.00005,"OK","CHECK"))</f>
        <v>OK</v>
      </c>
      <c r="E20" s="43"/>
    </row>
    <row r="21" customFormat="false" ht="15" hidden="false" customHeight="false" outlineLevel="0" collapsed="false">
      <c r="A21" s="40" t="s">
        <v>196</v>
      </c>
      <c r="B21" s="47" t="n">
        <v>0.0268</v>
      </c>
      <c r="C21" s="47" t="n">
        <f aca="false">Returns!B28</f>
        <v>0.0267649062168542</v>
      </c>
      <c r="D21" s="42" t="str">
        <f aca="false">IF(ISNUMBER(C21)=FALSE(),"CHECK",IF(ABS(C21-B21)&lt;=0.00005,"OK","CHECK"))</f>
        <v>OK</v>
      </c>
      <c r="E21" s="43" t="s">
        <v>197</v>
      </c>
    </row>
    <row r="22" customFormat="false" ht="15" hidden="false" customHeight="false" outlineLevel="0" collapsed="false">
      <c r="A22" s="40" t="s">
        <v>142</v>
      </c>
      <c r="B22" s="47" t="n">
        <v>0.0697</v>
      </c>
      <c r="C22" s="47" t="n">
        <f aca="false">Returns!B17</f>
        <v>0.0696771434156363</v>
      </c>
      <c r="D22" s="42" t="str">
        <f aca="false">IF(ISNUMBER(C22)=FALSE(),"CHECK",IF(ABS(C22-B22)&lt;=0.00005,"OK","CHECK"))</f>
        <v>OK</v>
      </c>
      <c r="E22" s="43"/>
    </row>
    <row r="23" customFormat="false" ht="15" hidden="false" customHeight="false" outlineLevel="0" collapsed="false">
      <c r="A23" s="40" t="s">
        <v>198</v>
      </c>
      <c r="C23" s="48" t="str">
        <f aca="false">IF(Solve!B28="CONVERGED","OK","CHECK")</f>
        <v>OK</v>
      </c>
      <c r="D23" s="42" t="str">
        <f aca="false">IF(C23="","",IF(C23="OK","OK","CHECK"))</f>
        <v>OK</v>
      </c>
      <c r="E23" s="43" t="s">
        <v>199</v>
      </c>
    </row>
    <row r="24" customFormat="false" ht="15" hidden="false" customHeight="false" outlineLevel="0" collapsed="false">
      <c r="A24" s="40" t="s">
        <v>200</v>
      </c>
      <c r="C24" s="48" t="str">
        <f aca="false">IF(OR(UPPER(Assumptions!B56)="YES",SUMPRODUCT(ABS('Cash flow'!B15:S15-'Cash flow'!B11:S11))&lt;0.000000001),"OK","CHECK")</f>
        <v>OK</v>
      </c>
      <c r="D24" s="42" t="str">
        <f aca="false">IF(C24="","",IF(C24="OK","OK","CHECK"))</f>
        <v>OK</v>
      </c>
      <c r="E24" s="43" t="s">
        <v>201</v>
      </c>
    </row>
    <row r="25" customFormat="false" ht="15" hidden="false" customHeight="false" outlineLevel="0" collapsed="false">
      <c r="A25" s="40" t="s">
        <v>202</v>
      </c>
      <c r="C25" s="48" t="str">
        <f aca="false">IF(ABS(INDEX(Debt!B6:Z6,Assumptions!B41))&lt;0.000001,"OK","CHECK")</f>
        <v>OK</v>
      </c>
      <c r="D25" s="42" t="str">
        <f aca="false">IF(C25="","",IF(C25="OK","OK","CHECK"))</f>
        <v>OK</v>
      </c>
      <c r="E25" s="43" t="s">
        <v>199</v>
      </c>
    </row>
    <row r="26" customFormat="false" ht="15" hidden="false" customHeight="false" outlineLevel="0" collapsed="false">
      <c r="A26" s="40" t="s">
        <v>203</v>
      </c>
      <c r="C26" s="48" t="str">
        <f aca="false">IF(ABS(Returns!B7-'Cash flow'!B12*Assumptions!B45/12)&lt;0.000001,"OK","CHECK")</f>
        <v>OK</v>
      </c>
      <c r="D26" s="42" t="str">
        <f aca="false">IF(C26="","",IF(C26="OK","OK","CHECK"))</f>
        <v>OK</v>
      </c>
      <c r="E26" s="43" t="s">
        <v>199</v>
      </c>
    </row>
    <row r="27" customFormat="false" ht="15" hidden="false" customHeight="false" outlineLevel="0" collapsed="false">
      <c r="A27" s="40" t="s">
        <v>204</v>
      </c>
      <c r="C27" s="48" t="str">
        <f aca="false">IF(ABS(Solve!I22-Returns!B8)&lt;0.001,"OK","CHECK")</f>
        <v>OK</v>
      </c>
      <c r="D27" s="42" t="str">
        <f aca="false">IF(C27="","",IF(C27="OK","OK","CHECK"))</f>
        <v>OK</v>
      </c>
      <c r="E27" s="43" t="s">
        <v>199</v>
      </c>
    </row>
    <row r="28" customFormat="false" ht="15" hidden="false" customHeight="false" outlineLevel="0" collapsed="false">
      <c r="A28" s="40" t="s">
        <v>205</v>
      </c>
      <c r="C28" s="48" t="str">
        <f aca="false">IF(MAX('Cash flow'!Q7:Z7)&lt;=Assumptions!B7*1000*Assumptions!B21*12/1000000*Assumptions!B51+0.000000001,"OK","CHECK")</f>
        <v>OK</v>
      </c>
      <c r="D28" s="42" t="str">
        <f aca="false">IF(C28="","",IF(C28="OK","OK","CHECK"))</f>
        <v>OK</v>
      </c>
      <c r="E28" s="43" t="s">
        <v>206</v>
      </c>
    </row>
    <row r="29" customFormat="false" ht="23.85" hidden="false" customHeight="false" outlineLevel="0" collapsed="false">
      <c r="A29" s="40" t="s">
        <v>207</v>
      </c>
      <c r="C29" s="48" t="str">
        <f aca="false">IF(ABS('Cash flow'!B4-Assumptions!B4*Assumptions!B5*8760)&lt;0.000001,"OK","CHECK")</f>
        <v>OK</v>
      </c>
      <c r="D29" s="42" t="str">
        <f aca="false">IF(C29="","",IF(C29="OK","OK","CHECK"))</f>
        <v>OK</v>
      </c>
      <c r="E29" s="43" t="s">
        <v>199</v>
      </c>
    </row>
    <row r="30" customFormat="false" ht="15" hidden="false" customHeight="false" outlineLevel="0" collapsed="false">
      <c r="A30" s="40" t="s">
        <v>208</v>
      </c>
      <c r="C30" s="48" t="str">
        <f aca="false">IF(AND(Returns!B22&lt;0,COUNTIF(Returns!C22:AB22,"&lt;0")=0),"OK","CHECK")</f>
        <v>OK</v>
      </c>
      <c r="D30" s="42" t="str">
        <f aca="false">IF(C30="","",IF(C30="OK","OK","CHECK"))</f>
        <v>OK</v>
      </c>
      <c r="E30" s="43" t="s">
        <v>209</v>
      </c>
    </row>
    <row r="31" customFormat="false" ht="15" hidden="false" customHeight="false" outlineLevel="0" collapsed="false">
      <c r="A31" s="40" t="s">
        <v>210</v>
      </c>
      <c r="C31" s="48" t="str">
        <f aca="false">IF(AND(Returns!C22=Returns!B12,Returns!B21=0,Returns!C21=1),"OK","CHECK")</f>
        <v>OK</v>
      </c>
      <c r="D31" s="42" t="str">
        <f aca="false">IF(C31="","",IF(C31="OK","OK","CHECK"))</f>
        <v>OK</v>
      </c>
      <c r="E31" s="43" t="s">
        <v>211</v>
      </c>
    </row>
    <row r="32" customFormat="false" ht="15" hidden="false" customHeight="false" outlineLevel="0" collapsed="false">
      <c r="A32" s="40" t="s">
        <v>212</v>
      </c>
      <c r="C32" s="48" t="str">
        <f aca="false">IF(ABS('Signed schedule'!B8)&lt;0.001,"OK","CHECK")</f>
        <v>OK</v>
      </c>
      <c r="D32" s="42" t="str">
        <f aca="false">IF(C32="","",IF(C32="OK","OK","CHECK"))</f>
        <v>OK</v>
      </c>
      <c r="E32" s="43" t="s">
        <v>213</v>
      </c>
    </row>
    <row r="34" customFormat="false" ht="15" hidden="false" customHeight="false" outlineLevel="0" collapsed="false">
      <c r="A34" s="3" t="s">
        <v>214</v>
      </c>
      <c r="C34" s="42" t="str">
        <f aca="false">COUNTIF(D5:D32,"OK")&amp;" / 28"</f>
        <v>28 / 28</v>
      </c>
      <c r="D34" s="49" t="str">
        <f aca="false">IF(COUNTIF(D5:D32,"OK")=28,"ALL OK",IF(D5&lt;&gt;"OK","INPUTS MISSING","SOME FAIL"))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2026-09-02T03:01:47Z</dcterms:created>
  <dc:creator>openpyxl</dc:creator>
  <dc:description/>
  <dc:language>en-US</dc:language>
  <cp:lastModifiedBy/>
  <dcterms:modified xsi:type="dcterms:W3CDTF">2026-09-24T01:18:21Z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