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2. Headline to net effective" sheetId="2" state="visible" r:id="rId4"/>
    <sheet name="3. Net effective to headline" sheetId="3" state="visible" r:id="rId5"/>
    <sheet name="4. Checks" sheetId="4" state="visible" r:id="rId6"/>
    <sheet name="5. Break, occupancy, index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<sst xmlns="http://schemas.openxmlformats.org/spreadsheetml/2006/main" count="135" uniqueCount="105">
  <si>
    <t xml:space="preserve">Headline rent to net effective rent</t>
  </si>
  <si>
    <t xml:space="preserve">Companion workbook to Office Real Estate</t>
  </si>
  <si>
    <t xml:space="preserve">The rent a building quotes and the rent a building banks are different numbers, and the difference is capital. This workbook converts one into the other, in both directions.</t>
  </si>
  <si>
    <t xml:space="preserve">Chapter 3 of the book is this file.</t>
  </si>
  <si>
    <t xml:space="preserve">Both directions</t>
  </si>
  <si>
    <t xml:space="preserve">Sheet 2 takes a headline rent and an incentive package and returns the net effective rent.</t>
  </si>
  <si>
    <t xml:space="preserve">Sheet 3 takes the net effective rent you are willing to underwrite and returns the headline rent you must achieve to deliver it.</t>
  </si>
  <si>
    <t xml:space="preserve">The number that moves it most</t>
  </si>
  <si>
    <t xml:space="preserve">The term certain, not the rent. A ten-year lease with a tenant break at five is a five-year lease: change cell B8 on sheet 2 from 5 to 10 and watch the answer.</t>
  </si>
  <si>
    <t xml:space="preserve">Conventions</t>
  </si>
  <si>
    <t xml:space="preserve">Blue text on a pale blue fill — an input, you may edit these.</t>
  </si>
  <si>
    <t xml:space="preserve">Yellow fill — the carrying assumption of the sheet, the one to argue about first.</t>
  </si>
  <si>
    <t xml:space="preserve">Black text — a formula, do not overtype these.</t>
  </si>
  <si>
    <t xml:space="preserve">Nothing is locked, protected or watermarked. No macros, no external links.</t>
  </si>
  <si>
    <t xml:space="preserve">Revised 24 September 2026</t>
  </si>
  <si>
    <t xml:space="preserve">Sheet 5 is new: the ten-year net effective rent a break destroys (Ch. 3), total occupancy cost and the service-charge penalty (Ch. 4), and the price of an indexation cap (Ch. 8).</t>
  </si>
  <si>
    <t xml:space="preserve">The checks sheet now carries 22 lines and ends on an ALL OK verdict.</t>
  </si>
  <si>
    <t xml:space="preserve">Headline rent (EUR/m2)</t>
  </si>
  <si>
    <t xml:space="preserve">Rent-free period (months)</t>
  </si>
  <si>
    <t xml:space="preserve">Category A fit-out (EUR/m2)</t>
  </si>
  <si>
    <t xml:space="preserve">Letting agent and legal fees, share of first year's rent</t>
  </si>
  <si>
    <t xml:space="preserve">Capital contribution to the tenant (EUR/m2)</t>
  </si>
  <si>
    <t xml:space="preserve">Term certain (years)</t>
  </si>
  <si>
    <t xml:space="preserve">Rent after the rent-free period</t>
  </si>
  <si>
    <t xml:space="preserve">Less letting fees, annualised</t>
  </si>
  <si>
    <t xml:space="preserve">Less fit-out, annualised</t>
  </si>
  <si>
    <t xml:space="preserve">Less capital contribution, annualised</t>
  </si>
  <si>
    <t xml:space="preserve">Net effective rent (EUR/m2)</t>
  </si>
  <si>
    <t xml:space="preserve">Erosion against the headline</t>
  </si>
  <si>
    <t xml:space="preserve">Rent-free months that alone would produce the same erosion</t>
  </si>
  <si>
    <t xml:space="preserve">A ten-year lease with a tenant break at five is a five-year lease. Amortising over the term to expiry rather than the term certain is the most common single overstatement in an office model.</t>
  </si>
  <si>
    <t xml:space="preserve">Net effective rent to headline rent</t>
  </si>
  <si>
    <t xml:space="preserve">Net effective rent you will underwrite (EUR/m2)</t>
  </si>
  <si>
    <t xml:space="preserve">Letting fees, share of first year's rent</t>
  </si>
  <si>
    <t xml:space="preserve">Headline rent required (EUR/m2)</t>
  </si>
  <si>
    <t xml:space="preserve">Check: net effective rent implied by that headline</t>
  </si>
  <si>
    <t xml:space="preserve">Checks — every figure the book prints, against what this workbook computes</t>
  </si>
  <si>
    <t xml:space="preserve">Office Real Estate</t>
  </si>
  <si>
    <t xml:space="preserve">Column D is a live formula pointing into the model, not a re-typed number. Change an input and this sheet moves with it.</t>
  </si>
  <si>
    <t xml:space="preserve">Source</t>
  </si>
  <si>
    <t xml:space="preserve">Figure as the book prints it</t>
  </si>
  <si>
    <t xml:space="preserve">Printed</t>
  </si>
  <si>
    <t xml:space="preserve">Computed</t>
  </si>
  <si>
    <t xml:space="preserve">Variance</t>
  </si>
  <si>
    <t xml:space="preserve">Status</t>
  </si>
  <si>
    <t xml:space="preserve">How the tolerances are set</t>
  </si>
  <si>
    <t xml:space="preserve">Ch. 3</t>
  </si>
  <si>
    <t xml:space="preserve">Rent after a 9-month rent-free (EUR/m2)</t>
  </si>
  <si>
    <t xml:space="preserve">One unit of the last digit the book prints for that figure.</t>
  </si>
  <si>
    <t xml:space="preserve">Fit-out, annualised (EUR/m2)</t>
  </si>
  <si>
    <t xml:space="preserve">Rent-free months equivalent to the whole erosion</t>
  </si>
  <si>
    <t xml:space="preserve">Round trip: headline that delivers EUR220 net effective</t>
  </si>
  <si>
    <t xml:space="preserve">Net effective rent over ten years (EUR/m2)</t>
  </si>
  <si>
    <t xml:space="preserve">Difference a year (EUR/m2)</t>
  </si>
  <si>
    <t xml:space="preserve">Difference across the building (EUR a year)</t>
  </si>
  <si>
    <t xml:space="preserve">Headline needed for EUR 220 net effective (EUR/m2)</t>
  </si>
  <si>
    <t xml:space="preserve">Months a year: fit-out</t>
  </si>
  <si>
    <t xml:space="preserve">Months a year: rent-free</t>
  </si>
  <si>
    <t xml:space="preserve">Ch. 4</t>
  </si>
  <si>
    <t xml:space="preserve">Total occupancy cost (EUR/m2)</t>
  </si>
  <si>
    <t xml:space="preserve">Rent as a share of occupancy cost</t>
  </si>
  <si>
    <t xml:space="preserve">Rent lost to a EUR 15 service charge gap (EUR a year)</t>
  </si>
  <si>
    <t xml:space="preserve">Capital value lost (EUR)</t>
  </si>
  <si>
    <t xml:space="preserve">Capital value of one euro of net rent</t>
  </si>
  <si>
    <t xml:space="preserve">Ch. 8</t>
  </si>
  <si>
    <t xml:space="preserve">Rent in year 5 at 2.0 per cent inflation (EUR/m2)</t>
  </si>
  <si>
    <t xml:space="preserve">Average rent at 2.0 per cent (EUR/m2)</t>
  </si>
  <si>
    <t xml:space="preserve">Average rent at 4.5 per cent, capped (EUR/m2)</t>
  </si>
  <si>
    <t xml:space="preserve">Cost of the cap, per m2</t>
  </si>
  <si>
    <t xml:space="preserve">Cost of the cap across the building (EUR)</t>
  </si>
  <si>
    <t xml:space="preserve">Lines reproduced within the book's own printed precision</t>
  </si>
  <si>
    <t xml:space="preserve">Lines differing only by the book's rounding of an intermediate</t>
  </si>
  <si>
    <t xml:space="preserve">Lines to check</t>
  </si>
  <si>
    <t xml:space="preserve">All checks</t>
  </si>
  <si>
    <t xml:space="preserve">Three chapters around the net effective rent: the break (Ch. 3), total occupancy cost (Ch. 4) and the indexation cap (Ch. 8)</t>
  </si>
  <si>
    <t xml:space="preserve">Chapter 3: the break decides the term certain</t>
  </si>
  <si>
    <t xml:space="preserve">5 years</t>
  </si>
  <si>
    <t xml:space="preserve">10 years</t>
  </si>
  <si>
    <t xml:space="preserve">Net lettable area (m2)</t>
  </si>
  <si>
    <t xml:space="preserve">Months of headline rent a year: fit-out</t>
  </si>
  <si>
    <t xml:space="preserve">Months of headline rent a year: rent-free</t>
  </si>
  <si>
    <t xml:space="preserve">Chapter 4: total occupancy cost</t>
  </si>
  <si>
    <t xml:space="preserve">EUR/m2</t>
  </si>
  <si>
    <t xml:space="preserve">Share</t>
  </si>
  <si>
    <t xml:space="preserve">Rent</t>
  </si>
  <si>
    <t xml:space="preserve">Service charge</t>
  </si>
  <si>
    <t xml:space="preserve">Property taxes and local charges</t>
  </si>
  <si>
    <t xml:space="preserve">Total occupancy cost</t>
  </si>
  <si>
    <t xml:space="preserve">Service charge above the competing buildings (EUR/m2)</t>
  </si>
  <si>
    <t xml:space="preserve">Rent lost across the building (EUR a year)</t>
  </si>
  <si>
    <t xml:space="preserve">Exit yield used to capitalise it</t>
  </si>
  <si>
    <t xml:space="preserve">Non-recoverable costs, share of rent</t>
  </si>
  <si>
    <t xml:space="preserve">Capital value lost</t>
  </si>
  <si>
    <t xml:space="preserve">Chapter 8: an indexation cap on a 5-year lease</t>
  </si>
  <si>
    <t xml:space="preserve">Starting rent (EUR/m2)</t>
  </si>
  <si>
    <t xml:space="preserve">Cap</t>
  </si>
  <si>
    <t xml:space="preserve">Discount rate for the level annuity</t>
  </si>
  <si>
    <t xml:space="preserve">Inflation</t>
  </si>
  <si>
    <t xml:space="preserve">Indexation applied</t>
  </si>
  <si>
    <t xml:space="preserve">Rent in year 5</t>
  </si>
  <si>
    <t xml:space="preserve">Average rent</t>
  </si>
  <si>
    <t xml:space="preserve">Present value</t>
  </si>
  <si>
    <t xml:space="preserve">Uncapped present value at the highest inflation</t>
  </si>
  <si>
    <t xml:space="preserve">Cost of the cap, per m2 (present value)</t>
  </si>
  <si>
    <t xml:space="preserve">Cost of the cap across the building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</si>
</sst>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0"/>
    <numFmt numFmtId="167" formatCode="0.00%"/>
    <numFmt numFmtId="168" formatCode="0.0"/>
    <numFmt numFmtId="169" formatCode="General"/>
    <numFmt numFmtId="170" formatCode="#,##0"/>
    <numFmt numFmtId="171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b val="true"/>
      <sz val="13"/>
      <color rgb="FF1F3864"/>
      <name val="Cambria"/>
      <family val="0"/>
      <charset val="1"/>
    </font>
    <font>
      <sz val="11"/>
      <color rgb="FF1F4E79"/>
      <name val="Cambria"/>
      <family val="0"/>
      <charset val="1"/>
    </font>
    <font>
      <b val="true"/>
      <sz val="11"/>
      <color rgb="FF1F4E79"/>
      <name val="Cambria"/>
      <family val="0"/>
      <charset val="1"/>
    </font>
    <font>
      <b val="true"/>
      <sz val="11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5.5" hidden="false" customHeight="true" outlineLevel="0" collapsed="false">
      <c r="A4" s="3" t="s">
        <v>2</v>
      </c>
    </row>
    <row r="5" customFormat="false" ht="15" hidden="false" customHeight="true" outlineLevel="0" collapsed="false">
      <c r="A5" s="3" t="s">
        <v>3</v>
      </c>
    </row>
    <row r="7" customFormat="false" ht="15" hidden="false" customHeight="false" outlineLevel="0" collapsed="false">
      <c r="A7" s="4" t="s">
        <v>4</v>
      </c>
    </row>
    <row r="8" customFormat="false" ht="15" hidden="false" customHeight="true" outlineLevel="0" collapsed="false">
      <c r="A8" s="3" t="s">
        <v>5</v>
      </c>
    </row>
    <row r="9" customFormat="false" ht="25.5" hidden="false" customHeight="true" outlineLevel="0" collapsed="false">
      <c r="A9" s="3" t="s">
        <v>6</v>
      </c>
    </row>
    <row r="11" customFormat="false" ht="15" hidden="false" customHeight="false" outlineLevel="0" collapsed="false">
      <c r="A11" s="4" t="s">
        <v>7</v>
      </c>
    </row>
    <row r="12" customFormat="false" ht="25.5" hidden="false" customHeight="true" outlineLevel="0" collapsed="false">
      <c r="A12" s="3" t="s">
        <v>8</v>
      </c>
    </row>
    <row r="14" customFormat="false" ht="15" hidden="false" customHeight="false" outlineLevel="0" collapsed="false">
      <c r="A14" s="4" t="s">
        <v>9</v>
      </c>
    </row>
    <row r="15" customFormat="false" ht="15" hidden="false" customHeight="true" outlineLevel="0" collapsed="false">
      <c r="A15" s="3" t="s">
        <v>10</v>
      </c>
    </row>
    <row r="16" customFormat="false" ht="15" hidden="false" customHeight="true" outlineLevel="0" collapsed="false">
      <c r="A16" s="3" t="s">
        <v>11</v>
      </c>
    </row>
    <row r="17" customFormat="false" ht="15" hidden="false" customHeight="true" outlineLevel="0" collapsed="false">
      <c r="A17" s="3" t="s">
        <v>12</v>
      </c>
    </row>
    <row r="18" customFormat="false" ht="15" hidden="false" customHeight="true" outlineLevel="0" collapsed="false">
      <c r="A18" s="3" t="s">
        <v>13</v>
      </c>
    </row>
    <row r="20" customFormat="false" ht="16.15" hidden="false" customHeight="false" outlineLevel="0" collapsed="false">
      <c r="A20" s="5" t="s">
        <v>14</v>
      </c>
    </row>
    <row r="21" customFormat="false" ht="15" hidden="false" customHeight="false" outlineLevel="0" collapsed="false">
      <c r="A21" s="0" t="s">
        <v>15</v>
      </c>
    </row>
    <row r="22" customFormat="false" ht="15" hidden="false" customHeight="false" outlineLevel="0" collapsed="false">
      <c r="A22" s="0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7"/>
  </cols>
  <sheetData>
    <row r="1" customFormat="false" ht="16.15" hidden="false" customHeight="false" outlineLevel="0" collapsed="false">
      <c r="A1" s="5" t="s">
        <v>0</v>
      </c>
    </row>
    <row r="3" customFormat="false" ht="15" hidden="false" customHeight="false" outlineLevel="0" collapsed="false">
      <c r="A3" s="0" t="s">
        <v>17</v>
      </c>
      <c r="B3" s="6" t="n">
        <v>300</v>
      </c>
    </row>
    <row r="4" customFormat="false" ht="15" hidden="false" customHeight="false" outlineLevel="0" collapsed="false">
      <c r="A4" s="0" t="s">
        <v>18</v>
      </c>
      <c r="B4" s="7" t="n">
        <v>9</v>
      </c>
    </row>
    <row r="5" customFormat="false" ht="15" hidden="false" customHeight="false" outlineLevel="0" collapsed="false">
      <c r="A5" s="0" t="s">
        <v>19</v>
      </c>
      <c r="B5" s="6" t="n">
        <v>420</v>
      </c>
    </row>
    <row r="6" customFormat="false" ht="15" hidden="false" customHeight="false" outlineLevel="0" collapsed="false">
      <c r="A6" s="0" t="s">
        <v>20</v>
      </c>
      <c r="B6" s="8" t="n">
        <v>0.12</v>
      </c>
    </row>
    <row r="7" customFormat="false" ht="15" hidden="false" customHeight="false" outlineLevel="0" collapsed="false">
      <c r="A7" s="0" t="s">
        <v>21</v>
      </c>
      <c r="B7" s="6" t="n">
        <v>0</v>
      </c>
    </row>
    <row r="8" customFormat="false" ht="15" hidden="false" customHeight="false" outlineLevel="0" collapsed="false">
      <c r="A8" s="0" t="s">
        <v>22</v>
      </c>
      <c r="B8" s="9" t="n">
        <v>5</v>
      </c>
    </row>
    <row r="10" customFormat="false" ht="15" hidden="false" customHeight="false" outlineLevel="0" collapsed="false">
      <c r="A10" s="0" t="s">
        <v>23</v>
      </c>
      <c r="B10" s="10" t="n">
        <f aca="false">B3*(B8*12-B4)/(B8*12)</f>
        <v>255</v>
      </c>
    </row>
    <row r="11" customFormat="false" ht="15" hidden="false" customHeight="false" outlineLevel="0" collapsed="false">
      <c r="A11" s="0" t="s">
        <v>24</v>
      </c>
      <c r="B11" s="10" t="n">
        <f aca="false">-B6*B3/B8</f>
        <v>-7.2</v>
      </c>
    </row>
    <row r="12" customFormat="false" ht="15" hidden="false" customHeight="false" outlineLevel="0" collapsed="false">
      <c r="A12" s="0" t="s">
        <v>25</v>
      </c>
      <c r="B12" s="10" t="n">
        <f aca="false">-B5/B8</f>
        <v>-84</v>
      </c>
    </row>
    <row r="13" customFormat="false" ht="15" hidden="false" customHeight="false" outlineLevel="0" collapsed="false">
      <c r="A13" s="0" t="s">
        <v>26</v>
      </c>
      <c r="B13" s="10" t="n">
        <f aca="false">-B7/B8</f>
        <v>-0</v>
      </c>
    </row>
    <row r="14" customFormat="false" ht="15" hidden="false" customHeight="false" outlineLevel="0" collapsed="false">
      <c r="A14" s="0" t="s">
        <v>27</v>
      </c>
      <c r="B14" s="11" t="n">
        <f aca="false">B10+B11+B12+B13</f>
        <v>163.8</v>
      </c>
    </row>
    <row r="15" customFormat="false" ht="15" hidden="false" customHeight="false" outlineLevel="0" collapsed="false">
      <c r="A15" s="0" t="s">
        <v>28</v>
      </c>
      <c r="B15" s="12" t="n">
        <f aca="false">1-B14/B3</f>
        <v>0.454</v>
      </c>
    </row>
    <row r="16" customFormat="false" ht="15" hidden="false" customHeight="false" outlineLevel="0" collapsed="false">
      <c r="A16" s="0" t="s">
        <v>29</v>
      </c>
      <c r="B16" s="13" t="n">
        <f aca="false">12*B15</f>
        <v>5.448</v>
      </c>
    </row>
    <row r="18" customFormat="false" ht="32.8" hidden="false" customHeight="false" outlineLevel="0" collapsed="false">
      <c r="A18" s="14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7"/>
  </cols>
  <sheetData>
    <row r="1" customFormat="false" ht="16.15" hidden="false" customHeight="false" outlineLevel="0" collapsed="false">
      <c r="A1" s="5" t="s">
        <v>31</v>
      </c>
    </row>
    <row r="3" customFormat="false" ht="15" hidden="false" customHeight="false" outlineLevel="0" collapsed="false">
      <c r="A3" s="0" t="s">
        <v>32</v>
      </c>
      <c r="B3" s="15" t="n">
        <v>220</v>
      </c>
    </row>
    <row r="4" customFormat="false" ht="15" hidden="false" customHeight="false" outlineLevel="0" collapsed="false">
      <c r="A4" s="0" t="s">
        <v>18</v>
      </c>
      <c r="B4" s="7" t="n">
        <v>9</v>
      </c>
    </row>
    <row r="5" customFormat="false" ht="15" hidden="false" customHeight="false" outlineLevel="0" collapsed="false">
      <c r="A5" s="0" t="s">
        <v>19</v>
      </c>
      <c r="B5" s="6" t="n">
        <v>420</v>
      </c>
    </row>
    <row r="6" customFormat="false" ht="15" hidden="false" customHeight="false" outlineLevel="0" collapsed="false">
      <c r="A6" s="0" t="s">
        <v>33</v>
      </c>
      <c r="B6" s="8" t="n">
        <v>0.12</v>
      </c>
    </row>
    <row r="7" customFormat="false" ht="15" hidden="false" customHeight="false" outlineLevel="0" collapsed="false">
      <c r="A7" s="0" t="s">
        <v>22</v>
      </c>
      <c r="B7" s="16" t="n">
        <v>5</v>
      </c>
    </row>
    <row r="9" customFormat="false" ht="15" hidden="false" customHeight="false" outlineLevel="0" collapsed="false">
      <c r="A9" s="0" t="s">
        <v>34</v>
      </c>
      <c r="B9" s="11" t="n">
        <f aca="false">(B3+B5/B7)/((B7*12-B4)/(B7*12)-B6/B7)</f>
        <v>368.038740920097</v>
      </c>
    </row>
    <row r="10" customFormat="false" ht="15" hidden="false" customHeight="false" outlineLevel="0" collapsed="false">
      <c r="A10" s="0" t="s">
        <v>35</v>
      </c>
      <c r="B10" s="10" t="n">
        <f aca="false">B9*(B7*12-B4)/(B7*12)-B6*B9/B7-B5/B7</f>
        <v>220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62"/>
    <col collapsed="false" customWidth="true" hidden="false" outlineLevel="0" max="6" min="3" style="0" width="13"/>
    <col collapsed="false" customWidth="true" hidden="false" outlineLevel="0" max="7" min="7" style="0" width="2"/>
    <col collapsed="false" customWidth="true" hidden="false" outlineLevel="0" max="8" min="8" style="0" width="60"/>
  </cols>
  <sheetData>
    <row r="1" customFormat="false" ht="16.15" hidden="false" customHeight="false" outlineLevel="0" collapsed="false">
      <c r="A1" s="5" t="s">
        <v>36</v>
      </c>
    </row>
    <row r="2" customFormat="false" ht="15" hidden="false" customHeight="false" outlineLevel="0" collapsed="false">
      <c r="A2" s="2" t="s">
        <v>37</v>
      </c>
    </row>
    <row r="3" customFormat="false" ht="15" hidden="false" customHeight="false" outlineLevel="0" collapsed="false">
      <c r="A3" s="2" t="s">
        <v>38</v>
      </c>
    </row>
    <row r="5" customFormat="false" ht="15" hidden="false" customHeight="false" outlineLevel="0" collapsed="false">
      <c r="A5" s="17" t="s">
        <v>39</v>
      </c>
      <c r="B5" s="17" t="s">
        <v>40</v>
      </c>
      <c r="C5" s="17" t="s">
        <v>41</v>
      </c>
      <c r="D5" s="17" t="s">
        <v>42</v>
      </c>
      <c r="E5" s="17" t="s">
        <v>43</v>
      </c>
      <c r="F5" s="17" t="s">
        <v>44</v>
      </c>
      <c r="H5" s="18" t="s">
        <v>45</v>
      </c>
    </row>
    <row r="6" customFormat="false" ht="15" hidden="false" customHeight="false" outlineLevel="0" collapsed="false">
      <c r="A6" s="0" t="s">
        <v>46</v>
      </c>
      <c r="B6" s="3" t="s">
        <v>47</v>
      </c>
      <c r="C6" s="0" t="n">
        <v>255</v>
      </c>
      <c r="D6" s="10" t="n">
        <f aca="false">'2. Headline to net effective'!B10</f>
        <v>255</v>
      </c>
      <c r="E6" s="19" t="n">
        <f aca="false">D6-C6</f>
        <v>0</v>
      </c>
      <c r="F6" s="0" t="str">
        <f aca="false">IF(ABS(E6)&lt;=0.01,"reproduced",IF(ABS(E6)&lt;=0.01*3,"rounding","to check"))</f>
        <v>reproduced</v>
      </c>
      <c r="H6" s="3" t="s">
        <v>48</v>
      </c>
    </row>
    <row r="7" customFormat="false" ht="15" hidden="false" customHeight="false" outlineLevel="0" collapsed="false">
      <c r="A7" s="0" t="s">
        <v>46</v>
      </c>
      <c r="B7" s="3" t="s">
        <v>49</v>
      </c>
      <c r="C7" s="0" t="n">
        <v>84</v>
      </c>
      <c r="D7" s="19" t="n">
        <f aca="false">-'2. Headline to net effective'!B12</f>
        <v>84</v>
      </c>
      <c r="E7" s="19" t="n">
        <f aca="false">D7-C7</f>
        <v>0</v>
      </c>
      <c r="F7" s="0" t="str">
        <f aca="false">IF(ABS(E7)&lt;=0.01,"reproduced",IF(ABS(E7)&lt;=0.01*3,"rounding","to check"))</f>
        <v>reproduced</v>
      </c>
    </row>
    <row r="8" customFormat="false" ht="15" hidden="false" customHeight="false" outlineLevel="0" collapsed="false">
      <c r="A8" s="0" t="s">
        <v>46</v>
      </c>
      <c r="B8" s="3" t="s">
        <v>27</v>
      </c>
      <c r="C8" s="0" t="n">
        <v>163.8</v>
      </c>
      <c r="D8" s="10" t="n">
        <f aca="false">'2. Headline to net effective'!B14</f>
        <v>163.8</v>
      </c>
      <c r="E8" s="19" t="n">
        <f aca="false">D8-C8</f>
        <v>0</v>
      </c>
      <c r="F8" s="0" t="str">
        <f aca="false">IF(ABS(E8)&lt;=0.01,"reproduced",IF(ABS(E8)&lt;=0.01*3,"rounding","to check"))</f>
        <v>reproduced</v>
      </c>
    </row>
    <row r="9" customFormat="false" ht="15" hidden="false" customHeight="false" outlineLevel="0" collapsed="false">
      <c r="A9" s="0" t="s">
        <v>46</v>
      </c>
      <c r="B9" s="3" t="s">
        <v>28</v>
      </c>
      <c r="C9" s="0" t="n">
        <v>0.454</v>
      </c>
      <c r="D9" s="12" t="n">
        <f aca="false">'2. Headline to net effective'!B15</f>
        <v>0.454</v>
      </c>
      <c r="E9" s="12" t="n">
        <f aca="false">D9-C9</f>
        <v>0</v>
      </c>
      <c r="F9" s="0" t="str">
        <f aca="false">IF(ABS(E9)&lt;=0.00005,"reproduced",IF(ABS(E9)&lt;=0.00005*3,"rounding","to check"))</f>
        <v>reproduced</v>
      </c>
    </row>
    <row r="10" customFormat="false" ht="15" hidden="false" customHeight="false" outlineLevel="0" collapsed="false">
      <c r="A10" s="0" t="s">
        <v>46</v>
      </c>
      <c r="B10" s="3" t="s">
        <v>50</v>
      </c>
      <c r="C10" s="0" t="n">
        <v>5.45</v>
      </c>
      <c r="D10" s="13" t="n">
        <f aca="false">'2. Headline to net effective'!B16</f>
        <v>5.448</v>
      </c>
      <c r="E10" s="19" t="n">
        <f aca="false">D10-C10</f>
        <v>-0.00200000000000067</v>
      </c>
      <c r="F10" s="0" t="str">
        <f aca="false">IF(ABS(E10)&lt;=0.01,"reproduced",IF(ABS(E10)&lt;=0.01*3,"rounding","to check"))</f>
        <v>reproduced</v>
      </c>
    </row>
    <row r="11" customFormat="false" ht="15" hidden="false" customHeight="false" outlineLevel="0" collapsed="false">
      <c r="A11" s="0" t="s">
        <v>46</v>
      </c>
      <c r="B11" s="3" t="s">
        <v>51</v>
      </c>
      <c r="C11" s="0" t="n">
        <v>220</v>
      </c>
      <c r="D11" s="10" t="n">
        <f aca="false">'3. Net effective to headline'!B10</f>
        <v>220</v>
      </c>
      <c r="E11" s="19" t="n">
        <f aca="false">D11-C11</f>
        <v>0</v>
      </c>
      <c r="F11" s="0" t="str">
        <f aca="false">IF(ABS(E11)&lt;=0.01,"reproduced",IF(ABS(E11)&lt;=0.01*3,"rounding","to check"))</f>
        <v>reproduced</v>
      </c>
    </row>
    <row r="12" customFormat="false" ht="15" hidden="false" customHeight="false" outlineLevel="0" collapsed="false">
      <c r="A12" s="0" t="s">
        <v>46</v>
      </c>
      <c r="B12" s="0" t="s">
        <v>52</v>
      </c>
      <c r="C12" s="10" t="n">
        <v>231.9</v>
      </c>
      <c r="D12" s="10" t="n">
        <f aca="false">'5. Break, occupancy, index'!C5</f>
        <v>231.9</v>
      </c>
      <c r="E12" s="10" t="n">
        <f aca="false">D12-C12</f>
        <v>0</v>
      </c>
      <c r="F12" s="0" t="str">
        <f aca="false">IF(ABS(E12)&lt;=0.05,"reproduced",IF(ABS(E12)&lt;=0.05*3,"rounding","to check"))</f>
        <v>reproduced</v>
      </c>
    </row>
    <row r="13" customFormat="false" ht="15" hidden="false" customHeight="false" outlineLevel="0" collapsed="false">
      <c r="A13" s="18" t="s">
        <v>46</v>
      </c>
      <c r="B13" s="19" t="s">
        <v>53</v>
      </c>
      <c r="C13" s="11" t="n">
        <v>68.1</v>
      </c>
      <c r="D13" s="10" t="n">
        <f aca="false">'5. Break, occupancy, index'!B6</f>
        <v>68.1</v>
      </c>
      <c r="E13" s="10" t="n">
        <f aca="false">D13-C13</f>
        <v>0</v>
      </c>
      <c r="F13" s="0" t="str">
        <f aca="false">IF(ABS(E13)&lt;=0.05,"reproduced",IF(ABS(E13)&lt;=0.05*3,"rounding","to check"))</f>
        <v>reproduced</v>
      </c>
    </row>
    <row r="14" customFormat="false" ht="15" hidden="false" customHeight="false" outlineLevel="0" collapsed="false">
      <c r="A14" s="18" t="s">
        <v>46</v>
      </c>
      <c r="B14" s="19" t="s">
        <v>54</v>
      </c>
      <c r="C14" s="20" t="n">
        <v>817200</v>
      </c>
      <c r="D14" s="21" t="n">
        <f aca="false">'5. Break, occupancy, index'!B8</f>
        <v>817200</v>
      </c>
      <c r="E14" s="21" t="n">
        <f aca="false">D14-C14</f>
        <v>0</v>
      </c>
      <c r="F14" s="0" t="str">
        <f aca="false">IF(ABS(E14)&lt;=1,"reproduced",IF(ABS(E14)&lt;=1*3,"rounding","to check"))</f>
        <v>reproduced</v>
      </c>
    </row>
    <row r="15" customFormat="false" ht="15" hidden="false" customHeight="false" outlineLevel="0" collapsed="false">
      <c r="A15" s="18" t="s">
        <v>46</v>
      </c>
      <c r="B15" s="19" t="s">
        <v>55</v>
      </c>
      <c r="C15" s="11" t="n">
        <v>368</v>
      </c>
      <c r="D15" s="10" t="n">
        <f aca="false">'3. Net effective to headline'!B9</f>
        <v>368.038740920097</v>
      </c>
      <c r="E15" s="10" t="n">
        <f aca="false">D15-C15</f>
        <v>0.0387409200968705</v>
      </c>
      <c r="F15" s="0" t="str">
        <f aca="false">IF(ABS(E15)&lt;=0.5,"reproduced",IF(ABS(E15)&lt;=0.5*3,"rounding","to check"))</f>
        <v>reproduced</v>
      </c>
    </row>
    <row r="16" customFormat="false" ht="15" hidden="false" customHeight="false" outlineLevel="0" collapsed="false">
      <c r="A16" s="0" t="s">
        <v>46</v>
      </c>
      <c r="B16" s="0" t="s">
        <v>56</v>
      </c>
      <c r="C16" s="10" t="n">
        <v>3.4</v>
      </c>
      <c r="D16" s="10" t="n">
        <f aca="false">'5. Break, occupancy, index'!B9</f>
        <v>3.36</v>
      </c>
      <c r="E16" s="10" t="n">
        <f aca="false">D16-C16</f>
        <v>-0.04</v>
      </c>
      <c r="F16" s="0" t="str">
        <f aca="false">IF(ABS(E16)&lt;=0.05,"reproduced",IF(ABS(E16)&lt;=0.05*3,"rounding","to check"))</f>
        <v>reproduced</v>
      </c>
    </row>
    <row r="17" customFormat="false" ht="15" hidden="false" customHeight="false" outlineLevel="0" collapsed="false">
      <c r="A17" s="0" t="s">
        <v>46</v>
      </c>
      <c r="B17" s="0" t="s">
        <v>57</v>
      </c>
      <c r="C17" s="10" t="n">
        <v>1.8</v>
      </c>
      <c r="D17" s="10" t="n">
        <f aca="false">'5. Break, occupancy, index'!B10</f>
        <v>1.8</v>
      </c>
      <c r="E17" s="10" t="n">
        <f aca="false">D17-C17</f>
        <v>0</v>
      </c>
      <c r="F17" s="0" t="str">
        <f aca="false">IF(ABS(E17)&lt;=0.05,"reproduced",IF(ABS(E17)&lt;=0.05*3,"rounding","to check"))</f>
        <v>reproduced</v>
      </c>
    </row>
    <row r="18" customFormat="false" ht="15" hidden="false" customHeight="false" outlineLevel="0" collapsed="false">
      <c r="A18" s="0" t="s">
        <v>58</v>
      </c>
      <c r="B18" s="0" t="s">
        <v>59</v>
      </c>
      <c r="C18" s="10" t="n">
        <v>460</v>
      </c>
      <c r="D18" s="10" t="n">
        <f aca="false">'5. Break, occupancy, index'!B17</f>
        <v>460</v>
      </c>
      <c r="E18" s="10" t="n">
        <f aca="false">D18-C18</f>
        <v>0</v>
      </c>
      <c r="F18" s="0" t="str">
        <f aca="false">IF(ABS(E18)&lt;=0.5,"reproduced",IF(ABS(E18)&lt;=0.5*3,"rounding","to check"))</f>
        <v>reproduced</v>
      </c>
    </row>
    <row r="19" customFormat="false" ht="15" hidden="false" customHeight="false" outlineLevel="0" collapsed="false">
      <c r="A19" s="0" t="s">
        <v>58</v>
      </c>
      <c r="B19" s="0" t="s">
        <v>60</v>
      </c>
      <c r="C19" s="12" t="n">
        <v>0.65</v>
      </c>
      <c r="D19" s="12" t="n">
        <f aca="false">'5. Break, occupancy, index'!C14</f>
        <v>0.652173913043478</v>
      </c>
      <c r="E19" s="12" t="n">
        <f aca="false">D19-C19</f>
        <v>0.00217391304347825</v>
      </c>
      <c r="F19" s="0" t="str">
        <f aca="false">IF(ABS(E19)&lt;=0.005,"reproduced",IF(ABS(E19)&lt;=0.005*3,"rounding","to check"))</f>
        <v>reproduced</v>
      </c>
    </row>
    <row r="20" customFormat="false" ht="15" hidden="false" customHeight="false" outlineLevel="0" collapsed="false">
      <c r="A20" s="0" t="s">
        <v>58</v>
      </c>
      <c r="B20" s="0" t="s">
        <v>61</v>
      </c>
      <c r="C20" s="21" t="n">
        <v>180000</v>
      </c>
      <c r="D20" s="21" t="n">
        <f aca="false">'5. Break, occupancy, index'!B19</f>
        <v>180000</v>
      </c>
      <c r="E20" s="21" t="n">
        <f aca="false">D20-C20</f>
        <v>0</v>
      </c>
      <c r="F20" s="0" t="str">
        <f aca="false">IF(ABS(E20)&lt;=1,"reproduced",IF(ABS(E20)&lt;=1*3,"rounding","to check"))</f>
        <v>reproduced</v>
      </c>
    </row>
    <row r="21" customFormat="false" ht="15" hidden="false" customHeight="false" outlineLevel="0" collapsed="false">
      <c r="A21" s="0" t="s">
        <v>58</v>
      </c>
      <c r="B21" s="0" t="s">
        <v>62</v>
      </c>
      <c r="C21" s="21" t="n">
        <v>2506667</v>
      </c>
      <c r="D21" s="21" t="n">
        <f aca="false">'5. Break, occupancy, index'!B22</f>
        <v>2506666.66666667</v>
      </c>
      <c r="E21" s="21" t="n">
        <f aca="false">D21-C21</f>
        <v>-0.333333333488554</v>
      </c>
      <c r="F21" s="0" t="str">
        <f aca="false">IF(ABS(E21)&lt;=1,"reproduced",IF(ABS(E21)&lt;=1*3,"rounding","to check"))</f>
        <v>reproduced</v>
      </c>
    </row>
    <row r="22" customFormat="false" ht="15" hidden="false" customHeight="false" outlineLevel="0" collapsed="false">
      <c r="A22" s="0" t="s">
        <v>58</v>
      </c>
      <c r="B22" s="0" t="s">
        <v>63</v>
      </c>
      <c r="C22" s="10" t="n">
        <v>14.8</v>
      </c>
      <c r="D22" s="10" t="n">
        <f aca="false">'5. Break, occupancy, index'!B23</f>
        <v>14.8148148148148</v>
      </c>
      <c r="E22" s="10" t="n">
        <f aca="false">D22-C22</f>
        <v>0.0148148148148124</v>
      </c>
      <c r="F22" s="0" t="str">
        <f aca="false">IF(ABS(E22)&lt;=0.05,"reproduced",IF(ABS(E22)&lt;=0.05*3,"rounding","to check"))</f>
        <v>reproduced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10" t="n">
        <v>325</v>
      </c>
      <c r="D23" s="10" t="n">
        <f aca="false">'5. Break, occupancy, index'!C30</f>
        <v>324.729648</v>
      </c>
      <c r="E23" s="10" t="n">
        <f aca="false">D23-C23</f>
        <v>-0.270352000000003</v>
      </c>
      <c r="F23" s="0" t="str">
        <f aca="false">IF(ABS(E23)&lt;=0.5,"reproduced",IF(ABS(E23)&lt;=0.5*3,"rounding","to check"))</f>
        <v>reproduced</v>
      </c>
    </row>
    <row r="24" customFormat="false" ht="15" hidden="false" customHeight="false" outlineLevel="0" collapsed="false">
      <c r="A24" s="0" t="s">
        <v>64</v>
      </c>
      <c r="B24" s="0" t="s">
        <v>66</v>
      </c>
      <c r="C24" s="10" t="n">
        <v>311</v>
      </c>
      <c r="D24" s="10" t="n">
        <f aca="false">'5. Break, occupancy, index'!D30</f>
        <v>311.32218809989</v>
      </c>
      <c r="E24" s="10" t="n">
        <f aca="false">D24-C24</f>
        <v>0.322188099890127</v>
      </c>
      <c r="F24" s="0" t="str">
        <f aca="false">IF(ABS(E24)&lt;=0.5,"reproduced",IF(ABS(E24)&lt;=0.5*3,"rounding","to check"))</f>
        <v>reproduced</v>
      </c>
    </row>
    <row r="25" customFormat="false" ht="15" hidden="false" customHeight="false" outlineLevel="0" collapsed="false">
      <c r="A25" s="0" t="s">
        <v>64</v>
      </c>
      <c r="B25" s="0" t="s">
        <v>67</v>
      </c>
      <c r="C25" s="10" t="n">
        <v>317</v>
      </c>
      <c r="D25" s="10" t="n">
        <f aca="false">'5. Break, occupancy, index'!D31</f>
        <v>317.147470152048</v>
      </c>
      <c r="E25" s="10" t="n">
        <f aca="false">D25-C25</f>
        <v>0.1474701520483</v>
      </c>
      <c r="F25" s="0" t="str">
        <f aca="false">IF(ABS(E25)&lt;=0.5,"reproduced",IF(ABS(E25)&lt;=0.5*3,"rounding","to check"))</f>
        <v>reproduced</v>
      </c>
    </row>
    <row r="26" customFormat="false" ht="15" hidden="false" customHeight="false" outlineLevel="0" collapsed="false">
      <c r="A26" s="0" t="s">
        <v>64</v>
      </c>
      <c r="B26" s="0" t="s">
        <v>68</v>
      </c>
      <c r="C26" s="10" t="n">
        <v>36</v>
      </c>
      <c r="D26" s="10" t="n">
        <f aca="false">'5. Break, occupancy, index'!B33</f>
        <v>35.9619875695328</v>
      </c>
      <c r="E26" s="10" t="n">
        <f aca="false">D26-C26</f>
        <v>-0.0380124304672336</v>
      </c>
      <c r="F26" s="0" t="str">
        <f aca="false">IF(ABS(E26)&lt;=0.5,"reproduced",IF(ABS(E26)&lt;=0.5*3,"rounding","to check"))</f>
        <v>reproduced</v>
      </c>
    </row>
    <row r="27" customFormat="false" ht="15" hidden="false" customHeight="false" outlineLevel="0" collapsed="false">
      <c r="A27" s="0" t="s">
        <v>64</v>
      </c>
      <c r="B27" s="0" t="s">
        <v>69</v>
      </c>
      <c r="C27" s="21" t="n">
        <v>431544</v>
      </c>
      <c r="D27" s="21" t="n">
        <f aca="false">'5. Break, occupancy, index'!B34</f>
        <v>431543.850834393</v>
      </c>
      <c r="E27" s="21" t="n">
        <f aca="false">D27-C27</f>
        <v>-0.149165606824681</v>
      </c>
      <c r="F27" s="0" t="str">
        <f aca="false">IF(ABS(E27)&lt;=1,"reproduced",IF(ABS(E27)&lt;=1*3,"rounding","to check"))</f>
        <v>reproduced</v>
      </c>
    </row>
    <row r="29" customFormat="false" ht="15" hidden="false" customHeight="false" outlineLevel="0" collapsed="false">
      <c r="A29" s="0" t="s">
        <v>70</v>
      </c>
      <c r="C29" s="0" t="n">
        <f aca="false">COUNTIF(F6:F27,"reproduced")</f>
        <v>22</v>
      </c>
    </row>
    <row r="30" customFormat="false" ht="15" hidden="false" customHeight="false" outlineLevel="0" collapsed="false">
      <c r="A30" s="0" t="s">
        <v>71</v>
      </c>
      <c r="C30" s="0" t="n">
        <f aca="false">COUNTIF(F6:F27,"rounding")</f>
        <v>0</v>
      </c>
    </row>
    <row r="31" customFormat="false" ht="15" hidden="false" customHeight="false" outlineLevel="0" collapsed="false">
      <c r="A31" s="0" t="s">
        <v>72</v>
      </c>
      <c r="C31" s="0" t="n">
        <f aca="false">COUNTIF(F6:F27,"to check")</f>
        <v>0</v>
      </c>
    </row>
    <row r="32" customFormat="false" ht="15" hidden="false" customHeight="false" outlineLevel="0" collapsed="false">
      <c r="A32" s="18" t="s">
        <v>73</v>
      </c>
      <c r="D32" s="18" t="str">
        <f aca="false">IF(COUNTIF(F6:F27,"to check")=0,"ALL OK",COUNTIF(F6:F27,"to check")&amp;" to check")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5" min="2" style="0" width="18"/>
  </cols>
  <sheetData>
    <row r="1" customFormat="false" ht="16.15" hidden="false" customHeight="false" outlineLevel="0" collapsed="false">
      <c r="A1" s="5" t="s">
        <v>74</v>
      </c>
    </row>
    <row r="3" customFormat="false" ht="15" hidden="false" customHeight="false" outlineLevel="0" collapsed="false">
      <c r="A3" s="0" t="s">
        <v>75</v>
      </c>
      <c r="B3" s="18" t="s">
        <v>76</v>
      </c>
      <c r="C3" s="18" t="s">
        <v>77</v>
      </c>
    </row>
    <row r="4" customFormat="false" ht="15" hidden="false" customHeight="false" outlineLevel="0" collapsed="false">
      <c r="A4" s="0" t="s">
        <v>22</v>
      </c>
      <c r="B4" s="22" t="n">
        <v>5</v>
      </c>
      <c r="C4" s="22" t="n">
        <v>10</v>
      </c>
    </row>
    <row r="5" customFormat="false" ht="15" hidden="false" customHeight="false" outlineLevel="0" collapsed="false">
      <c r="A5" s="0" t="s">
        <v>27</v>
      </c>
      <c r="B5" s="10" t="n">
        <f aca="false">'2. Headline to net effective'!$B$3*(B4*12-'2. Headline to net effective'!$B$4)/(B4*12)-'2. Headline to net effective'!$B$6*'2. Headline to net effective'!$B$3/B4-'2. Headline to net effective'!$B$5/B4-'2. Headline to net effective'!$B$7/B4</f>
        <v>163.8</v>
      </c>
      <c r="C5" s="10" t="n">
        <f aca="false">'2. Headline to net effective'!$B$3*(C4*12-'2. Headline to net effective'!$B$4)/(C4*12)-'2. Headline to net effective'!$B$6*'2. Headline to net effective'!$B$3/C4-'2. Headline to net effective'!$B$5/C4-'2. Headline to net effective'!$B$7/C4</f>
        <v>231.9</v>
      </c>
    </row>
    <row r="6" customFormat="false" ht="15" hidden="false" customHeight="false" outlineLevel="0" collapsed="false">
      <c r="A6" s="0" t="s">
        <v>53</v>
      </c>
      <c r="B6" s="10" t="n">
        <f aca="false">C5-B5</f>
        <v>68.1</v>
      </c>
    </row>
    <row r="7" customFormat="false" ht="15" hidden="false" customHeight="false" outlineLevel="0" collapsed="false">
      <c r="A7" s="0" t="s">
        <v>78</v>
      </c>
      <c r="B7" s="22" t="n">
        <v>12000</v>
      </c>
    </row>
    <row r="8" customFormat="false" ht="15" hidden="false" customHeight="false" outlineLevel="0" collapsed="false">
      <c r="A8" s="0" t="s">
        <v>54</v>
      </c>
      <c r="B8" s="21" t="n">
        <f aca="false">B6*B7</f>
        <v>817200</v>
      </c>
    </row>
    <row r="9" customFormat="false" ht="15" hidden="false" customHeight="false" outlineLevel="0" collapsed="false">
      <c r="A9" s="0" t="s">
        <v>79</v>
      </c>
      <c r="B9" s="10" t="n">
        <f aca="false">12*'2. Headline to net effective'!$B$5/'2. Headline to net effective'!$B$8/'2. Headline to net effective'!$B$3</f>
        <v>3.36</v>
      </c>
    </row>
    <row r="10" customFormat="false" ht="15" hidden="false" customHeight="false" outlineLevel="0" collapsed="false">
      <c r="A10" s="0" t="s">
        <v>80</v>
      </c>
      <c r="B10" s="10" t="n">
        <f aca="false">12*('2. Headline to net effective'!$B$3-'2. Headline to net effective'!$B$10)/'2. Headline to net effective'!$B$3</f>
        <v>1.8</v>
      </c>
    </row>
    <row r="13" customFormat="false" ht="15" hidden="false" customHeight="false" outlineLevel="0" collapsed="false">
      <c r="A13" s="0" t="s">
        <v>81</v>
      </c>
      <c r="B13" s="18" t="s">
        <v>82</v>
      </c>
      <c r="C13" s="18" t="s">
        <v>83</v>
      </c>
    </row>
    <row r="14" customFormat="false" ht="15" hidden="false" customHeight="false" outlineLevel="0" collapsed="false">
      <c r="A14" s="0" t="s">
        <v>84</v>
      </c>
      <c r="B14" s="10" t="n">
        <f aca="false">'2. Headline to net effective'!$B$3</f>
        <v>300</v>
      </c>
      <c r="C14" s="23" t="n">
        <f aca="false">B14/B$17</f>
        <v>0.652173913043478</v>
      </c>
    </row>
    <row r="15" customFormat="false" ht="15" hidden="false" customHeight="false" outlineLevel="0" collapsed="false">
      <c r="A15" s="0" t="s">
        <v>85</v>
      </c>
      <c r="B15" s="6" t="n">
        <v>65</v>
      </c>
      <c r="C15" s="23" t="n">
        <f aca="false">B15/B$17</f>
        <v>0.141304347826087</v>
      </c>
    </row>
    <row r="16" customFormat="false" ht="15" hidden="false" customHeight="false" outlineLevel="0" collapsed="false">
      <c r="A16" s="0" t="s">
        <v>86</v>
      </c>
      <c r="B16" s="6" t="n">
        <v>95</v>
      </c>
      <c r="C16" s="23" t="n">
        <f aca="false">B16/B$17</f>
        <v>0.206521739130435</v>
      </c>
    </row>
    <row r="17" customFormat="false" ht="15" hidden="false" customHeight="false" outlineLevel="0" collapsed="false">
      <c r="A17" s="0" t="s">
        <v>87</v>
      </c>
      <c r="B17" s="10" t="n">
        <f aca="false">SUM(B14:B16)</f>
        <v>460</v>
      </c>
      <c r="C17" s="23" t="n">
        <f aca="false">SUM(C14:C16)</f>
        <v>1</v>
      </c>
    </row>
    <row r="18" customFormat="false" ht="15" hidden="false" customHeight="false" outlineLevel="0" collapsed="false">
      <c r="A18" s="0" t="s">
        <v>88</v>
      </c>
      <c r="B18" s="6" t="n">
        <v>15</v>
      </c>
    </row>
    <row r="19" customFormat="false" ht="15" hidden="false" customHeight="false" outlineLevel="0" collapsed="false">
      <c r="A19" s="0" t="s">
        <v>89</v>
      </c>
      <c r="B19" s="21" t="n">
        <f aca="false">B18*B7</f>
        <v>180000</v>
      </c>
    </row>
    <row r="20" customFormat="false" ht="15" hidden="false" customHeight="false" outlineLevel="0" collapsed="false">
      <c r="A20" s="0" t="s">
        <v>90</v>
      </c>
      <c r="B20" s="24" t="n">
        <v>0.0675</v>
      </c>
    </row>
    <row r="21" customFormat="false" ht="15" hidden="false" customHeight="false" outlineLevel="0" collapsed="false">
      <c r="A21" s="0" t="s">
        <v>91</v>
      </c>
      <c r="B21" s="24" t="n">
        <v>0.06</v>
      </c>
    </row>
    <row r="22" customFormat="false" ht="15" hidden="false" customHeight="false" outlineLevel="0" collapsed="false">
      <c r="A22" s="0" t="s">
        <v>92</v>
      </c>
      <c r="B22" s="21" t="n">
        <f aca="false">B19*(1-B21)/B20</f>
        <v>2506666.66666667</v>
      </c>
    </row>
    <row r="23" customFormat="false" ht="15" hidden="false" customHeight="false" outlineLevel="0" collapsed="false">
      <c r="A23" s="0" t="s">
        <v>63</v>
      </c>
      <c r="B23" s="0" t="n">
        <f aca="false">1/B20</f>
        <v>14.8148148148148</v>
      </c>
    </row>
    <row r="24" customFormat="false" ht="15" hidden="false" customHeight="false" outlineLevel="0" collapsed="false">
      <c r="A24" s="18" t="s">
        <v>93</v>
      </c>
    </row>
    <row r="25" customFormat="false" ht="15" hidden="false" customHeight="false" outlineLevel="0" collapsed="false">
      <c r="A25" s="0" t="s">
        <v>94</v>
      </c>
      <c r="B25" s="22" t="n">
        <v>300</v>
      </c>
    </row>
    <row r="26" customFormat="false" ht="15" hidden="false" customHeight="false" outlineLevel="0" collapsed="false">
      <c r="A26" s="0" t="s">
        <v>95</v>
      </c>
      <c r="B26" s="24" t="n">
        <v>0.03</v>
      </c>
    </row>
    <row r="27" customFormat="false" ht="15" hidden="false" customHeight="false" outlineLevel="0" collapsed="false">
      <c r="A27" s="0" t="s">
        <v>96</v>
      </c>
      <c r="B27" s="24" t="n">
        <v>0.0775</v>
      </c>
    </row>
    <row r="28" customFormat="false" ht="15" hidden="false" customHeight="false" outlineLevel="0" collapsed="false">
      <c r="A28" s="18" t="s">
        <v>97</v>
      </c>
      <c r="B28" s="18" t="s">
        <v>98</v>
      </c>
      <c r="C28" s="18" t="s">
        <v>99</v>
      </c>
      <c r="D28" s="18" t="s">
        <v>100</v>
      </c>
      <c r="E28" s="18" t="s">
        <v>101</v>
      </c>
    </row>
    <row r="29" customFormat="false" ht="15" hidden="false" customHeight="false" outlineLevel="0" collapsed="false">
      <c r="A29" s="24" t="n">
        <v>0.005</v>
      </c>
      <c r="B29" s="23" t="n">
        <f aca="false">MIN(A29,$B$26)</f>
        <v>0.005</v>
      </c>
      <c r="C29" s="10" t="n">
        <f aca="false">$B$25*(1+B29)^4</f>
        <v>306.0451501875</v>
      </c>
      <c r="D29" s="10" t="n">
        <f aca="false">E29/SUMPRODUCT(1/(1+$B$27)^{1,2,3,4,5})</f>
        <v>302.78999459707</v>
      </c>
      <c r="E29" s="10" t="n">
        <f aca="false">SUMPRODUCT($B$25*(1+B29)^{0,1,2,3,4}/(1+$B$27)^{1,2,3,4,5})</f>
        <v>1216.96058910958</v>
      </c>
    </row>
    <row r="30" customFormat="false" ht="15" hidden="false" customHeight="false" outlineLevel="0" collapsed="false">
      <c r="A30" s="24" t="n">
        <v>0.02</v>
      </c>
      <c r="B30" s="23" t="n">
        <f aca="false">MIN(A30,$B$26)</f>
        <v>0.02</v>
      </c>
      <c r="C30" s="10" t="n">
        <f aca="false">$B$25*(1+B30)^4</f>
        <v>324.729648</v>
      </c>
      <c r="D30" s="10" t="n">
        <f aca="false">E30/SUMPRODUCT(1/(1+$B$27)^{1,2,3,4,5})</f>
        <v>311.32218809989</v>
      </c>
      <c r="E30" s="10" t="n">
        <f aca="false">SUMPRODUCT($B$25*(1+B30)^{0,1,2,3,4}/(1+$B$27)^{1,2,3,4,5})</f>
        <v>1251.25281612126</v>
      </c>
    </row>
    <row r="31" customFormat="false" ht="15" hidden="false" customHeight="false" outlineLevel="0" collapsed="false">
      <c r="A31" s="24" t="n">
        <v>0.045</v>
      </c>
      <c r="B31" s="23" t="n">
        <f aca="false">MIN(A31,$B$26)</f>
        <v>0.03</v>
      </c>
      <c r="C31" s="10" t="n">
        <f aca="false">$B$25*(1+B31)^4</f>
        <v>337.652643</v>
      </c>
      <c r="D31" s="10" t="n">
        <f aca="false">E31/SUMPRODUCT(1/(1+$B$27)^{1,2,3,4,5})</f>
        <v>317.147470152048</v>
      </c>
      <c r="E31" s="10" t="n">
        <f aca="false">SUMPRODUCT($B$25*(1+B31)^{0,1,2,3,4}/(1+$B$27)^{1,2,3,4,5})</f>
        <v>1274.66554046626</v>
      </c>
    </row>
    <row r="32" customFormat="false" ht="15" hidden="false" customHeight="false" outlineLevel="0" collapsed="false">
      <c r="A32" s="0" t="s">
        <v>102</v>
      </c>
      <c r="B32" s="10" t="n">
        <f aca="false">SUMPRODUCT($B$25*(1+A31)^{0,1,2,3,4}/(1+$B$27)^{1,2,3,4,5})</f>
        <v>1310.62752803579</v>
      </c>
    </row>
    <row r="33" customFormat="false" ht="15" hidden="false" customHeight="false" outlineLevel="0" collapsed="false">
      <c r="A33" s="0" t="s">
        <v>103</v>
      </c>
      <c r="B33" s="10" t="n">
        <f aca="false">B32-E31</f>
        <v>35.9619875695328</v>
      </c>
    </row>
    <row r="34" customFormat="false" ht="15" hidden="false" customHeight="false" outlineLevel="0" collapsed="false">
      <c r="A34" s="0" t="s">
        <v>104</v>
      </c>
      <c r="B34" s="21" t="n">
        <f aca="false">B33*B7</f>
        <v>431543.850834393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2026-08-25T08:48:10Z</dcterms:created>
  <dc:creator>openpyxl</dc:creator>
  <dc:description/>
  <dc:language>en-US</dc:language>
  <cp:lastModifiedBy/>
  <dcterms:modified xsi:type="dcterms:W3CDTF">2026-09-23T22:52:37Z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