
<file path=[Content_Types].xml><?xml version="1.0" encoding="utf-8"?>
<Types xmlns="http://schemas.openxmlformats.org/package/2006/content-types">
  <Default Extension="xml" ContentType="application/xml"/>
  <Default Extension="rels" ContentType="application/vnd.openxmlformats-package.relationships+xml"/>
  <Default Extension="png" ContentType="image/png"/>
  <Default Extension="jpeg" ContentType="image/jpeg"/>
  <Override PartName="/xl/_rels/workbook.xml.rels" ContentType="application/vnd.openxmlformats-package.relationships+xml"/>
  <Override PartName="/xl/workbook.xml" ContentType="application/vnd.openxmlformats-officedocument.spreadsheetml.sheet.main+xml"/>
  <Override PartName="/xl/theme/theme1.xml" ContentType="application/vnd.openxmlformats-officedocument.theme+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sharedStrings.xml" ContentType="application/vnd.openxmlformats-officedocument.spreadsheetml.sharedStrings+xml"/>
  <Override PartName="/_rels/.rels" ContentType="application/vnd.openxmlformats-package.relationship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showHorizontalScroll="true" showVerticalScroll="true" showSheetTabs="true" xWindow="0" yWindow="0" windowWidth="16384" windowHeight="8192" tabRatio="500" firstSheet="0" activeTab="0"/>
  </bookViews>
  <sheets>
    <sheet name="Read me" sheetId="1" state="visible" r:id="rId3"/>
    <sheet name="Structure 2" sheetId="2" state="visible" r:id="rId4"/>
    <sheet name="Structure 1" sheetId="3" state="visible" r:id="rId5"/>
    <sheet name="Structure 3" sheetId="4" state="visible" r:id="rId6"/>
    <sheet name="Comparison" sheetId="5" state="visible" r:id="rId7"/>
    <sheet name="Promote and its cost" sheetId="6" state="visible" r:id="rId8"/>
    <sheet name="Your deal" sheetId="7" state="visible" r:id="rId9"/>
    <sheet name="Other chapters" sheetId="8" state="visible" r:id="rId10"/>
    <sheet name="Checks" sheetId="9" state="visible" r:id="rId11"/>
  </sheets>
  <calcPr iterateCount="100" refMode="A1" iterate="false" iterateDelta="0.0001"/>
  <extLst>
    <ext xmlns:loext="http://schemas.libreoffice.org/" uri="{7626C862-2A13-11E5-B345-FEFF819CDC9F}">
      <loext:extCalcPr stringRefSyntax="ExcelA1"/>
    </ext>
  </extLst>
</workbook>
</file>

<file path=xl/sharedStrings.xml><?xml version="1.0" encoding="utf-8"?>
<sst xmlns="http://schemas.openxmlformats.org/spreadsheetml/2006/main" count="700" uniqueCount="469">
  <si>
    <t xml:space="preserve">Real Estate Joint Ventures — Workbook 1 of 4</t>
  </si>
  <si>
    <t xml:space="preserve">The distribution waterfall, the promote, and what it costs</t>
  </si>
  <si>
    <t xml:space="preserve">Julian R. Sterling · julianrsterling.com/jv</t>
  </si>
  <si>
    <t xml:space="preserve">What this workbook is</t>
  </si>
  <si>
    <t xml:space="preserve">Chapter 9 builds a waterfall and works it. Chapter 10 prices the promote. Appendix C runs three structures over the same venture. This workbook is those three chapters as one live engine: change the exit proceeds or the exit year and every tier, every hurdle and every return resolves again.</t>
  </si>
  <si>
    <t xml:space="preserve">Where to start</t>
  </si>
  <si>
    <t xml:space="preserve">Open 'Structure 2' — the waterfall used throughout the book. The nine yellow cells at the top are the whole deal. Set the exit proceeds to 150, then 320, and watch the promote move from 1.54 to 54.43 on the same 100 of equity. That convexity is the argument of Chapter 10, and it is easier to believe when you have made it happen yourself.</t>
  </si>
  <si>
    <t xml:space="preserve">The four sheets that reproduce the book</t>
  </si>
  <si>
    <t xml:space="preserve">'Structure 2' reproduces the tier table of Chapter 9 and of Appendix C. 'Structure 1' and 'Structure 3' reproduce the other two appendices. 'Comparison' reproduces the promote-by-exit-year table that closes Appendix C. 'Promote and its cost' reproduces the four-outcome table of Chapter 10, the leverage table, and the investor-IRR-before-and-after table that Chapter 10 says an investment committee wants and rarely receives.</t>
  </si>
  <si>
    <t xml:space="preserve">Your deal</t>
  </si>
  <si>
    <t xml:space="preserve">'Your deal' is the same engine with the venture's own numbers stripped out and one realistic example row left in place to overwrite. Nothing is locked. If you break it, the formulas are all visible.</t>
  </si>
  <si>
    <t xml:space="preserve">Checks</t>
  </si>
  <si>
    <t xml:space="preserve">The last sheet lists every figure the book prints against what this workbook computes, with the variance beside it. Lines that differ only because the book rounds an intermediate figure are marked "rounding" and named rather than hidden; lines the book gets wrong are marked "revised", with the corrected figure. The sheet ends ALL OK.</t>
  </si>
  <si>
    <t xml:space="preserve">Conventions</t>
  </si>
  <si>
    <t xml:space="preserve">Blue text is an input you may edit. Black text is a formula. Green text is a link to another sheet. Yellow fill marks the assumptions that carry the answer. All figures are in the book's own units — read them as millions if it helps. No macros, no add-ins, no external links.</t>
  </si>
  <si>
    <t xml:space="preserve">Provided for education. Not investment advice.</t>
  </si>
  <si>
    <t xml:space="preserve">Revised 23 September 2026</t>
  </si>
  <si>
    <t xml:space="preserve">Revised 23 September 2026. A new sheet, 'Other chapters', recomputes the figures of Chapters 6, 10, 12, 13, 17, 20, 21 and 22, which no sheet reproduced before: the leverage table of Chapter 6, the fee bases and the sponsor's total economics of Chapter 12, the promote grid of Chapter 13 (its base yield, income and growth are not printed; 5%, 20 and 2% bring all fifteen cells back to within 0.02), the buy-sell, the rescue, the retention and the lookback. Two sentences did not survive. Chapter 12 says that in the bad case "the sponsor is at 1.5x": that is its fees alone; everything it takes out is 3.16 times its 10 of capital. Chapter 13 says the investor's return falls "by rather more in proportional terms" than the promote: the promote falls 42%, the investor's net return 28%. And above the second hurdle the definition of the preferred return cannot move the promote at all (monthly compounding gives the same 33.43), which the opening example of Chapter 13 forgets. The checks sheet ends ALL OK.</t>
  </si>
  <si>
    <t xml:space="preserve">Structure 2 — preferred return, 50/50 catch-up, two hurdles</t>
  </si>
  <si>
    <t xml:space="preserve">The waterfall used throughout the book. Chapter 9, 'The Waterfall Worked'; Appendix C, Structure 2.</t>
  </si>
  <si>
    <t xml:space="preserve">THE DEAL</t>
  </si>
  <si>
    <t xml:space="preserve">How to read this sheet</t>
  </si>
  <si>
    <t xml:space="preserve">Total equity</t>
  </si>
  <si>
    <t xml:space="preserve">Tier 4 is the only one that needs explaining. The second hurdle is not a share of cash; it is a level of cumulative cash the partners must have received. Column F carries that running total, and tier 4 applies exactly enough cash — at the 80/20 split — to lift it to the hurdle. Above that, tier 5 runs to the last dollar.
The catch-up in B19 is solved, not assumed. With a 50/50 split and a 20% target it is always twice the promote it produces, and the promote it produces is always a fifth of the preferred return plus itself. Change the split to 100% and the same formula gives you a full catch-up.
Set the exit proceeds to 150 and tier 3 fills only partly: the promote falls to 1.54. Set them to 320 and tier 5 opens: the promote is 54.43. Between those two the venture's proceeds slightly more than double and the promote rises thirty-five-fold. That is the whole of Chapter 10.</t>
  </si>
  <si>
    <t xml:space="preserve">Investor share of equity</t>
  </si>
  <si>
    <t xml:space="preserve">Sponsor share of equity</t>
  </si>
  <si>
    <t xml:space="preserve">Preferred return, compounded annually</t>
  </si>
  <si>
    <t xml:space="preserve">Catch-up split — share to the promote</t>
  </si>
  <si>
    <t xml:space="preserve">Catch-up target — promote as a share of profit</t>
  </si>
  <si>
    <t xml:space="preserve">Second hurdle — partner IRR</t>
  </si>
  <si>
    <t xml:space="preserve">Promote below the second hurdle</t>
  </si>
  <si>
    <t xml:space="preserve">Promote above the second hurdle</t>
  </si>
  <si>
    <t xml:space="preserve">Exit year</t>
  </si>
  <si>
    <t xml:space="preserve">Net proceeds to the venture at exit</t>
  </si>
  <si>
    <t xml:space="preserve">WHAT THE TERMS IMPLY</t>
  </si>
  <si>
    <t xml:space="preserve">Preferred return accrued at exit</t>
  </si>
  <si>
    <t xml:space="preserve">equity × ((1+pref)^years − 1)</t>
  </si>
  <si>
    <t xml:space="preserve">Catch-up amount that clears the target</t>
  </si>
  <si>
    <t xml:space="preserve">solves  catch-up split x C  =  target x (pref + C)</t>
  </si>
  <si>
    <t xml:space="preserve">   of which promote</t>
  </si>
  <si>
    <t xml:space="preserve">Cumulative to partners at the second hurdle</t>
  </si>
  <si>
    <t xml:space="preserve">equity × (1+hurdle)^years</t>
  </si>
  <si>
    <t xml:space="preserve">THE WATERFALL</t>
  </si>
  <si>
    <t xml:space="preserve">Tier</t>
  </si>
  <si>
    <t xml:space="preserve">Cash available</t>
  </si>
  <si>
    <t xml:space="preserve">Cash applied</t>
  </si>
  <si>
    <t xml:space="preserve">To the partners</t>
  </si>
  <si>
    <t xml:space="preserve">To the promote</t>
  </si>
  <si>
    <t xml:space="preserve">Cumulative to partners</t>
  </si>
  <si>
    <t xml:space="preserve">1. Return of capital</t>
  </si>
  <si>
    <t xml:space="preserve">2. Preferred return</t>
  </si>
  <si>
    <t xml:space="preserve">3. Catch-up</t>
  </si>
  <si>
    <t xml:space="preserve">4. Residual to the hurdle</t>
  </si>
  <si>
    <t xml:space="preserve">5. Residual above the hurdle</t>
  </si>
  <si>
    <t xml:space="preserve">Total</t>
  </si>
  <si>
    <t xml:space="preserve">Cash applied must equal proceeds</t>
  </si>
  <si>
    <t xml:space="preserve">WHAT EACH SIDE TAKES</t>
  </si>
  <si>
    <t xml:space="preserve">Partners, in total</t>
  </si>
  <si>
    <t xml:space="preserve">   the investor, pro rata</t>
  </si>
  <si>
    <t xml:space="preserve">   the sponsor, pro rata</t>
  </si>
  <si>
    <t xml:space="preserve">Promote to the sponsor</t>
  </si>
  <si>
    <t xml:space="preserve">Sponsor total (capital share + promote)</t>
  </si>
  <si>
    <t xml:space="preserve">Sponsor multiple on its own capital</t>
  </si>
  <si>
    <t xml:space="preserve">Investor multiple after promote</t>
  </si>
  <si>
    <t xml:space="preserve">Investor IRR after promote</t>
  </si>
  <si>
    <t xml:space="preserve">Investor IRR if the sponsor took only its pro rata share</t>
  </si>
  <si>
    <t xml:space="preserve">The promote, in points of investor IRR</t>
  </si>
  <si>
    <t xml:space="preserve">Venture multiple on total equity</t>
  </si>
  <si>
    <t xml:space="preserve">Promote as a share of the venture's profit</t>
  </si>
  <si>
    <t xml:space="preserve">THE SAME STRUCTURE AT FOUR EXIT VALUES</t>
  </si>
  <si>
    <t xml:space="preserve">Appendix C prints the first three columns at 175, 200, 250 and 300. Chapter 10 prints 150, 180, 250 and 320.</t>
  </si>
  <si>
    <t xml:space="preserve">Exit proceeds</t>
  </si>
  <si>
    <t xml:space="preserve">Preferred return</t>
  </si>
  <si>
    <t xml:space="preserve">Catch-up</t>
  </si>
  <si>
    <t xml:space="preserve">Partner multiple</t>
  </si>
  <si>
    <t xml:space="preserve">Structure 1 — preferred return, no catch-up, 80/20</t>
  </si>
  <si>
    <t xml:space="preserve">Appendix C, Structure 1. The simplest structure in the market, and the one sponsors dislike.</t>
  </si>
  <si>
    <t xml:space="preserve">Why sponsors dislike it</t>
  </si>
  <si>
    <t xml:space="preserve">Without a catch-up the sponsor never recovers a full share of total profit. On these numbers the promote is 20.61 out of 150.00 of profit — 13.7%, not 20%. Every dollar of preferred return is a dollar the promote never sees again.
Raise the exit year and it gets worse: the preferred return compounds, the residual shrinks, and the promote falls. Set the exit year to 7 and the promote is 15.72 on the same 250 of proceeds. That is the brake a preferred return puts on a sponsor, and it is the reason investors like this structure for exactly the reason sponsors do not.</t>
  </si>
  <si>
    <t xml:space="preserve">Promote above the preferred return</t>
  </si>
  <si>
    <t xml:space="preserve">Net proceeds at exit</t>
  </si>
  <si>
    <t xml:space="preserve">2. Preferred return at the stated rate</t>
  </si>
  <si>
    <t xml:space="preserve">3. Residual</t>
  </si>
  <si>
    <t xml:space="preserve">Structure 3 — equity multiple hurdles, no preferred return</t>
  </si>
  <si>
    <t xml:space="preserve">Appendix C, Structure 3. No IRR test anywhere, so the promote is the same whenever the deal exits.</t>
  </si>
  <si>
    <t xml:space="preserve">The sizing trick in tier 2</t>
  </si>
  <si>
    <t xml:space="preserve">To deliver 50.00 to partners at a 90/10 split you have to apply 50.00 / 0.90 = 55.56 of cash, because the sponsor takes its tenth on the way through. The book makes this point once, in a single line under the Structure 3 table, and it is the most common arithmetic error in a hand-built waterfall: sizing the tier by what the partners receive rather than by what the tier consumes.
Column C does the division. Column F carries the partners' running total so the hurdle can be tested against cash received rather than cash applied.
Notice what is absent: there is no exit year on this sheet, because nothing here depends on one. That is the entire case for a multiple-based waterfall, and the entire case against it.</t>
  </si>
  <si>
    <t xml:space="preserve">First hurdle — partner multiple</t>
  </si>
  <si>
    <t xml:space="preserve">Promote below the first hurdle</t>
  </si>
  <si>
    <t xml:space="preserve">Second hurdle — partner multiple</t>
  </si>
  <si>
    <t xml:space="preserve">Promote between the hurdles</t>
  </si>
  <si>
    <t xml:space="preserve">1. Return of capital (1.0x)</t>
  </si>
  <si>
    <t xml:space="preserve">2. Split until the first hurdle</t>
  </si>
  <si>
    <t xml:space="preserve">3. Split until the second hurdle</t>
  </si>
  <si>
    <t xml:space="preserve">4. Split above the second hurdle</t>
  </si>
  <si>
    <t xml:space="preserve">Partner multiple achieved</t>
  </si>
  <si>
    <t xml:space="preserve">The same 250, at three exit dates, through three structures</t>
  </si>
  <si>
    <t xml:space="preserve">Appendix C, 'What the Comparison Shows'. Hold the proceeds constant and vary only the date.</t>
  </si>
  <si>
    <t xml:space="preserve">Equity</t>
  </si>
  <si>
    <t xml:space="preserve">What the three columns are for</t>
  </si>
  <si>
    <t xml:space="preserve">Read across a row and you are pricing the same deal three ways. Read down a column and you are pricing time.
A preferred return is a time-based charge, so Structure 1 pays the sponsor less the longer the venture holds. Structure 2 does the same but from a higher base, because the catch-up restores the sponsor's share of everything below it. Structure 3 has no clock in it at all: 27.64 in year three, 27.64 in year ten.
That last column is the one worth arguing about. A multiple waterfall removes the sponsor's incentive to sell early — and removes any penalty for not selling at all. Whether that is a virtue depends entirely on whether the capital partner wants its money back on a schedule.
Change B5 to 175 and the ranking inverts in places. The comparison is not a league table; it is a map of which structure pays whom, where.</t>
  </si>
  <si>
    <t xml:space="preserve">Preferred return (Structures 1 and 2)</t>
  </si>
  <si>
    <t xml:space="preserve">Second hurdle (Structure 2)</t>
  </si>
  <si>
    <t xml:space="preserve">PROMOTE BY EXIT YEAR</t>
  </si>
  <si>
    <t xml:space="preserve">Structure 1</t>
  </si>
  <si>
    <t xml:space="preserve">Structure 2</t>
  </si>
  <si>
    <t xml:space="preserve">Structure 3</t>
  </si>
  <si>
    <t xml:space="preserve">Structures 1 and 2 are IRR-based: the promote falls with every year of hold. Structure 3 is not, and does not move.</t>
  </si>
  <si>
    <t xml:space="preserve">The promote across the outcomes, and what it costs the investor</t>
  </si>
  <si>
    <t xml:space="preserve">Chapter 10. The convexity, the leverage effect, and the two IRRs an investment committee should be quoted.</t>
  </si>
  <si>
    <t xml:space="preserve">The number nobody is quoted</t>
  </si>
  <si>
    <t xml:space="preserve">The middle table is the one Chapter 10 says most sponsor models could produce in an afternoon and almost none produce unprompted: the investor's return with the promote and without it, and the difference stated in points.
The pattern is the point. At an exit of 150 the promote costs the investor 0.23 of a point — it is nearly free when the deal is poor. At 320 it costs 4.62 points of a 26-point gross return. An investor who asks 'what does the promote cost in the base case?' has asked the wrong question, because the base case is not what is being underwritten to.
The bottom table is the one sponsors do not raise. Move from 60% leverage to 75% on the same asset and the same price move: the promote rises from 7.79 to 12.50 — sixty per cent more promote on thirty-seven per cent less equity. Both sides do better in this scenario, which is why the objection to leverage is never that it destroys returns when the deal works. The leverage decision is a promote decision, and it should be negotiated as one.</t>
  </si>
  <si>
    <t xml:space="preserve">PROMOTE AT FOUR EXIT OUTCOMES</t>
  </si>
  <si>
    <t xml:space="preserve">Marginal promote rate</t>
  </si>
  <si>
    <t xml:space="preserve">Promote / profit</t>
  </si>
  <si>
    <t xml:space="preserve">—</t>
  </si>
  <si>
    <t xml:space="preserve">WHAT THE PROMOTE COSTS THE INVESTOR</t>
  </si>
  <si>
    <t xml:space="preserve">The investor's own return, run twice: once through the waterfall, once with the sponsor taking only its pro rata share.</t>
  </si>
  <si>
    <t xml:space="preserve">Investor IRR before promote</t>
  </si>
  <si>
    <t xml:space="preserve">Cost in IRR points</t>
  </si>
  <si>
    <t xml:space="preserve">Multiple before</t>
  </si>
  <si>
    <t xml:space="preserve">Multiple after</t>
  </si>
  <si>
    <t xml:space="preserve">LEVERAGE IS THE CHEAPEST WAY TO BUY PROMOTE</t>
  </si>
  <si>
    <t xml:space="preserve">The same asset, bought at 250 and sold five years later at 312.50, at two levels of debt. Operations service the debt exactly; nothing is distributed in the interim.</t>
  </si>
  <si>
    <t xml:space="preserve">Purchase price</t>
  </si>
  <si>
    <t xml:space="preserve">Sale price</t>
  </si>
  <si>
    <t xml:space="preserve">Measure</t>
  </si>
  <si>
    <t xml:space="preserve">Case A</t>
  </si>
  <si>
    <t xml:space="preserve">Case B</t>
  </si>
  <si>
    <t xml:space="preserve">Loan to value</t>
  </si>
  <si>
    <t xml:space="preserve">Debt</t>
  </si>
  <si>
    <t xml:space="preserve">Equity contributed</t>
  </si>
  <si>
    <t xml:space="preserve">Net equity proceeds at exit</t>
  </si>
  <si>
    <t xml:space="preserve">Partner multiple before promote</t>
  </si>
  <si>
    <t xml:space="preserve">Promote</t>
  </si>
  <si>
    <t xml:space="preserve">Promote as a % of equity contributed</t>
  </si>
  <si>
    <t xml:space="preserve">Your deal — the same engine, your numbers</t>
  </si>
  <si>
    <t xml:space="preserve">Overwrite the blue cells. Everything below them recomputes. Nothing here is locked or protected.</t>
  </si>
  <si>
    <t xml:space="preserve">LEGEND</t>
  </si>
  <si>
    <t xml:space="preserve">Before you use this on a live negotiation</t>
  </si>
  <si>
    <t xml:space="preserve">Blue text</t>
  </si>
  <si>
    <t xml:space="preserve">a number you type. These are the only cells to change.</t>
  </si>
  <si>
    <t xml:space="preserve">This sheet assumes a single distribution at exit and no interim cash. That is the right shape for pricing a term sheet, and the wrong shape for running a venture. A real waterfall applies the same tiers period by period against running balances, and the preferred return accrues on unreturned capital plus, usually, the unpaid preferred return itself. Workbook 2 does it that way, over five years, with a capital call and a refinancing in the middle.
Three things to check against your own draft before trusting a number here.
Is the preferred return compounded, and on what base — capital only, or capital plus accrued and unpaid preferred return? The second is worth more than a point of rate on a venture with thin early distributions.
Is the catch-up split 50/50 or 100/0, and is the target 20% of profit above the return of capital, or of something else? Cell B16 is the split; B17 is the target.
Is the second hurdle an IRR or a multiple? This sheet tests an IRR. If yours is a multiple, use the Structure 3 sheet instead — the arithmetic is different and the sizing of each tier is where hand-built models go wrong.</t>
  </si>
  <si>
    <t xml:space="preserve">Yellow fill</t>
  </si>
  <si>
    <t xml:space="preserve">the assumptions that carry the answer. Change one and read the promote again.</t>
  </si>
  <si>
    <t xml:space="preserve">Black text</t>
  </si>
  <si>
    <t xml:space="preserve">a formula. Overtyping one breaks the cascade below it.</t>
  </si>
  <si>
    <t xml:space="preserve">Row 6 to row 16</t>
  </si>
  <si>
    <t xml:space="preserve">one realistic venture, filled in as an example. Overwrite it with your own.</t>
  </si>
  <si>
    <t xml:space="preserve">Example: a 40 equity venture, 7% preferred return, full 100% catch-up to 20%, one hurdle at 12%, sold in year four for 95.</t>
  </si>
  <si>
    <t xml:space="preserve">Investor, pro rata</t>
  </si>
  <si>
    <t xml:space="preserve">Sponsor, pro rata + promote</t>
  </si>
  <si>
    <t xml:space="preserve">The figures of the other chapters</t>
  </si>
  <si>
    <t xml:space="preserve">Chapters 6, 10, 12, 13, 17, 20, 21 and 22 print their own arithmetic. This sheet recomputes all of it with the engine of Structure 2, one row per case.</t>
  </si>
  <si>
    <t xml:space="preserve">THE ENGINE, ONE ROW PER CASE</t>
  </si>
  <si>
    <t xml:space="preserve">Blue cells are the case; everything to the right of them is the five-tier waterfall of Chapter 9, solved in closed form.</t>
  </si>
  <si>
    <t xml:space="preserve">Case</t>
  </si>
  <si>
    <t xml:space="preserve">Years</t>
  </si>
  <si>
    <t xml:space="preserve">Proceeds</t>
  </si>
  <si>
    <t xml:space="preserve">Pref rate</t>
  </si>
  <si>
    <t xml:space="preserve">Catch-up split</t>
  </si>
  <si>
    <t xml:space="preserve">Catch-up target</t>
  </si>
  <si>
    <t xml:space="preserve">Hurdle IRR</t>
  </si>
  <si>
    <t xml:space="preserve">Promote to hurdle</t>
  </si>
  <si>
    <t xml:space="preserve">Promote above</t>
  </si>
  <si>
    <t xml:space="preserve">Pref accrued</t>
  </si>
  <si>
    <t xml:space="preserve">Catch-up C</t>
  </si>
  <si>
    <t xml:space="preserve">Hurdle cash</t>
  </si>
  <si>
    <t xml:space="preserve">After tiers 1-2</t>
  </si>
  <si>
    <t xml:space="preserve">Tier 3</t>
  </si>
  <si>
    <t xml:space="preserve">Partners after 3</t>
  </si>
  <si>
    <t xml:space="preserve">Tier 4</t>
  </si>
  <si>
    <t xml:space="preserve">Tier 5</t>
  </si>
  <si>
    <t xml:space="preserve">Partners</t>
  </si>
  <si>
    <t xml:space="preserve">Investor IRR</t>
  </si>
  <si>
    <t xml:space="preserve">Ch. 9 base: 250 in year 5</t>
  </si>
  <si>
    <t xml:space="preserve">Ch. 10: 180, hurdle 8%</t>
  </si>
  <si>
    <t xml:space="preserve">Ch. 10: 180, first hurdle moved to 10%</t>
  </si>
  <si>
    <t xml:space="preserve">Ch. 10: 180, promote shaved to 18%</t>
  </si>
  <si>
    <t xml:space="preserve">Ch. 13: 250, preferred return compounded monthly</t>
  </si>
  <si>
    <t xml:space="preserve">Ch. 17: buy-sell at a named value of 200, year 4</t>
  </si>
  <si>
    <t xml:space="preserve">Ch. 17: the same at 160</t>
  </si>
  <si>
    <t xml:space="preserve">Ch. 22: lookback at 190</t>
  </si>
  <si>
    <t xml:space="preserve">Ch. 22: lookback at 150</t>
  </si>
  <si>
    <t xml:space="preserve">Ch. 12: bad case, 150</t>
  </si>
  <si>
    <t xml:space="preserve">Ch. 13 grid: exit yield -50 bp, rent growth -1 pp</t>
  </si>
  <si>
    <t xml:space="preserve">Ch. 13 grid: exit yield -50 bp, rent growth +0 pp</t>
  </si>
  <si>
    <t xml:space="preserve">Ch. 13 grid: exit yield -50 bp, rent growth +1 pp</t>
  </si>
  <si>
    <t xml:space="preserve">Ch. 13 grid: exit yield -25 bp, rent growth -1 pp</t>
  </si>
  <si>
    <t xml:space="preserve">Ch. 13 grid: exit yield -25 bp, rent growth +0 pp</t>
  </si>
  <si>
    <t xml:space="preserve">Ch. 13 grid: exit yield -25 bp, rent growth +1 pp</t>
  </si>
  <si>
    <t xml:space="preserve">Ch. 13 grid: exit yield +0 bp, rent growth -1 pp</t>
  </si>
  <si>
    <t xml:space="preserve">Ch. 13 grid: exit yield +0 bp, rent growth +0 pp</t>
  </si>
  <si>
    <t xml:space="preserve">Ch. 13 grid: exit yield +0 bp, rent growth +1 pp</t>
  </si>
  <si>
    <t xml:space="preserve">Ch. 13 grid: exit yield +25 bp, rent growth -1 pp</t>
  </si>
  <si>
    <t xml:space="preserve">Ch. 13 grid: exit yield +25 bp, rent growth +0 pp</t>
  </si>
  <si>
    <t xml:space="preserve">Ch. 13 grid: exit yield +25 bp, rent growth +1 pp</t>
  </si>
  <si>
    <t xml:space="preserve">Ch. 13 grid: exit yield +50 bp, rent growth -1 pp</t>
  </si>
  <si>
    <t xml:space="preserve">Ch. 13 grid: exit yield +50 bp, rent growth +0 pp</t>
  </si>
  <si>
    <t xml:space="preserve">Ch. 13 grid: exit yield +50 bp, rent growth +1 pp</t>
  </si>
  <si>
    <t xml:space="preserve">CHAPTER 13: THE PROMOTE GRID, AND THE INVESTOR BESIDE IT</t>
  </si>
  <si>
    <t xml:space="preserve">Exit yield in the base case (inferred)</t>
  </si>
  <si>
    <t xml:space="preserve">The chapter gives none of these. A 5% yield on 20 is the base-case 400 of Chapter 12; with 2% growth, the fifteen printed promotes all come back to within 0.02.</t>
  </si>
  <si>
    <t xml:space="preserve">Net operating income at exit in the base case (inferred)</t>
  </si>
  <si>
    <t xml:space="preserve">Rent growth a year in the base case (inferred)</t>
  </si>
  <si>
    <t xml:space="preserve">Years of growth to the exit</t>
  </si>
  <si>
    <t xml:space="preserve">Growth -1 pp</t>
  </si>
  <si>
    <t xml:space="preserve">Base growth</t>
  </si>
  <si>
    <t xml:space="preserve">Growth +1 pp</t>
  </si>
  <si>
    <t xml:space="preserve">Investor net IRR</t>
  </si>
  <si>
    <t xml:space="preserve">Exit yield -50 bp</t>
  </si>
  <si>
    <t xml:space="preserve">Exit yield -25 bp</t>
  </si>
  <si>
    <t xml:space="preserve">Exit yield at base</t>
  </si>
  <si>
    <t xml:space="preserve">Exit yield +25 bp</t>
  </si>
  <si>
    <t xml:space="preserve">Exit yield +50 bp</t>
  </si>
  <si>
    <t xml:space="preserve">Promote, fall from the base to the worst corner</t>
  </si>
  <si>
    <t xml:space="preserve">Investor net IRR, fall from the base to the worst corner</t>
  </si>
  <si>
    <t xml:space="preserve">revised: the chapter says the investor's return falls "by rather more in proportional terms"; it falls by less</t>
  </si>
  <si>
    <t xml:space="preserve">Promote at 250 with the preferred return compounded monthly</t>
  </si>
  <si>
    <t xml:space="preserve">the same 33.43: above the second hurdle the definition of the preferred return cannot move the promote</t>
  </si>
  <si>
    <t xml:space="preserve">Proceeds above which the promote no longer depends on the preferred return</t>
  </si>
  <si>
    <t xml:space="preserve">Investor return on the same 194.91 if completion moves to 30 June of year 5</t>
  </si>
  <si>
    <t xml:space="preserve">Fee on gross asset value, closed form: f x NOI / (y + f), at 0.5% and 5% on 20</t>
  </si>
  <si>
    <t xml:space="preserve">Gross asset value after the fee</t>
  </si>
  <si>
    <t xml:space="preserve">CHAPTER 6: THE SAME ASSET, THE SAME PROMOTE, TWO LEVERAGE LEVELS</t>
  </si>
  <si>
    <t xml:space="preserve">Cost including closing costs</t>
  </si>
  <si>
    <t xml:space="preserve">Net operating income a year</t>
  </si>
  <si>
    <t xml:space="preserve">Years held</t>
  </si>
  <si>
    <t xml:space="preserve">Interest rate, interest-only</t>
  </si>
  <si>
    <t xml:space="preserve">Preferred return, simple, on unreturned capital</t>
  </si>
  <si>
    <t xml:space="preserve">Sponsor share of the equity</t>
  </si>
  <si>
    <t xml:space="preserve">Promote above capital and preferred return</t>
  </si>
  <si>
    <t xml:space="preserve">40% leverage</t>
  </si>
  <si>
    <t xml:space="preserve">65% leverage</t>
  </si>
  <si>
    <t xml:space="preserve">Loan to cost</t>
  </si>
  <si>
    <t xml:space="preserve">Senior debt</t>
  </si>
  <si>
    <t xml:space="preserve">Equity funded</t>
  </si>
  <si>
    <t xml:space="preserve">Sponsor co-investment</t>
  </si>
  <si>
    <t xml:space="preserve">Cash to equity over the hold</t>
  </si>
  <si>
    <t xml:space="preserve">Preferred return accrued</t>
  </si>
  <si>
    <t xml:space="preserve">Unpaid preferred return at exit</t>
  </si>
  <si>
    <t xml:space="preserve">Equity proceeds at exit</t>
  </si>
  <si>
    <t xml:space="preserve">Residual after preferred return and capital</t>
  </si>
  <si>
    <t xml:space="preserve">Promote per unit of sponsor capital</t>
  </si>
  <si>
    <t xml:space="preserve">Change in equity per unit of change in value</t>
  </si>
  <si>
    <t xml:space="preserve">At 65% leverage, a sale at 90: equity proceeds against 35 contributed</t>
  </si>
  <si>
    <t xml:space="preserve">CHAPTER 12: ONE RATE, FOUR BASES, AND THE SPONSOR'S TOTAL ECONOMICS</t>
  </si>
  <si>
    <t xml:space="preserve">Asset management fee at 1.00% on</t>
  </si>
  <si>
    <t xml:space="preserve">Base</t>
  </si>
  <si>
    <t xml:space="preserve">Annual fee</t>
  </si>
  <si>
    <t xml:space="preserve">% of equity</t>
  </si>
  <si>
    <t xml:space="preserve">Contributed equity</t>
  </si>
  <si>
    <t xml:space="preserve">Committed equity, drawn and undrawn</t>
  </si>
  <si>
    <t xml:space="preserve">Total project cost</t>
  </si>
  <si>
    <t xml:space="preserve">Gross asset value, year 3</t>
  </si>
  <si>
    <t xml:space="preserve">A 0.50% fee on gross asset value, against 1.50% on contributed equity</t>
  </si>
  <si>
    <t xml:space="preserve">Component</t>
  </si>
  <si>
    <t xml:space="preserve">Good case (sale at 400)</t>
  </si>
  <si>
    <t xml:space="preserve">Bad case (sale at 300)</t>
  </si>
  <si>
    <t xml:space="preserve">Acquisition fee, 1.0% of 250 cost</t>
  </si>
  <si>
    <t xml:space="preserve">Asset management fee, 1.0% of 100 equity, 5 years</t>
  </si>
  <si>
    <t xml:space="preserve">Financing fee, 0.5% of 150 debt</t>
  </si>
  <si>
    <t xml:space="preserve">Development management, 4.0% of 20 capex</t>
  </si>
  <si>
    <t xml:space="preserve">Leasing commissions retained</t>
  </si>
  <si>
    <t xml:space="preserve">Property management, 3.0% of 20 revenue, 5 years</t>
  </si>
  <si>
    <t xml:space="preserve">Guarantee fee</t>
  </si>
  <si>
    <t xml:space="preserve">Disposition fee, 0.5% of sale price</t>
  </si>
  <si>
    <t xml:space="preserve">Total fees</t>
  </si>
  <si>
    <t xml:space="preserve">Net equity proceeds: sale less 1% costs and 150 of debt, plus free cash</t>
  </si>
  <si>
    <t xml:space="preserve">Profit on the sponsor's own 10 of equity</t>
  </si>
  <si>
    <t xml:space="preserve">Total sponsor economics above its capital</t>
  </si>
  <si>
    <t xml:space="preserve">   of which fees</t>
  </si>
  <si>
    <t xml:space="preserve">   of which return on co-investment</t>
  </si>
  <si>
    <t xml:space="preserve">Investor proceeds on its 90</t>
  </si>
  <si>
    <t xml:space="preserve">Fees as a share of the investor's profit</t>
  </si>
  <si>
    <t xml:space="preserve">The sponsor's fees alone, as a multiple of its 10 of capital</t>
  </si>
  <si>
    <t xml:space="preserve">Everything the sponsor takes out, as a multiple of its 10 of capital</t>
  </si>
  <si>
    <t xml:space="preserve">revised: the chapter says "the sponsor is at 1.5x"; 1.5x is its fees alone</t>
  </si>
  <si>
    <t xml:space="preserve">CHAPTERS 10, 17, 20, 21 AND 22</t>
  </si>
  <si>
    <t xml:space="preserve">Ch. 10: promote saved at 180 by moving the first hurdle to 10%</t>
  </si>
  <si>
    <t xml:space="preserve">Ch. 10: promote saved at 180 by shaving the promote to 18%</t>
  </si>
  <si>
    <t xml:space="preserve">Ch. 17: at 200 in year 4, the investor's entitlement (what the sponsor must pay)</t>
  </si>
  <si>
    <t xml:space="preserve">Ch. 17: at 200, the sponsor's entitlement</t>
  </si>
  <si>
    <t xml:space="preserve">Ch. 17: at 160, the sponsor's entitlement</t>
  </si>
  <si>
    <t xml:space="preserve">Ch. 17: fall in the sponsor's entitlement for a 20% fall in the named value</t>
  </si>
  <si>
    <t xml:space="preserve">Ch. 20: preferred return added by holding back 5 for a year at 8%</t>
  </si>
  <si>
    <t xml:space="preserve">Ch. 21: rescue capital of 20 at 12% for three years, repaid first</t>
  </si>
  <si>
    <t xml:space="preserve">Ch. 21: promote at an exit of 200 after the rescue</t>
  </si>
  <si>
    <t xml:space="preserve">Ch. 21: the same with the preferred return reset at the start of year 3</t>
  </si>
  <si>
    <t xml:space="preserve">Ch. 21: what the reset moves from the investor to the sponsor</t>
  </si>
  <si>
    <t xml:space="preserve">Ch. 21: two years of suspended distributions, added to the accrual</t>
  </si>
  <si>
    <t xml:space="preserve">Ch. 22: a retention of 5 in the top tier, to the partners</t>
  </si>
  <si>
    <t xml:space="preserve">Ch. 22: and to the promote</t>
  </si>
  <si>
    <t xml:space="preserve">Ch. 22: lifetime entitlement at 190</t>
  </si>
  <si>
    <t xml:space="preserve">Ch. 22: lifetime entitlement at 150</t>
  </si>
  <si>
    <t xml:space="preserve">Ch. 22: repayment at 150 on 8.00 already paid</t>
  </si>
  <si>
    <t xml:space="preserve">Every figure the book prints, against what this workbook computes</t>
  </si>
  <si>
    <t xml:space="preserve">Sources are given to the chapter and the table. Nothing here is typed from memory.</t>
  </si>
  <si>
    <t xml:space="preserve">Source</t>
  </si>
  <si>
    <t xml:space="preserve">Figure as the book prints it</t>
  </si>
  <si>
    <t xml:space="preserve">Published</t>
  </si>
  <si>
    <t xml:space="preserve">Computed</t>
  </si>
  <si>
    <t xml:space="preserve">Variance</t>
  </si>
  <si>
    <t xml:space="preserve">Status</t>
  </si>
  <si>
    <t xml:space="preserve">On the two rounding lines</t>
  </si>
  <si>
    <t xml:space="preserve">Ch. 9</t>
  </si>
  <si>
    <t xml:space="preserve">Preferred return accrued at exit, year 5</t>
  </si>
  <si>
    <t xml:space="preserve">Of the sixty-three lines for Chapters 9 and 10 and Appendix C, sixty reproduce the book exactly. Three differ in the second decimal, and they differ for one reason: the book rounds an intermediate figure and then carries the rounded number forward, while this workbook carries full precision and rounds only for display.
They are named rather than smoothed over. At an exit of 150 the book prints 1.54 of promote and 148.46 to the partners; the preferred return is 46.9328, so the catch-up receives 3.0672 and half of that is 1.5336. Carry 46.93 instead and you get 1.535, which prints as 1.54. In the leverage table the same thing happens at 7.79 against an exact 7.7836.
Chapter 9 and Appendix C disagree with each other in the same way. The chapter prints the catch-up as 31.28 and the appendix as 31.29; the exact figure is 31.2885. Tier 4 and tier 5 inherit a hundredth each, and both tables still total 250.00, because the last tier absorbs it.
None of this changes a conclusion. It is shown because a workbook that widens its own tolerance until everything passes is not checking anything.
The lines added for the other chapters ('Other chapters' sheet) follow the same rule. Ten cells of the Chapter 13 grid differ by up to 0.02, because the grid's base yield, income and growth are inferred rather than printed. Three lines are marked 'revised': the corrected figure is in column C and the note says what the first edition prints.</t>
  </si>
  <si>
    <t xml:space="preserve">Catch-up amount C  (book prints 31.28; Appendix C prints 31.29)</t>
  </si>
  <si>
    <t xml:space="preserve">Tier 3 — promote in the catch-up</t>
  </si>
  <si>
    <t xml:space="preserve">Tier 4 — cash applied at 80/20 to the 14% hurdle</t>
  </si>
  <si>
    <t xml:space="preserve">Tier 4 — to the partners  (book prints 29.97; Appendix C 29.96)</t>
  </si>
  <si>
    <t xml:space="preserve">Tier 5 — cash applied above the hurdle</t>
  </si>
  <si>
    <t xml:space="preserve">Total to the partners, exit 250 year 5</t>
  </si>
  <si>
    <t xml:space="preserve">Total promote, exit 250 year 5</t>
  </si>
  <si>
    <t xml:space="preserve">Investor's pro rata share of partner distributions</t>
  </si>
  <si>
    <t xml:space="preserve">Sponsor's pro rata share</t>
  </si>
  <si>
    <t xml:space="preserve">Sponsor total — pro rata plus promote</t>
  </si>
  <si>
    <t xml:space="preserve">Sponsor multiple on 10 of capital  (book prints “a 5.5x on 10”)</t>
  </si>
  <si>
    <t xml:space="preserve">Investor multiple on 90 of capital</t>
  </si>
  <si>
    <t xml:space="preserve">Venture multiple on 100 of equity  (book prints “2.5x”)</t>
  </si>
  <si>
    <t xml:space="preserve">Venture IRR over five years</t>
  </si>
  <si>
    <t xml:space="preserve">Investor net IRR after promote</t>
  </si>
  <si>
    <t xml:space="preserve">Preferred return accrued, year 6</t>
  </si>
  <si>
    <t xml:space="preserve">Catch-up amount, year 6</t>
  </si>
  <si>
    <t xml:space="preserve">Second hurdle requirement, year 6</t>
  </si>
  <si>
    <t xml:space="preserve">Promote on the same 250, exit in year 6</t>
  </si>
  <si>
    <t xml:space="preserve">Investor net IRR, exit in year 6</t>
  </si>
  <si>
    <t xml:space="preserve">Multiple-based waterfall — 80/20 to 1.5x, 70/30 to 2.0x, 60/40 above</t>
  </si>
  <si>
    <t xml:space="preserve">Ch. 10</t>
  </si>
  <si>
    <t xml:space="preserve">Exit 150 — to the partners</t>
  </si>
  <si>
    <t xml:space="preserve">Exit 150 — promote</t>
  </si>
  <si>
    <t xml:space="preserve">Exit 180 — to the partners</t>
  </si>
  <si>
    <t xml:space="preserve">Exit 180 — promote</t>
  </si>
  <si>
    <t xml:space="preserve">Exit 320 — to the partners</t>
  </si>
  <si>
    <t xml:space="preserve">Exit 320 — promote</t>
  </si>
  <si>
    <t xml:space="preserve">Marginal promote rate between 180 and 250</t>
  </si>
  <si>
    <t xml:space="preserve">Marginal promote rate between 250 and 320</t>
  </si>
  <si>
    <t xml:space="preserve">Investor IRR before promote, exit 150</t>
  </si>
  <si>
    <t xml:space="preserve">Investor IRR after promote, exit 150</t>
  </si>
  <si>
    <t xml:space="preserve">Investor IRR before promote, exit 180</t>
  </si>
  <si>
    <t xml:space="preserve">Investor IRR after promote, exit 180</t>
  </si>
  <si>
    <t xml:space="preserve">Investor IRR before promote, exit 320</t>
  </si>
  <si>
    <t xml:space="preserve">Investor IRR after promote, exit 320</t>
  </si>
  <si>
    <t xml:space="preserve">Cost of the promote in IRR points, exit 320</t>
  </si>
  <si>
    <t xml:space="preserve">Leverage 60% — equity contributed</t>
  </si>
  <si>
    <t xml:space="preserve">Leverage 60% — net equity proceeds at exit</t>
  </si>
  <si>
    <t xml:space="preserve">Leverage 60% — promote</t>
  </si>
  <si>
    <t xml:space="preserve">Leverage 75% — equity contributed</t>
  </si>
  <si>
    <t xml:space="preserve">Leverage 75% — net equity proceeds at exit</t>
  </si>
  <si>
    <t xml:space="preserve">Leverage 75% — promote</t>
  </si>
  <si>
    <t xml:space="preserve">Leverage 75% — investor multiple after promote</t>
  </si>
  <si>
    <t xml:space="preserve">App. C</t>
  </si>
  <si>
    <t xml:space="preserve">Structure 1 — residual after capital and preferred return</t>
  </si>
  <si>
    <t xml:space="preserve">Structure 1 — to the partners</t>
  </si>
  <si>
    <t xml:space="preserve">Structure 1 — promote</t>
  </si>
  <si>
    <t xml:space="preserve">Structure 1 — promote as a share of the 150.00 of profit</t>
  </si>
  <si>
    <t xml:space="preserve">Structure 2 at 175 — promote</t>
  </si>
  <si>
    <t xml:space="preserve">Structure 2 at 175 — partner multiple</t>
  </si>
  <si>
    <t xml:space="preserve">Structure 2 at 200 — promote</t>
  </si>
  <si>
    <t xml:space="preserve">Structure 2 at 300 — promote</t>
  </si>
  <si>
    <t xml:space="preserve">Structure 2 at 300 — partner multiple</t>
  </si>
  <si>
    <t xml:space="preserve">Structure 3 — tier 2 cash applied  (50.00 / 0.90)</t>
  </si>
  <si>
    <t xml:space="preserve">Structure 3 — tier 3 cash applied</t>
  </si>
  <si>
    <t xml:space="preserve">Structure 3 — tier 4 cash applied</t>
  </si>
  <si>
    <t xml:space="preserve">Structure 3 — to the partners</t>
  </si>
  <si>
    <t xml:space="preserve">Structure 3 — promote</t>
  </si>
  <si>
    <t xml:space="preserve">Promote at 250, Structure 1, exit year 3</t>
  </si>
  <si>
    <t xml:space="preserve">Promote at 250, Structure 1, exit year 7</t>
  </si>
  <si>
    <t xml:space="preserve">Promote at 250, Structure 2, exit year 3</t>
  </si>
  <si>
    <t xml:space="preserve">Promote at 250, Structure 2, exit year 7</t>
  </si>
  <si>
    <t xml:space="preserve">Promote at 250, Structure 3, any exit year</t>
  </si>
  <si>
    <t xml:space="preserve">Ch. 6</t>
  </si>
  <si>
    <t xml:space="preserve">40% leverage: cash to equity over five years</t>
  </si>
  <si>
    <t xml:space="preserve">40% leverage: unpaid preferred return at exit</t>
  </si>
  <si>
    <t xml:space="preserve">40% leverage: residual profit</t>
  </si>
  <si>
    <t xml:space="preserve">40% leverage: promote</t>
  </si>
  <si>
    <t xml:space="preserve">40% leverage: promote per unit of sponsor capital</t>
  </si>
  <si>
    <t xml:space="preserve">65% leverage: cash to equity over five years</t>
  </si>
  <si>
    <t xml:space="preserve">65% leverage: unpaid preferred return at exit</t>
  </si>
  <si>
    <t xml:space="preserve">65% leverage: residual profit</t>
  </si>
  <si>
    <t xml:space="preserve">65% leverage: promote</t>
  </si>
  <si>
    <t xml:space="preserve">65% leverage: promote per unit of sponsor capital</t>
  </si>
  <si>
    <t xml:space="preserve">Equity moves 1.67 times the asset at 40%</t>
  </si>
  <si>
    <t xml:space="preserve">and 2.86 times at 65%</t>
  </si>
  <si>
    <t xml:space="preserve">At 65% and a sale at 90, equity proceeds</t>
  </si>
  <si>
    <t xml:space="preserve">Promote saved at 180 by a 10% first hurdle (more than by an 18% promote)</t>
  </si>
  <si>
    <t xml:space="preserve">not printed: the chapter states the ranking, this is its size</t>
  </si>
  <si>
    <t xml:space="preserve">Promote saved at 180 by an 18% promote</t>
  </si>
  <si>
    <t xml:space="preserve">not printed</t>
  </si>
  <si>
    <t xml:space="preserve">Ch. 12</t>
  </si>
  <si>
    <t xml:space="preserve">Fee on committed equity at 1.00%</t>
  </si>
  <si>
    <t xml:space="preserve">Fee on total project cost at 1.00%</t>
  </si>
  <si>
    <t xml:space="preserve">Fee on gross asset value at 1.00%</t>
  </si>
  <si>
    <t xml:space="preserve">A 0.50% fee on gross asset value</t>
  </si>
  <si>
    <t xml:space="preserve">Total fees, good case</t>
  </si>
  <si>
    <t xml:space="preserve">Total fees, bad case</t>
  </si>
  <si>
    <t xml:space="preserve">Net equity proceeds, good case</t>
  </si>
  <si>
    <t xml:space="preserve">Net equity proceeds, bad case</t>
  </si>
  <si>
    <t xml:space="preserve">Promote, bad case</t>
  </si>
  <si>
    <t xml:space="preserve">the book rounds 146.93 first; exact 1.5336</t>
  </si>
  <si>
    <t xml:space="preserve">Profit on the sponsor's own equity, good case</t>
  </si>
  <si>
    <t xml:space="preserve">Profit on the sponsor's own equity, bad case</t>
  </si>
  <si>
    <t xml:space="preserve">Total sponsor economics, good case</t>
  </si>
  <si>
    <t xml:space="preserve">Total sponsor economics, bad case</t>
  </si>
  <si>
    <t xml:space="preserve">from the rounded 1.54</t>
  </si>
  <si>
    <t xml:space="preserve">Share from fees, good case</t>
  </si>
  <si>
    <t xml:space="preserve">Share from fees, bad case</t>
  </si>
  <si>
    <t xml:space="preserve">Share from promote, good case</t>
  </si>
  <si>
    <t xml:space="preserve">Share from promote, bad case</t>
  </si>
  <si>
    <t xml:space="preserve">Share from co-investment, good case</t>
  </si>
  <si>
    <t xml:space="preserve">Share from co-investment, bad case</t>
  </si>
  <si>
    <t xml:space="preserve">Investor proceeds, bad case</t>
  </si>
  <si>
    <t xml:space="preserve">exact 133.62</t>
  </si>
  <si>
    <t xml:space="preserve">Investor net IRR, bad case</t>
  </si>
  <si>
    <t xml:space="preserve">Fees as a share of the investor's profit, good case</t>
  </si>
  <si>
    <t xml:space="preserve">Fees as a share of the investor's profit, bad case ("more than a third")</t>
  </si>
  <si>
    <t xml:space="preserve">The sponsor's fees alone, as a multiple of its capital, bad case</t>
  </si>
  <si>
    <t xml:space="preserve">the 1.5x the chapter prints</t>
  </si>
  <si>
    <t xml:space="preserve">Everything the sponsor takes out, as a multiple of its capital, bad case</t>
  </si>
  <si>
    <t xml:space="preserve">revised: the chapter says "the sponsor is at 1.5x"</t>
  </si>
  <si>
    <t xml:space="preserve">Ch. 13</t>
  </si>
  <si>
    <t xml:space="preserve">Hurdle reconciliation: proceeds at which tier 4 ends</t>
  </si>
  <si>
    <t xml:space="preserve">Investor return if completion moves to 30 June of year 5</t>
  </si>
  <si>
    <t xml:space="preserve">Fee on gross asset value, closed form</t>
  </si>
  <si>
    <t xml:space="preserve">Promote at 250 with the preferred return compounded monthly: unchanged</t>
  </si>
  <si>
    <t xml:space="preserve">added: why the opening vignette's 4.3 swing cannot come from the accrual basis</t>
  </si>
  <si>
    <t xml:space="preserve">Promote fall, base to worst corner</t>
  </si>
  <si>
    <t xml:space="preserve">Investor net IRR fall, base to worst corner</t>
  </si>
  <si>
    <t xml:space="preserve">revised: the chapter says the investor falls "by rather more"</t>
  </si>
  <si>
    <t xml:space="preserve">Promote grid: exit yield -50 bp, rent growth -1 pp</t>
  </si>
  <si>
    <t xml:space="preserve">Promote grid: exit yield -50 bp, rent growth base</t>
  </si>
  <si>
    <t xml:space="preserve">Promote grid: exit yield -50 bp, rent growth +1 pp</t>
  </si>
  <si>
    <t xml:space="preserve">Promote grid: exit yield -25 bp, rent growth -1 pp</t>
  </si>
  <si>
    <t xml:space="preserve">Promote grid: exit yield -25 bp, rent growth base</t>
  </si>
  <si>
    <t xml:space="preserve">Promote grid: exit yield -25 bp, rent growth +1 pp</t>
  </si>
  <si>
    <t xml:space="preserve">Promote grid: exit yield Base, rent growth -1 pp</t>
  </si>
  <si>
    <t xml:space="preserve">Promote grid: exit yield Base, rent growth base</t>
  </si>
  <si>
    <t xml:space="preserve">Promote grid: exit yield Base, rent growth +1 pp</t>
  </si>
  <si>
    <t xml:space="preserve">Promote grid: exit yield +25 bp, rent growth -1 pp</t>
  </si>
  <si>
    <t xml:space="preserve">Promote grid: exit yield +25 bp, rent growth base</t>
  </si>
  <si>
    <t xml:space="preserve">Promote grid: exit yield +25 bp, rent growth +1 pp</t>
  </si>
  <si>
    <t xml:space="preserve">Promote grid: exit yield +50 bp, rent growth -1 pp</t>
  </si>
  <si>
    <t xml:space="preserve">Promote grid: exit yield +50 bp, rent growth base</t>
  </si>
  <si>
    <t xml:space="preserve">Promote grid: exit yield +50 bp, rent growth +1 pp</t>
  </si>
  <si>
    <t xml:space="preserve">Ch. 17</t>
  </si>
  <si>
    <t xml:space="preserve">Buy-sell at 200: the investor's entitlement</t>
  </si>
  <si>
    <t xml:space="preserve">Buy-sell at 200: the sponsor's entitlement</t>
  </si>
  <si>
    <t xml:space="preserve">Buy-sell at 160: the sponsor's entitlement</t>
  </si>
  <si>
    <t xml:space="preserve">Fall in the sponsor's entitlement</t>
  </si>
  <si>
    <t xml:space="preserve">Ch. 20</t>
  </si>
  <si>
    <t xml:space="preserve">Preferred return added by a 5 reserve held a year</t>
  </si>
  <si>
    <t xml:space="preserve">Ch. 21</t>
  </si>
  <si>
    <t xml:space="preserve">Rescue capital repaid</t>
  </si>
  <si>
    <t xml:space="preserve">Promote at 200 after the rescue</t>
  </si>
  <si>
    <t xml:space="preserve">Promote with the preferred return reset</t>
  </si>
  <si>
    <t xml:space="preserve">What the reset moves to the sponsor</t>
  </si>
  <si>
    <t xml:space="preserve">Two years of suspended distributions</t>
  </si>
  <si>
    <t xml:space="preserve">Ch. 22</t>
  </si>
  <si>
    <t xml:space="preserve">Retention released to the partners</t>
  </si>
  <si>
    <t xml:space="preserve">Retention released to the promote</t>
  </si>
  <si>
    <t xml:space="preserve">Lifetime entitlement at 190</t>
  </si>
  <si>
    <t xml:space="preserve">Lifetime entitlement at 150</t>
  </si>
  <si>
    <t xml:space="preserve">Repayment at 150</t>
  </si>
  <si>
    <t xml:space="preserve">Lines reproduced exactly</t>
  </si>
  <si>
    <t xml:space="preserve">Lines differing only by the book's rounding of an intermediate figure</t>
  </si>
  <si>
    <t xml:space="preserve">Lines revised since the first edition (the corrected figure is in column C)</t>
  </si>
  <si>
    <t xml:space="preserve">Lines to check</t>
  </si>
  <si>
    <t xml:space="preserve">All checks</t>
  </si>
</sst>
</file>

<file path=xl/styles.xml><?xml version="1.0" encoding="utf-8"?>
<styleSheet xmlns="http://schemas.openxmlformats.org/spreadsheetml/2006/main">
  <numFmts count="7">
    <numFmt numFmtId="164" formatCode="General"/>
    <numFmt numFmtId="165" formatCode="#,##0.00;\(#,##0.00\);\-"/>
    <numFmt numFmtId="166" formatCode="0.0%"/>
    <numFmt numFmtId="167" formatCode="0"/>
    <numFmt numFmtId="168" formatCode="0.00\x"/>
    <numFmt numFmtId="169" formatCode="0.00%"/>
    <numFmt numFmtId="170" formatCode="0.0"/>
  </numFmts>
  <fonts count="19">
    <font>
      <sz val="11"/>
      <color theme="1"/>
      <name val="Calibri"/>
      <family val="2"/>
      <charset val="1"/>
    </font>
    <font>
      <sz val="10"/>
      <name val="Arial"/>
      <family val="0"/>
    </font>
    <font>
      <sz val="10"/>
      <name val="Arial"/>
      <family val="0"/>
    </font>
    <font>
      <sz val="10"/>
      <name val="Arial"/>
      <family val="0"/>
    </font>
    <font>
      <b val="true"/>
      <sz val="15"/>
      <name val="Arial"/>
      <family val="0"/>
      <charset val="1"/>
    </font>
    <font>
      <i val="true"/>
      <sz val="11"/>
      <color rgb="FF595959"/>
      <name val="Arial"/>
      <family val="0"/>
      <charset val="1"/>
    </font>
    <font>
      <i val="true"/>
      <sz val="10"/>
      <color rgb="FF595959"/>
      <name val="Arial"/>
      <family val="0"/>
      <charset val="1"/>
    </font>
    <font>
      <b val="true"/>
      <sz val="11"/>
      <color rgb="FF8C5A00"/>
      <name val="Arial"/>
      <family val="0"/>
      <charset val="1"/>
    </font>
    <font>
      <sz val="10"/>
      <name val="Arial"/>
      <family val="0"/>
      <charset val="1"/>
    </font>
    <font>
      <b val="true"/>
      <sz val="14"/>
      <color rgb="FF14171D"/>
      <name val="Arial"/>
      <family val="0"/>
      <charset val="1"/>
    </font>
    <font>
      <sz val="10"/>
      <color rgb="FF0000FF"/>
      <name val="Arial"/>
      <family val="0"/>
      <charset val="1"/>
    </font>
    <font>
      <b val="true"/>
      <sz val="10"/>
      <color rgb="FFFFFFFF"/>
      <name val="Arial"/>
      <family val="0"/>
      <charset val="1"/>
    </font>
    <font>
      <b val="true"/>
      <sz val="10"/>
      <name val="Arial"/>
      <family val="0"/>
      <charset val="1"/>
    </font>
    <font>
      <sz val="10"/>
      <color rgb="FF595959"/>
      <name val="Arial"/>
      <family val="0"/>
      <charset val="1"/>
    </font>
    <font>
      <sz val="9"/>
      <color rgb="FF8C5A00"/>
      <name val="Arial"/>
      <family val="0"/>
      <charset val="1"/>
    </font>
    <font>
      <sz val="9"/>
      <name val="Arial"/>
      <family val="0"/>
      <charset val="1"/>
    </font>
    <font>
      <sz val="9"/>
      <color rgb="FF0000FF"/>
      <name val="Arial"/>
      <family val="0"/>
      <charset val="1"/>
    </font>
    <font>
      <b val="true"/>
      <sz val="9"/>
      <name val="Arial"/>
      <family val="0"/>
      <charset val="1"/>
    </font>
    <font>
      <sz val="9"/>
      <color rgb="FF595959"/>
      <name val="Arial"/>
      <family val="0"/>
      <charset val="1"/>
    </font>
  </fonts>
  <fills count="5">
    <fill>
      <patternFill patternType="none"/>
    </fill>
    <fill>
      <patternFill patternType="gray125"/>
    </fill>
    <fill>
      <patternFill patternType="solid">
        <fgColor rgb="FFFFFF00"/>
        <bgColor rgb="FFFFFF00"/>
      </patternFill>
    </fill>
    <fill>
      <patternFill patternType="solid">
        <fgColor rgb="FF14171D"/>
        <bgColor rgb="FF000000"/>
      </patternFill>
    </fill>
    <fill>
      <patternFill patternType="solid">
        <fgColor rgb="FFF2F2F2"/>
        <bgColor rgb="FFFFFFFF"/>
      </patternFill>
    </fill>
  </fills>
  <borders count="3">
    <border diagonalUp="false" diagonalDown="false">
      <left/>
      <right/>
      <top/>
      <bottom/>
      <diagonal/>
    </border>
    <border diagonalUp="false" diagonalDown="false">
      <left style="thin">
        <color rgb="FFBFBFBF"/>
      </left>
      <right style="thin">
        <color rgb="FFBFBFBF"/>
      </right>
      <top style="thin">
        <color rgb="FFBFBFBF"/>
      </top>
      <bottom style="thin">
        <color rgb="FFBFBFBF"/>
      </bottom>
      <diagonal/>
    </border>
    <border diagonalUp="false" diagonalDown="false">
      <left/>
      <right/>
      <top style="medium">
        <color rgb="FF808080"/>
      </top>
      <bottom/>
      <diagonal/>
    </border>
  </borders>
  <cellStyleXfs count="20">
    <xf numFmtId="164" fontId="0" fillId="0" borderId="0" applyFont="true" applyBorder="true" applyAlignment="true" applyProtection="true">
      <alignment horizontal="general" vertical="bottom" textRotation="0" wrapText="false" indent="0" shrinkToFit="false"/>
      <protection locked="true" hidden="false"/>
    </xf>
    <xf numFmtId="0" fontId="1" fillId="0" borderId="0" applyFont="true" applyBorder="false" applyAlignment="false" applyProtection="false"/>
    <xf numFmtId="0" fontId="1" fillId="0" borderId="0" applyFont="true" applyBorder="false" applyAlignment="false" applyProtection="false"/>
    <xf numFmtId="0" fontId="2" fillId="0" borderId="0" applyFont="true" applyBorder="false" applyAlignment="false" applyProtection="false"/>
    <xf numFmtId="0" fontId="2"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43" fontId="1" fillId="0" borderId="0" applyFont="true" applyBorder="false" applyAlignment="false" applyProtection="false"/>
    <xf numFmtId="41" fontId="1" fillId="0" borderId="0" applyFont="true" applyBorder="false" applyAlignment="false" applyProtection="false"/>
    <xf numFmtId="44" fontId="1" fillId="0" borderId="0" applyFont="true" applyBorder="false" applyAlignment="false" applyProtection="false"/>
    <xf numFmtId="42" fontId="1" fillId="0" borderId="0" applyFont="true" applyBorder="false" applyAlignment="false" applyProtection="false"/>
    <xf numFmtId="9" fontId="1" fillId="0" borderId="0" applyFont="true" applyBorder="false" applyAlignment="false" applyProtection="false"/>
  </cellStyleXfs>
  <cellXfs count="80">
    <xf numFmtId="164" fontId="0" fillId="0" borderId="0" xfId="0" applyFont="false" applyBorder="false" applyAlignment="false" applyProtection="false">
      <alignment horizontal="general" vertical="bottom" textRotation="0" wrapText="false" indent="0" shrinkToFit="false"/>
      <protection locked="true" hidden="false"/>
    </xf>
    <xf numFmtId="164" fontId="0" fillId="0" borderId="0" xfId="0" applyFont="false" applyBorder="false" applyAlignment="true" applyProtection="false">
      <alignment horizontal="general" vertical="bottom" textRotation="0" wrapText="false" indent="0" shrinkToFit="false"/>
      <protection locked="true" hidden="false"/>
    </xf>
    <xf numFmtId="164" fontId="4" fillId="0" borderId="0" xfId="0" applyFont="true" applyBorder="false" applyAlignment="true" applyProtection="false">
      <alignment horizontal="general" vertical="bottom" textRotation="0" wrapText="false" indent="0" shrinkToFit="false"/>
      <protection locked="true" hidden="false"/>
    </xf>
    <xf numFmtId="164" fontId="5" fillId="0" borderId="0" xfId="0" applyFont="true" applyBorder="false" applyAlignment="true" applyProtection="false">
      <alignment horizontal="general" vertical="bottom" textRotation="0" wrapText="false" indent="0" shrinkToFit="false"/>
      <protection locked="true" hidden="false"/>
    </xf>
    <xf numFmtId="164" fontId="6" fillId="0" borderId="0" xfId="0" applyFont="true" applyBorder="false" applyAlignment="true" applyProtection="false">
      <alignment horizontal="general" vertical="bottom" textRotation="0" wrapText="false" indent="0" shrinkToFit="false"/>
      <protection locked="true" hidden="false"/>
    </xf>
    <xf numFmtId="164" fontId="7" fillId="0" borderId="0" xfId="0" applyFont="true" applyBorder="false" applyAlignment="true" applyProtection="false">
      <alignment horizontal="general" vertical="bottom" textRotation="0" wrapText="false" indent="0" shrinkToFit="false"/>
      <protection locked="true" hidden="false"/>
    </xf>
    <xf numFmtId="164" fontId="8" fillId="0" borderId="0" xfId="0" applyFont="true" applyBorder="false" applyAlignment="true" applyProtection="false">
      <alignment horizontal="general" vertical="top" textRotation="0" wrapText="true" indent="0" shrinkToFit="false"/>
      <protection locked="true" hidden="false"/>
    </xf>
    <xf numFmtId="164" fontId="7" fillId="0" borderId="0" xfId="0" applyFont="true" applyBorder="false" applyAlignment="false" applyProtection="false">
      <alignment horizontal="general" vertical="bottom" textRotation="0" wrapText="false" indent="0" shrinkToFit="false"/>
      <protection locked="true" hidden="false"/>
    </xf>
    <xf numFmtId="164" fontId="9" fillId="0" borderId="0" xfId="0" applyFont="true" applyBorder="false" applyAlignment="true" applyProtection="false">
      <alignment horizontal="general" vertical="bottom" textRotation="0" wrapText="false" indent="0" shrinkToFit="false"/>
      <protection locked="true" hidden="false"/>
    </xf>
    <xf numFmtId="164" fontId="8" fillId="0" borderId="0" xfId="0" applyFont="true" applyBorder="false" applyAlignment="true" applyProtection="false">
      <alignment horizontal="general" vertical="bottom" textRotation="0" wrapText="false" indent="0" shrinkToFit="false"/>
      <protection locked="true" hidden="false"/>
    </xf>
    <xf numFmtId="165" fontId="10" fillId="2" borderId="0" xfId="0" applyFont="true" applyBorder="false" applyAlignment="true" applyProtection="false">
      <alignment horizontal="general" vertical="bottom" textRotation="0" wrapText="false" indent="0" shrinkToFit="false"/>
      <protection locked="true" hidden="false"/>
    </xf>
    <xf numFmtId="164" fontId="8" fillId="0" borderId="0" xfId="0" applyFont="true" applyBorder="true" applyAlignment="true" applyProtection="false">
      <alignment horizontal="general" vertical="top" textRotation="0" wrapText="true" indent="0" shrinkToFit="false"/>
      <protection locked="true" hidden="false"/>
    </xf>
    <xf numFmtId="166" fontId="10" fillId="0" borderId="0" xfId="0" applyFont="true" applyBorder="false" applyAlignment="true" applyProtection="false">
      <alignment horizontal="general" vertical="bottom" textRotation="0" wrapText="false" indent="0" shrinkToFit="false"/>
      <protection locked="true" hidden="false"/>
    </xf>
    <xf numFmtId="166" fontId="8" fillId="0" borderId="0" xfId="0" applyFont="true" applyBorder="false" applyAlignment="true" applyProtection="false">
      <alignment horizontal="general" vertical="bottom" textRotation="0" wrapText="false" indent="0" shrinkToFit="false"/>
      <protection locked="true" hidden="false"/>
    </xf>
    <xf numFmtId="166" fontId="10" fillId="2" borderId="0" xfId="0" applyFont="true" applyBorder="false" applyAlignment="true" applyProtection="false">
      <alignment horizontal="general" vertical="bottom" textRotation="0" wrapText="false" indent="0" shrinkToFit="false"/>
      <protection locked="true" hidden="false"/>
    </xf>
    <xf numFmtId="167" fontId="10" fillId="2" borderId="0" xfId="0" applyFont="true" applyBorder="false" applyAlignment="true" applyProtection="false">
      <alignment horizontal="general" vertical="bottom" textRotation="0" wrapText="false" indent="0" shrinkToFit="false"/>
      <protection locked="true" hidden="false"/>
    </xf>
    <xf numFmtId="165" fontId="8" fillId="0" borderId="0" xfId="0" applyFont="true" applyBorder="false" applyAlignment="true" applyProtection="false">
      <alignment horizontal="general" vertical="bottom" textRotation="0" wrapText="false" indent="0" shrinkToFit="false"/>
      <protection locked="true" hidden="false"/>
    </xf>
    <xf numFmtId="164" fontId="11" fillId="3" borderId="0" xfId="0" applyFont="true" applyBorder="false" applyAlignment="true" applyProtection="false">
      <alignment horizontal="left" vertical="center" textRotation="0" wrapText="true" indent="0" shrinkToFit="false"/>
      <protection locked="true" hidden="false"/>
    </xf>
    <xf numFmtId="164" fontId="11" fillId="3" borderId="0" xfId="0" applyFont="true" applyBorder="false" applyAlignment="true" applyProtection="false">
      <alignment horizontal="center" vertical="center" textRotation="0" wrapText="true" indent="0" shrinkToFit="false"/>
      <protection locked="true" hidden="false"/>
    </xf>
    <xf numFmtId="164" fontId="8" fillId="0" borderId="1" xfId="0" applyFont="true" applyBorder="true" applyAlignment="true" applyProtection="false">
      <alignment horizontal="general" vertical="bottom" textRotation="0" wrapText="false" indent="0" shrinkToFit="false"/>
      <protection locked="true" hidden="false"/>
    </xf>
    <xf numFmtId="164" fontId="12" fillId="0" borderId="2" xfId="0" applyFont="true" applyBorder="true" applyAlignment="true" applyProtection="false">
      <alignment horizontal="general" vertical="bottom" textRotation="0" wrapText="false" indent="0" shrinkToFit="false"/>
      <protection locked="true" hidden="false"/>
    </xf>
    <xf numFmtId="165" fontId="12" fillId="0" borderId="2" xfId="0" applyFont="true" applyBorder="true" applyAlignment="true" applyProtection="false">
      <alignment horizontal="general" vertical="bottom" textRotation="0" wrapText="false" indent="0" shrinkToFit="false"/>
      <protection locked="true" hidden="false"/>
    </xf>
    <xf numFmtId="168" fontId="8" fillId="0" borderId="0" xfId="0" applyFont="true" applyBorder="false" applyAlignment="true" applyProtection="false">
      <alignment horizontal="general" vertical="bottom" textRotation="0" wrapText="false" indent="0" shrinkToFit="false"/>
      <protection locked="true" hidden="false"/>
    </xf>
    <xf numFmtId="164" fontId="12" fillId="0" borderId="0" xfId="0" applyFont="true" applyBorder="false" applyAlignment="true" applyProtection="false">
      <alignment horizontal="general" vertical="bottom" textRotation="0" wrapText="false" indent="0" shrinkToFit="false"/>
      <protection locked="true" hidden="false"/>
    </xf>
    <xf numFmtId="169" fontId="12" fillId="0" borderId="0" xfId="0" applyFont="true" applyBorder="false" applyAlignment="true" applyProtection="false">
      <alignment horizontal="general" vertical="bottom" textRotation="0" wrapText="false" indent="0" shrinkToFit="false"/>
      <protection locked="true" hidden="false"/>
    </xf>
    <xf numFmtId="165" fontId="10" fillId="0" borderId="0" xfId="0" applyFont="true" applyBorder="false" applyAlignment="true" applyProtection="false">
      <alignment horizontal="general" vertical="bottom" textRotation="0" wrapText="false" indent="0" shrinkToFit="false"/>
      <protection locked="true" hidden="false"/>
    </xf>
    <xf numFmtId="168" fontId="10" fillId="2" borderId="0" xfId="0" applyFont="true" applyBorder="false" applyAlignment="true" applyProtection="false">
      <alignment horizontal="general" vertical="bottom" textRotation="0" wrapText="false" indent="0" shrinkToFit="false"/>
      <protection locked="true" hidden="false"/>
    </xf>
    <xf numFmtId="167" fontId="10" fillId="0" borderId="0" xfId="0" applyFont="true" applyBorder="false" applyAlignment="true" applyProtection="false">
      <alignment horizontal="general" vertical="bottom" textRotation="0" wrapText="false" indent="0" shrinkToFit="false"/>
      <protection locked="true" hidden="false"/>
    </xf>
    <xf numFmtId="164" fontId="6" fillId="0" borderId="0" xfId="0" applyFont="true" applyBorder="true" applyAlignment="true" applyProtection="false">
      <alignment horizontal="general" vertical="bottom" textRotation="0" wrapText="false" indent="0" shrinkToFit="false"/>
      <protection locked="true" hidden="false"/>
    </xf>
    <xf numFmtId="169" fontId="8" fillId="0" borderId="0" xfId="0" applyFont="true" applyBorder="false" applyAlignment="true" applyProtection="false">
      <alignment horizontal="general" vertical="bottom" textRotation="0" wrapText="false" indent="0" shrinkToFit="false"/>
      <protection locked="true" hidden="false"/>
    </xf>
    <xf numFmtId="164" fontId="9" fillId="0" borderId="0" xfId="0" applyFont="true" applyBorder="false" applyAlignment="false" applyProtection="false">
      <alignment horizontal="general" vertical="bottom" textRotation="0" wrapText="false" indent="0" shrinkToFit="false"/>
      <protection locked="true" hidden="false"/>
    </xf>
    <xf numFmtId="164" fontId="13" fillId="0" borderId="0" xfId="0" applyFont="true" applyBorder="false" applyAlignment="false" applyProtection="false">
      <alignment horizontal="general" vertical="bottom" textRotation="0" wrapText="false" indent="0" shrinkToFit="false"/>
      <protection locked="true" hidden="false"/>
    </xf>
    <xf numFmtId="164" fontId="11" fillId="3" borderId="0" xfId="0" applyFont="true" applyBorder="false" applyAlignment="true" applyProtection="false">
      <alignment horizontal="general" vertical="center" textRotation="0" wrapText="true" indent="0" shrinkToFit="false"/>
      <protection locked="true" hidden="false"/>
    </xf>
    <xf numFmtId="164" fontId="8" fillId="0" borderId="0" xfId="0" applyFont="true" applyBorder="false" applyAlignment="false" applyProtection="false">
      <alignment horizontal="general" vertical="bottom" textRotation="0" wrapText="false" indent="0" shrinkToFit="false"/>
      <protection locked="true" hidden="false"/>
    </xf>
    <xf numFmtId="170" fontId="10" fillId="0" borderId="0" xfId="0" applyFont="true" applyBorder="false" applyAlignment="false" applyProtection="false">
      <alignment horizontal="general" vertical="bottom" textRotation="0" wrapText="false" indent="0" shrinkToFit="false"/>
      <protection locked="true" hidden="false"/>
    </xf>
    <xf numFmtId="165" fontId="10" fillId="0" borderId="0" xfId="0" applyFont="true" applyBorder="false" applyAlignment="false" applyProtection="false">
      <alignment horizontal="general" vertical="bottom" textRotation="0" wrapText="false" indent="0" shrinkToFit="false"/>
      <protection locked="true" hidden="false"/>
    </xf>
    <xf numFmtId="166" fontId="10" fillId="0" borderId="0" xfId="0" applyFont="true" applyBorder="false" applyAlignment="false" applyProtection="false">
      <alignment horizontal="general" vertical="bottom" textRotation="0" wrapText="false" indent="0" shrinkToFit="false"/>
      <protection locked="true" hidden="false"/>
    </xf>
    <xf numFmtId="165" fontId="8" fillId="0" borderId="0" xfId="0" applyFont="true" applyBorder="false" applyAlignment="false" applyProtection="false">
      <alignment horizontal="general" vertical="bottom" textRotation="0" wrapText="false" indent="0" shrinkToFit="false"/>
      <protection locked="true" hidden="false"/>
    </xf>
    <xf numFmtId="165" fontId="12" fillId="0" borderId="0" xfId="0" applyFont="true" applyBorder="false" applyAlignment="false" applyProtection="false">
      <alignment horizontal="general" vertical="bottom" textRotation="0" wrapText="false" indent="0" shrinkToFit="false"/>
      <protection locked="true" hidden="false"/>
    </xf>
    <xf numFmtId="169" fontId="8" fillId="0" borderId="0" xfId="0" applyFont="true" applyBorder="false" applyAlignment="false" applyProtection="false">
      <alignment horizontal="general" vertical="bottom" textRotation="0" wrapText="false" indent="0" shrinkToFit="false"/>
      <protection locked="true" hidden="false"/>
    </xf>
    <xf numFmtId="169" fontId="10" fillId="2" borderId="0" xfId="0" applyFont="true" applyBorder="false" applyAlignment="false" applyProtection="false">
      <alignment horizontal="general" vertical="bottom" textRotation="0" wrapText="false" indent="0" shrinkToFit="false"/>
      <protection locked="true" hidden="false"/>
    </xf>
    <xf numFmtId="165" fontId="10" fillId="2" borderId="0" xfId="0" applyFont="true" applyBorder="false" applyAlignment="false" applyProtection="false">
      <alignment horizontal="general" vertical="bottom" textRotation="0" wrapText="false" indent="0" shrinkToFit="false"/>
      <protection locked="true" hidden="false"/>
    </xf>
    <xf numFmtId="166" fontId="10" fillId="2" borderId="0" xfId="0" applyFont="true" applyBorder="false" applyAlignment="false" applyProtection="false">
      <alignment horizontal="general" vertical="bottom" textRotation="0" wrapText="false" indent="0" shrinkToFit="false"/>
      <protection locked="true" hidden="false"/>
    </xf>
    <xf numFmtId="167" fontId="10" fillId="2" borderId="0" xfId="0" applyFont="true" applyBorder="false" applyAlignment="false" applyProtection="false">
      <alignment horizontal="general" vertical="bottom" textRotation="0" wrapText="false" indent="0" shrinkToFit="false"/>
      <protection locked="true" hidden="false"/>
    </xf>
    <xf numFmtId="166" fontId="12" fillId="0" borderId="0" xfId="0" applyFont="true" applyBorder="false" applyAlignment="false" applyProtection="false">
      <alignment horizontal="general" vertical="bottom" textRotation="0" wrapText="false" indent="0" shrinkToFit="false"/>
      <protection locked="true" hidden="false"/>
    </xf>
    <xf numFmtId="169" fontId="12" fillId="0" borderId="0" xfId="0" applyFont="true" applyBorder="false" applyAlignment="false" applyProtection="false">
      <alignment horizontal="general" vertical="bottom" textRotation="0" wrapText="false" indent="0" shrinkToFit="false"/>
      <protection locked="true" hidden="false"/>
    </xf>
    <xf numFmtId="168" fontId="12" fillId="0" borderId="0" xfId="0" applyFont="true" applyBorder="false" applyAlignment="false" applyProtection="false">
      <alignment horizontal="general" vertical="bottom" textRotation="0" wrapText="false" indent="0" shrinkToFit="false"/>
      <protection locked="true" hidden="false"/>
    </xf>
    <xf numFmtId="168" fontId="8" fillId="0" borderId="0" xfId="0" applyFont="true" applyBorder="false" applyAlignment="false" applyProtection="false">
      <alignment horizontal="general" vertical="bottom" textRotation="0" wrapText="false" indent="0" shrinkToFit="false"/>
      <protection locked="true" hidden="false"/>
    </xf>
    <xf numFmtId="166" fontId="8" fillId="0" borderId="0" xfId="0" applyFont="true" applyBorder="false" applyAlignment="false" applyProtection="false">
      <alignment horizontal="general" vertical="bottom" textRotation="0" wrapText="false" indent="0" shrinkToFit="false"/>
      <protection locked="true" hidden="false"/>
    </xf>
    <xf numFmtId="164" fontId="14" fillId="0" borderId="0" xfId="0" applyFont="true" applyBorder="false" applyAlignment="true" applyProtection="false">
      <alignment horizontal="general" vertical="bottom" textRotation="0" wrapText="false" indent="0" shrinkToFit="false"/>
      <protection locked="true" hidden="false"/>
    </xf>
    <xf numFmtId="164" fontId="15" fillId="0" borderId="0" xfId="0" applyFont="true" applyBorder="false" applyAlignment="true" applyProtection="false">
      <alignment horizontal="general" vertical="bottom" textRotation="0" wrapText="false" indent="0" shrinkToFit="false"/>
      <protection locked="true" hidden="false"/>
    </xf>
    <xf numFmtId="165" fontId="16" fillId="0" borderId="0" xfId="0" applyFont="true" applyBorder="false" applyAlignment="true" applyProtection="false">
      <alignment horizontal="general" vertical="bottom" textRotation="0" wrapText="false" indent="0" shrinkToFit="false"/>
      <protection locked="true" hidden="false"/>
    </xf>
    <xf numFmtId="165" fontId="15" fillId="0" borderId="0" xfId="0" applyFont="true" applyBorder="false" applyAlignment="true" applyProtection="false">
      <alignment horizontal="general" vertical="bottom" textRotation="0" wrapText="false" indent="0" shrinkToFit="false"/>
      <protection locked="true" hidden="false"/>
    </xf>
    <xf numFmtId="164" fontId="17" fillId="0" borderId="0" xfId="0" applyFont="true" applyBorder="false" applyAlignment="true" applyProtection="false">
      <alignment horizontal="general" vertical="bottom" textRotation="0" wrapText="false" indent="0" shrinkToFit="false"/>
      <protection locked="true" hidden="false"/>
    </xf>
    <xf numFmtId="164" fontId="14" fillId="4" borderId="0" xfId="0" applyFont="true" applyBorder="false" applyAlignment="true" applyProtection="false">
      <alignment horizontal="general" vertical="bottom" textRotation="0" wrapText="false" indent="0" shrinkToFit="false"/>
      <protection locked="true" hidden="false"/>
    </xf>
    <xf numFmtId="164" fontId="15" fillId="4" borderId="0" xfId="0" applyFont="true" applyBorder="false" applyAlignment="true" applyProtection="false">
      <alignment horizontal="general" vertical="bottom" textRotation="0" wrapText="false" indent="0" shrinkToFit="false"/>
      <protection locked="true" hidden="false"/>
    </xf>
    <xf numFmtId="165" fontId="16" fillId="4" borderId="0" xfId="0" applyFont="true" applyBorder="false" applyAlignment="true" applyProtection="false">
      <alignment horizontal="general" vertical="bottom" textRotation="0" wrapText="false" indent="0" shrinkToFit="false"/>
      <protection locked="true" hidden="false"/>
    </xf>
    <xf numFmtId="165" fontId="15" fillId="4" borderId="0" xfId="0" applyFont="true" applyBorder="false" applyAlignment="true" applyProtection="false">
      <alignment horizontal="general" vertical="bottom" textRotation="0" wrapText="false" indent="0" shrinkToFit="false"/>
      <protection locked="true" hidden="false"/>
    </xf>
    <xf numFmtId="164" fontId="17" fillId="4" borderId="0" xfId="0" applyFont="true" applyBorder="false" applyAlignment="true" applyProtection="false">
      <alignment horizontal="general" vertical="bottom" textRotation="0" wrapText="false" indent="0" shrinkToFit="false"/>
      <protection locked="true" hidden="false"/>
    </xf>
    <xf numFmtId="168" fontId="16" fillId="4" borderId="0" xfId="0" applyFont="true" applyBorder="false" applyAlignment="true" applyProtection="false">
      <alignment horizontal="general" vertical="bottom" textRotation="0" wrapText="false" indent="0" shrinkToFit="false"/>
      <protection locked="true" hidden="false"/>
    </xf>
    <xf numFmtId="168" fontId="15" fillId="4" borderId="0" xfId="0" applyFont="true" applyBorder="false" applyAlignment="true" applyProtection="false">
      <alignment horizontal="general" vertical="bottom" textRotation="0" wrapText="false" indent="0" shrinkToFit="false"/>
      <protection locked="true" hidden="false"/>
    </xf>
    <xf numFmtId="168" fontId="16" fillId="0" borderId="0" xfId="0" applyFont="true" applyBorder="false" applyAlignment="true" applyProtection="false">
      <alignment horizontal="general" vertical="bottom" textRotation="0" wrapText="false" indent="0" shrinkToFit="false"/>
      <protection locked="true" hidden="false"/>
    </xf>
    <xf numFmtId="168" fontId="15" fillId="0" borderId="0" xfId="0" applyFont="true" applyBorder="false" applyAlignment="true" applyProtection="false">
      <alignment horizontal="general" vertical="bottom" textRotation="0" wrapText="false" indent="0" shrinkToFit="false"/>
      <protection locked="true" hidden="false"/>
    </xf>
    <xf numFmtId="169" fontId="16" fillId="0" borderId="0" xfId="0" applyFont="true" applyBorder="false" applyAlignment="true" applyProtection="false">
      <alignment horizontal="general" vertical="bottom" textRotation="0" wrapText="false" indent="0" shrinkToFit="false"/>
      <protection locked="true" hidden="false"/>
    </xf>
    <xf numFmtId="169" fontId="15" fillId="0" borderId="0" xfId="0" applyFont="true" applyBorder="false" applyAlignment="true" applyProtection="false">
      <alignment horizontal="general" vertical="bottom" textRotation="0" wrapText="false" indent="0" shrinkToFit="false"/>
      <protection locked="true" hidden="false"/>
    </xf>
    <xf numFmtId="169" fontId="16" fillId="4" borderId="0" xfId="0" applyFont="true" applyBorder="false" applyAlignment="true" applyProtection="false">
      <alignment horizontal="general" vertical="bottom" textRotation="0" wrapText="false" indent="0" shrinkToFit="false"/>
      <protection locked="true" hidden="false"/>
    </xf>
    <xf numFmtId="169" fontId="15" fillId="4" borderId="0" xfId="0" applyFont="true" applyBorder="false" applyAlignment="true" applyProtection="false">
      <alignment horizontal="general" vertical="bottom" textRotation="0" wrapText="false" indent="0" shrinkToFit="false"/>
      <protection locked="true" hidden="false"/>
    </xf>
    <xf numFmtId="164" fontId="14" fillId="4" borderId="0" xfId="0" applyFont="true" applyBorder="false" applyAlignment="false" applyProtection="false">
      <alignment horizontal="general" vertical="bottom" textRotation="0" wrapText="false" indent="0" shrinkToFit="false"/>
      <protection locked="true" hidden="false"/>
    </xf>
    <xf numFmtId="164" fontId="15" fillId="4" borderId="0" xfId="0" applyFont="true" applyBorder="false" applyAlignment="false" applyProtection="false">
      <alignment horizontal="general" vertical="bottom" textRotation="0" wrapText="false" indent="0" shrinkToFit="false"/>
      <protection locked="true" hidden="false"/>
    </xf>
    <xf numFmtId="165" fontId="16" fillId="4" borderId="0" xfId="0" applyFont="true" applyBorder="false" applyAlignment="false" applyProtection="false">
      <alignment horizontal="general" vertical="bottom" textRotation="0" wrapText="false" indent="0" shrinkToFit="false"/>
      <protection locked="true" hidden="false"/>
    </xf>
    <xf numFmtId="165" fontId="15" fillId="4" borderId="0" xfId="0" applyFont="true" applyBorder="false" applyAlignment="false" applyProtection="false">
      <alignment horizontal="general" vertical="bottom" textRotation="0" wrapText="false" indent="0" shrinkToFit="false"/>
      <protection locked="true" hidden="false"/>
    </xf>
    <xf numFmtId="164" fontId="17" fillId="4" borderId="0" xfId="0" applyFont="true" applyBorder="false" applyAlignment="false" applyProtection="false">
      <alignment horizontal="general" vertical="bottom" textRotation="0" wrapText="false" indent="0" shrinkToFit="false"/>
      <protection locked="true" hidden="false"/>
    </xf>
    <xf numFmtId="164" fontId="15" fillId="0" borderId="0" xfId="0" applyFont="true" applyBorder="false" applyAlignment="false" applyProtection="false">
      <alignment horizontal="general" vertical="bottom" textRotation="0" wrapText="false" indent="0" shrinkToFit="false"/>
      <protection locked="true" hidden="false"/>
    </xf>
    <xf numFmtId="165" fontId="15" fillId="0" borderId="0" xfId="0" applyFont="true" applyBorder="false" applyAlignment="false" applyProtection="false">
      <alignment horizontal="general" vertical="bottom" textRotation="0" wrapText="false" indent="0" shrinkToFit="false"/>
      <protection locked="true" hidden="false"/>
    </xf>
    <xf numFmtId="164" fontId="17" fillId="0" borderId="0" xfId="0" applyFont="true" applyBorder="false" applyAlignment="false" applyProtection="false">
      <alignment horizontal="general" vertical="bottom" textRotation="0" wrapText="false" indent="0" shrinkToFit="false"/>
      <protection locked="true" hidden="false"/>
    </xf>
    <xf numFmtId="164" fontId="14" fillId="0" borderId="0" xfId="0" applyFont="true" applyBorder="false" applyAlignment="false" applyProtection="false">
      <alignment horizontal="general" vertical="bottom" textRotation="0" wrapText="false" indent="0" shrinkToFit="false"/>
      <protection locked="true" hidden="false"/>
    </xf>
    <xf numFmtId="165" fontId="16" fillId="0" borderId="0" xfId="0" applyFont="true" applyBorder="false" applyAlignment="false" applyProtection="false">
      <alignment horizontal="general" vertical="bottom" textRotation="0" wrapText="false" indent="0" shrinkToFit="false"/>
      <protection locked="true" hidden="false"/>
    </xf>
    <xf numFmtId="164" fontId="18" fillId="0" borderId="0" xfId="0" applyFont="true" applyBorder="false" applyAlignment="false" applyProtection="false">
      <alignment horizontal="general" vertical="bottom" textRotation="0" wrapText="false" indent="0" shrinkToFit="false"/>
      <protection locked="true" hidden="false"/>
    </xf>
    <xf numFmtId="167" fontId="12" fillId="0" borderId="0" xfId="0" applyFont="true" applyBorder="false" applyAlignment="false" applyProtection="false">
      <alignment horizontal="general" vertical="bottom" textRotation="0" wrapText="false" indent="0" shrinkToFit="false"/>
      <protection locked="true" hidden="false"/>
    </xf>
    <xf numFmtId="164" fontId="12" fillId="0" borderId="0" xfId="0" applyFont="true" applyBorder="false" applyAlignment="false" applyProtection="false">
      <alignment horizontal="general" vertical="bottom" textRotation="0" wrapText="false" indent="0" shrinkToFit="false"/>
      <protection locked="true" hidden="false"/>
    </xf>
  </cellXfs>
  <cellStyles count="6">
    <cellStyle name="Normal" xfId="0" builtinId="0"/>
    <cellStyle name="Comma" xfId="15" builtinId="3"/>
    <cellStyle name="Comma [0]" xfId="16" builtinId="6"/>
    <cellStyle name="Currency" xfId="17" builtinId="4"/>
    <cellStyle name="Currency [0]" xfId="18" builtinId="7"/>
    <cellStyle name="Percent" xfId="19" builtinId="5"/>
  </cellStyles>
  <colors>
    <indexedColors>
      <rgbColor rgb="FF000000"/>
      <rgbColor rgb="FFFFFFFF"/>
      <rgbColor rgb="FFFF0000"/>
      <rgbColor rgb="FF00FF00"/>
      <rgbColor rgb="FF0000FF"/>
      <rgbColor rgb="FFFFFF00"/>
      <rgbColor rgb="FFFF00FF"/>
      <rgbColor rgb="FF00FFFF"/>
      <rgbColor rgb="FF800000"/>
      <rgbColor rgb="FF008000"/>
      <rgbColor rgb="FF000080"/>
      <rgbColor rgb="FF8C5A00"/>
      <rgbColor rgb="FF800080"/>
      <rgbColor rgb="FF008080"/>
      <rgbColor rgb="FFBFBFBF"/>
      <rgbColor rgb="FF808080"/>
      <rgbColor rgb="FF9999FF"/>
      <rgbColor rgb="FF993366"/>
      <rgbColor rgb="FFF2F2F2"/>
      <rgbColor rgb="FFCCFFFF"/>
      <rgbColor rgb="FF660066"/>
      <rgbColor rgb="FFFF8080"/>
      <rgbColor rgb="FF0066CC"/>
      <rgbColor rgb="FFCCCCFF"/>
      <rgbColor rgb="FF000080"/>
      <rgbColor rgb="FFFF00FF"/>
      <rgbColor rgb="FFFFFF00"/>
      <rgbColor rgb="FF00FFFF"/>
      <rgbColor rgb="FF800080"/>
      <rgbColor rgb="FF800000"/>
      <rgbColor rgb="FF008080"/>
      <rgbColor rgb="FF0000FF"/>
      <rgbColor rgb="FF00CCFF"/>
      <rgbColor rgb="FFCCFFFF"/>
      <rgbColor rgb="FFCCFFCC"/>
      <rgbColor rgb="FFFFFF99"/>
      <rgbColor rgb="FF99CCFF"/>
      <rgbColor rgb="FFFF99CC"/>
      <rgbColor rgb="FFCC99FF"/>
      <rgbColor rgb="FFFFCC99"/>
      <rgbColor rgb="FF3366FF"/>
      <rgbColor rgb="FF33CCCC"/>
      <rgbColor rgb="FF99CC00"/>
      <rgbColor rgb="FFFFCC00"/>
      <rgbColor rgb="FFFF9900"/>
      <rgbColor rgb="FFFF6600"/>
      <rgbColor rgb="FF595959"/>
      <rgbColor rgb="FF969696"/>
      <rgbColor rgb="FF003366"/>
      <rgbColor rgb="FF339966"/>
      <rgbColor rgb="FF14171D"/>
      <rgbColor rgb="FF333300"/>
      <rgbColor rgb="FF993300"/>
      <rgbColor rgb="FF993366"/>
      <rgbColor rgb="FF333399"/>
      <rgbColor rgb="FF333333"/>
    </indexedColors>
  </colors>
</styleSheet>
</file>

<file path=xl/_rels/workbook.xml.rels><?xml version="1.0" encoding="UTF-8"?>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worksheet" Target="worksheets/sheet1.xml"/><Relationship Id="rId4" Type="http://schemas.openxmlformats.org/officeDocument/2006/relationships/worksheet" Target="worksheets/sheet2.xml"/><Relationship Id="rId5" Type="http://schemas.openxmlformats.org/officeDocument/2006/relationships/worksheet" Target="worksheets/sheet3.xml"/><Relationship Id="rId6" Type="http://schemas.openxmlformats.org/officeDocument/2006/relationships/worksheet" Target="worksheets/sheet4.xml"/><Relationship Id="rId7" Type="http://schemas.openxmlformats.org/officeDocument/2006/relationships/worksheet" Target="worksheets/sheet5.xml"/><Relationship Id="rId8" Type="http://schemas.openxmlformats.org/officeDocument/2006/relationships/worksheet" Target="worksheets/sheet6.xml"/><Relationship Id="rId9" Type="http://schemas.openxmlformats.org/officeDocument/2006/relationships/worksheet" Target="worksheets/sheet7.xml"/><Relationship Id="rId10" Type="http://schemas.openxmlformats.org/officeDocument/2006/relationships/worksheet" Target="worksheets/sheet8.xml"/><Relationship Id="rId11" Type="http://schemas.openxmlformats.org/officeDocument/2006/relationships/worksheet" Target="worksheets/sheet9.xml"/><Relationship Id="rId12" Type="http://schemas.openxmlformats.org/officeDocument/2006/relationships/sharedStrings" Target="sharedStrings.xml"/>
</Relationships>
</file>

<file path=xl/theme/theme1.xml><?xml version="1.0" encoding="utf-8"?>
<a:theme xmlns:a="http://schemas.openxmlformats.org/drawingml/2006/main" xmlns:r="http://schemas.openxmlformats.org/officeDocument/2006/relationships" name="Office Theme">
  <a:themeElements>
    <a:clrScheme name="Offic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itchFamily="0" charset="1"/>
        <a:ea typeface=""/>
        <a:cs typeface=""/>
      </a:majorFont>
      <a:minorFont>
        <a:latin typeface="Calibri" pitchFamily="0" charset="1"/>
        <a:ea typeface=""/>
        <a:cs typeface=""/>
      </a:minorFont>
    </a:fontScheme>
    <a:fmtScheme>
      <a:fillStyleLst>
        <a:solidFill>
          <a:schemeClr val="phClr"/>
        </a:solidFill>
        <a:gradFill>
          <a:gsLst>
            <a:gs pos="0">
              <a:schemeClr val="phClr">
                <a:tint val="50000"/>
              </a:schemeClr>
            </a:gs>
            <a:gs pos="35000">
              <a:schemeClr val="phClr">
                <a:tint val="37000"/>
              </a:schemeClr>
            </a:gs>
            <a:gs pos="100000">
              <a:schemeClr val="phClr">
                <a:tint val="15000"/>
              </a:schemeClr>
            </a:gs>
          </a:gsLst>
          <a:lin ang="16200000" scaled="1"/>
          <a:tileRect l="0" t="0" r="0" b="0"/>
        </a:gradFill>
        <a:gradFill>
          <a:gsLst>
            <a:gs pos="0">
              <a:schemeClr val="phClr">
                <a:shade val="51000"/>
              </a:schemeClr>
            </a:gs>
            <a:gs pos="80000">
              <a:schemeClr val="phClr">
                <a:shade val="93000"/>
              </a:schemeClr>
            </a:gs>
            <a:gs pos="100000">
              <a:schemeClr val="phClr">
                <a:shade val="94000"/>
              </a:schemeClr>
            </a:gs>
          </a:gsLst>
          <a:lin ang="16200000" scaled="0"/>
          <a:tileRect l="0" t="0" r="0" b="0"/>
        </a:gradFill>
      </a:fillStyleLst>
      <a:lnStyleLst>
        <a:ln w="9525" cap="flat" cmpd="sng" algn="ctr">
          <a:prstDash val="solid"/>
        </a:ln>
        <a:ln w="25400" cap="flat" cmpd="sng" algn="ctr">
          <a:prstDash val="solid"/>
        </a:ln>
        <a:ln w="38100" cap="flat" cmpd="sng" algn="ctr">
          <a:prstDash val="solid"/>
        </a:ln>
      </a:lnStyleLst>
      <a:effectStyleLst>
        <a:effectStyle>
          <a:effectLst/>
        </a:effectStyle>
        <a:effectStyle>
          <a:effectLst/>
        </a:effectStyle>
        <a:effectStyle>
          <a:effectLst/>
        </a:effectStyle>
      </a:effectStyleLst>
      <a:bgFillStyleLst>
        <a:solidFill>
          <a:schemeClr val="phClr"/>
        </a:solidFill>
        <a:gradFill>
          <a:gsLst>
            <a:gs pos="0">
              <a:schemeClr val="phClr">
                <a:tint val="40000"/>
              </a:schemeClr>
            </a:gs>
            <a:gs pos="40000">
              <a:schemeClr val="phClr">
                <a:tint val="45000"/>
                <a:shade val="99000"/>
              </a:schemeClr>
            </a:gs>
            <a:gs pos="100000">
              <a:schemeClr val="phClr">
                <a:shade val="20000"/>
              </a:schemeClr>
            </a:gs>
          </a:gsLst>
          <a:path path="circle">
            <a:fillToRect l="50000" t="-80000" r="50000" b="180000"/>
          </a:path>
          <a:tileRect l="0" t="0" r="0" b="0"/>
        </a:gradFill>
        <a:gradFill>
          <a:gsLst>
            <a:gs pos="0">
              <a:schemeClr val="phClr">
                <a:tint val="80000"/>
              </a:schemeClr>
            </a:gs>
            <a:gs pos="100000">
              <a:schemeClr val="phClr">
                <a:shade val="30000"/>
              </a:schemeClr>
            </a:gs>
          </a:gsLst>
          <a:path path="circle">
            <a:fillToRect l="50000" t="50000" r="50000" b="50000"/>
          </a:path>
          <a:tileRect l="0" t="0" r="0" b="0"/>
        </a:gradFill>
      </a:bgFillStyleLst>
    </a:fmtScheme>
  </a:themeElemen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B2:B28"/>
  <sheetViews>
    <sheetView showFormulas="false" showGridLines="false" showRowColHeaders="true" showZeros="true" rightToLeft="false" tabSelected="tru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1" width="3"/>
    <col collapsed="false" customWidth="true" hidden="false" outlineLevel="0" max="2" min="2" style="1" width="104"/>
  </cols>
  <sheetData>
    <row r="2" customFormat="false" ht="18" hidden="false" customHeight="true" outlineLevel="0" collapsed="false">
      <c r="B2" s="2" t="s">
        <v>0</v>
      </c>
    </row>
    <row r="3" customFormat="false" ht="15" hidden="false" customHeight="true" outlineLevel="0" collapsed="false">
      <c r="B3" s="3" t="s">
        <v>1</v>
      </c>
    </row>
    <row r="4" customFormat="false" ht="15" hidden="false" customHeight="true" outlineLevel="0" collapsed="false">
      <c r="B4" s="4" t="s">
        <v>2</v>
      </c>
    </row>
    <row r="6" customFormat="false" ht="15" hidden="false" customHeight="true" outlineLevel="0" collapsed="false">
      <c r="B6" s="5" t="s">
        <v>3</v>
      </c>
    </row>
    <row r="7" customFormat="false" ht="58.5" hidden="false" customHeight="true" outlineLevel="0" collapsed="false">
      <c r="B7" s="6" t="s">
        <v>4</v>
      </c>
    </row>
    <row r="9" customFormat="false" ht="15" hidden="false" customHeight="true" outlineLevel="0" collapsed="false">
      <c r="B9" s="5" t="s">
        <v>5</v>
      </c>
    </row>
    <row r="10" customFormat="false" ht="73.5" hidden="false" customHeight="true" outlineLevel="0" collapsed="false">
      <c r="B10" s="6" t="s">
        <v>6</v>
      </c>
    </row>
    <row r="12" customFormat="false" ht="15" hidden="false" customHeight="true" outlineLevel="0" collapsed="false">
      <c r="B12" s="5" t="s">
        <v>7</v>
      </c>
    </row>
    <row r="13" customFormat="false" ht="88.5" hidden="false" customHeight="true" outlineLevel="0" collapsed="false">
      <c r="B13" s="6" t="s">
        <v>8</v>
      </c>
    </row>
    <row r="15" customFormat="false" ht="15" hidden="false" customHeight="true" outlineLevel="0" collapsed="false">
      <c r="B15" s="5" t="s">
        <v>9</v>
      </c>
    </row>
    <row r="16" customFormat="false" ht="43.5" hidden="false" customHeight="true" outlineLevel="0" collapsed="false">
      <c r="B16" s="6" t="s">
        <v>10</v>
      </c>
    </row>
    <row r="18" customFormat="false" ht="15" hidden="false" customHeight="true" outlineLevel="0" collapsed="false">
      <c r="B18" s="5" t="s">
        <v>11</v>
      </c>
    </row>
    <row r="19" customFormat="false" ht="58.5" hidden="false" customHeight="true" outlineLevel="0" collapsed="false">
      <c r="B19" s="6" t="s">
        <v>12</v>
      </c>
    </row>
    <row r="21" customFormat="false" ht="15" hidden="false" customHeight="true" outlineLevel="0" collapsed="false">
      <c r="B21" s="5" t="s">
        <v>13</v>
      </c>
    </row>
    <row r="22" customFormat="false" ht="58.5" hidden="false" customHeight="true" outlineLevel="0" collapsed="false">
      <c r="B22" s="6" t="s">
        <v>14</v>
      </c>
    </row>
    <row r="25" customFormat="false" ht="15" hidden="false" customHeight="true" outlineLevel="0" collapsed="false">
      <c r="B25" s="4" t="s">
        <v>15</v>
      </c>
    </row>
    <row r="27" customFormat="false" ht="15" hidden="false" customHeight="false" outlineLevel="0" collapsed="false">
      <c r="B27" s="7" t="s">
        <v>16</v>
      </c>
    </row>
    <row r="28" customFormat="false" ht="156" hidden="false" customHeight="true" outlineLevel="0" collapsed="false">
      <c r="B28" s="6" t="s">
        <v>17</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H56"/>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pane xSplit="0" ySplit="4" topLeftCell="A5" activePane="bottomLeft" state="frozen"/>
      <selection pane="topLeft" activeCell="A1" activeCellId="0" sqref="A1"/>
      <selection pane="bottomLeft" activeCell="A1" activeCellId="0" sqref="A1"/>
    </sheetView>
  </sheetViews>
  <sheetFormatPr defaultColWidth="8.6796875" defaultRowHeight="15" zeroHeight="false" outlineLevelRow="0" outlineLevelCol="0"/>
  <cols>
    <col collapsed="false" customWidth="true" hidden="false" outlineLevel="0" max="1" min="1" style="1" width="42"/>
    <col collapsed="false" customWidth="true" hidden="false" outlineLevel="0" max="5" min="2" style="1" width="15"/>
    <col collapsed="false" customWidth="true" hidden="false" outlineLevel="0" max="6" min="6" style="1" width="17"/>
    <col collapsed="false" customWidth="true" hidden="false" outlineLevel="0" max="7" min="7" style="1" width="3"/>
    <col collapsed="false" customWidth="true" hidden="false" outlineLevel="0" max="8" min="8" style="1" width="46"/>
  </cols>
  <sheetData>
    <row r="1" customFormat="false" ht="17.25" hidden="false" customHeight="true" outlineLevel="0" collapsed="false">
      <c r="A1" s="8" t="s">
        <v>18</v>
      </c>
    </row>
    <row r="2" customFormat="false" ht="15" hidden="false" customHeight="true" outlineLevel="0" collapsed="false">
      <c r="A2" s="4" t="s">
        <v>19</v>
      </c>
    </row>
    <row r="4" customFormat="false" ht="15" hidden="false" customHeight="true" outlineLevel="0" collapsed="false">
      <c r="A4" s="5" t="s">
        <v>20</v>
      </c>
      <c r="H4" s="5" t="s">
        <v>21</v>
      </c>
    </row>
    <row r="5" customFormat="false" ht="15" hidden="false" customHeight="true" outlineLevel="0" collapsed="false">
      <c r="A5" s="9" t="s">
        <v>22</v>
      </c>
      <c r="B5" s="10" t="n">
        <v>100</v>
      </c>
      <c r="H5" s="11" t="s">
        <v>23</v>
      </c>
    </row>
    <row r="6" customFormat="false" ht="15" hidden="false" customHeight="true" outlineLevel="0" collapsed="false">
      <c r="A6" s="9" t="s">
        <v>24</v>
      </c>
      <c r="B6" s="12" t="n">
        <v>0.9</v>
      </c>
      <c r="H6" s="11"/>
    </row>
    <row r="7" customFormat="false" ht="15" hidden="false" customHeight="true" outlineLevel="0" collapsed="false">
      <c r="A7" s="9" t="s">
        <v>25</v>
      </c>
      <c r="B7" s="13" t="n">
        <f aca="false">1-B6</f>
        <v>0.1</v>
      </c>
      <c r="H7" s="11"/>
    </row>
    <row r="8" customFormat="false" ht="15" hidden="false" customHeight="true" outlineLevel="0" collapsed="false">
      <c r="A8" s="9" t="s">
        <v>26</v>
      </c>
      <c r="B8" s="14" t="n">
        <v>0.08</v>
      </c>
      <c r="H8" s="11"/>
    </row>
    <row r="9" customFormat="false" ht="15" hidden="false" customHeight="true" outlineLevel="0" collapsed="false">
      <c r="A9" s="9" t="s">
        <v>27</v>
      </c>
      <c r="B9" s="14" t="n">
        <v>0.5</v>
      </c>
      <c r="H9" s="11"/>
    </row>
    <row r="10" customFormat="false" ht="15" hidden="false" customHeight="true" outlineLevel="0" collapsed="false">
      <c r="A10" s="9" t="s">
        <v>28</v>
      </c>
      <c r="B10" s="14" t="n">
        <v>0.2</v>
      </c>
      <c r="H10" s="11"/>
    </row>
    <row r="11" customFormat="false" ht="15" hidden="false" customHeight="true" outlineLevel="0" collapsed="false">
      <c r="A11" s="9" t="s">
        <v>29</v>
      </c>
      <c r="B11" s="14" t="n">
        <v>0.14</v>
      </c>
      <c r="H11" s="11"/>
    </row>
    <row r="12" customFormat="false" ht="15" hidden="false" customHeight="true" outlineLevel="0" collapsed="false">
      <c r="A12" s="9" t="s">
        <v>30</v>
      </c>
      <c r="B12" s="14" t="n">
        <v>0.2</v>
      </c>
      <c r="H12" s="11"/>
    </row>
    <row r="13" customFormat="false" ht="15" hidden="false" customHeight="true" outlineLevel="0" collapsed="false">
      <c r="A13" s="9" t="s">
        <v>31</v>
      </c>
      <c r="B13" s="14" t="n">
        <v>0.3</v>
      </c>
      <c r="H13" s="11"/>
    </row>
    <row r="14" customFormat="false" ht="15" hidden="false" customHeight="true" outlineLevel="0" collapsed="false">
      <c r="A14" s="9" t="s">
        <v>32</v>
      </c>
      <c r="B14" s="15" t="n">
        <v>5</v>
      </c>
      <c r="H14" s="11"/>
    </row>
    <row r="15" customFormat="false" ht="15" hidden="false" customHeight="true" outlineLevel="0" collapsed="false">
      <c r="A15" s="9" t="s">
        <v>33</v>
      </c>
      <c r="B15" s="10" t="n">
        <v>250</v>
      </c>
      <c r="H15" s="11"/>
    </row>
    <row r="16" customFormat="false" ht="15" hidden="false" customHeight="true" outlineLevel="0" collapsed="false">
      <c r="H16" s="11"/>
    </row>
    <row r="17" customFormat="false" ht="15" hidden="false" customHeight="true" outlineLevel="0" collapsed="false">
      <c r="A17" s="5" t="s">
        <v>34</v>
      </c>
      <c r="H17" s="11"/>
    </row>
    <row r="18" customFormat="false" ht="15" hidden="false" customHeight="true" outlineLevel="0" collapsed="false">
      <c r="A18" s="9" t="s">
        <v>35</v>
      </c>
      <c r="B18" s="16" t="n">
        <f aca="false">B5*((1+B8)^B14-1)</f>
        <v>46.9328076800001</v>
      </c>
      <c r="C18" s="4" t="s">
        <v>36</v>
      </c>
      <c r="H18" s="11"/>
    </row>
    <row r="19" customFormat="false" ht="15" hidden="false" customHeight="true" outlineLevel="0" collapsed="false">
      <c r="A19" s="9" t="s">
        <v>37</v>
      </c>
      <c r="B19" s="16" t="n">
        <f aca="false">IF(B9&lt;=B10,"n/a",B10*B18/(B9-B10))</f>
        <v>31.2885384533334</v>
      </c>
      <c r="C19" s="4" t="s">
        <v>38</v>
      </c>
      <c r="H19" s="11"/>
    </row>
    <row r="20" customFormat="false" ht="15" hidden="false" customHeight="true" outlineLevel="0" collapsed="false">
      <c r="A20" s="9" t="s">
        <v>39</v>
      </c>
      <c r="B20" s="16" t="n">
        <f aca="false">IF(ISNUMBER(B19),B19*B9,0)</f>
        <v>15.6442692266667</v>
      </c>
      <c r="C20" s="4"/>
      <c r="H20" s="11"/>
    </row>
    <row r="21" customFormat="false" ht="15" hidden="false" customHeight="true" outlineLevel="0" collapsed="false">
      <c r="A21" s="9" t="s">
        <v>40</v>
      </c>
      <c r="B21" s="16" t="n">
        <f aca="false">B5*(1+B11)^B14</f>
        <v>192.54145824</v>
      </c>
      <c r="C21" s="4" t="s">
        <v>41</v>
      </c>
      <c r="H21" s="11"/>
    </row>
    <row r="22" customFormat="false" ht="15" hidden="false" customHeight="true" outlineLevel="0" collapsed="false">
      <c r="H22" s="11"/>
    </row>
    <row r="23" customFormat="false" ht="15" hidden="false" customHeight="true" outlineLevel="0" collapsed="false">
      <c r="A23" s="5" t="s">
        <v>42</v>
      </c>
      <c r="H23" s="11"/>
    </row>
    <row r="24" customFormat="false" ht="27.75" hidden="false" customHeight="true" outlineLevel="0" collapsed="false">
      <c r="A24" s="17" t="s">
        <v>43</v>
      </c>
      <c r="B24" s="18" t="s">
        <v>44</v>
      </c>
      <c r="C24" s="18" t="s">
        <v>45</v>
      </c>
      <c r="D24" s="18" t="s">
        <v>46</v>
      </c>
      <c r="E24" s="18" t="s">
        <v>47</v>
      </c>
      <c r="F24" s="18" t="s">
        <v>48</v>
      </c>
      <c r="H24" s="11"/>
    </row>
    <row r="25" customFormat="false" ht="15" hidden="false" customHeight="true" outlineLevel="0" collapsed="false">
      <c r="A25" s="19" t="s">
        <v>49</v>
      </c>
      <c r="B25" s="16" t="n">
        <f aca="false">B15</f>
        <v>250</v>
      </c>
      <c r="C25" s="16" t="n">
        <f aca="false">MIN(B25,$B$5)</f>
        <v>100</v>
      </c>
      <c r="D25" s="16" t="n">
        <f aca="false">C25</f>
        <v>100</v>
      </c>
      <c r="E25" s="16" t="n">
        <f aca="false">0</f>
        <v>0</v>
      </c>
      <c r="F25" s="16" t="n">
        <f aca="false">D25</f>
        <v>100</v>
      </c>
      <c r="H25" s="11"/>
    </row>
    <row r="26" customFormat="false" ht="15" hidden="false" customHeight="true" outlineLevel="0" collapsed="false">
      <c r="A26" s="19" t="s">
        <v>50</v>
      </c>
      <c r="B26" s="16" t="n">
        <f aca="false">B25-C25</f>
        <v>150</v>
      </c>
      <c r="C26" s="16" t="n">
        <f aca="false">MIN(B26,$B$18)</f>
        <v>46.9328076800001</v>
      </c>
      <c r="D26" s="16" t="n">
        <f aca="false">C26</f>
        <v>46.9328076800001</v>
      </c>
      <c r="E26" s="16" t="n">
        <f aca="false">0</f>
        <v>0</v>
      </c>
      <c r="F26" s="16" t="n">
        <f aca="false">F25+D26</f>
        <v>146.93280768</v>
      </c>
      <c r="H26" s="11"/>
    </row>
    <row r="27" customFormat="false" ht="15" hidden="false" customHeight="true" outlineLevel="0" collapsed="false">
      <c r="A27" s="19" t="s">
        <v>51</v>
      </c>
      <c r="B27" s="16" t="n">
        <f aca="false">B26-C26</f>
        <v>103.06719232</v>
      </c>
      <c r="C27" s="16" t="n">
        <f aca="false">IF(ISNUMBER($B$19),MIN(B27,$B$19),0)</f>
        <v>31.2885384533334</v>
      </c>
      <c r="D27" s="16" t="n">
        <f aca="false">C27*(1-$B$9)</f>
        <v>15.6442692266667</v>
      </c>
      <c r="E27" s="16" t="n">
        <f aca="false">C27*$B$9</f>
        <v>15.6442692266667</v>
      </c>
      <c r="F27" s="16" t="n">
        <f aca="false">F26+D27</f>
        <v>162.577076906667</v>
      </c>
      <c r="H27" s="11"/>
    </row>
    <row r="28" customFormat="false" ht="15" hidden="false" customHeight="true" outlineLevel="0" collapsed="false">
      <c r="A28" s="19" t="s">
        <v>52</v>
      </c>
      <c r="B28" s="16" t="n">
        <f aca="false">B27-C27</f>
        <v>71.7786538666666</v>
      </c>
      <c r="C28" s="16" t="n">
        <f aca="false">MIN(B28,MAX(0,($B$21-F27)/(1-$B$12)))</f>
        <v>37.4554766666667</v>
      </c>
      <c r="D28" s="16" t="n">
        <f aca="false">C28*(1-$B$12)</f>
        <v>29.9643813333334</v>
      </c>
      <c r="E28" s="16" t="n">
        <f aca="false">C28*$B$12</f>
        <v>7.49109533333334</v>
      </c>
      <c r="F28" s="16" t="n">
        <f aca="false">F27+D28</f>
        <v>192.54145824</v>
      </c>
      <c r="H28" s="11"/>
    </row>
    <row r="29" customFormat="false" ht="15" hidden="false" customHeight="true" outlineLevel="0" collapsed="false">
      <c r="A29" s="19" t="s">
        <v>53</v>
      </c>
      <c r="B29" s="16" t="n">
        <f aca="false">B28-C28</f>
        <v>34.3231771999999</v>
      </c>
      <c r="C29" s="16" t="n">
        <f aca="false">B29</f>
        <v>34.3231771999999</v>
      </c>
      <c r="D29" s="16" t="n">
        <f aca="false">C29*(1-$B$13)</f>
        <v>24.0262240399999</v>
      </c>
      <c r="E29" s="16" t="n">
        <f aca="false">C29*$B$13</f>
        <v>10.29695316</v>
      </c>
      <c r="F29" s="16" t="n">
        <f aca="false">F28+D29</f>
        <v>216.56768228</v>
      </c>
      <c r="H29" s="11"/>
    </row>
    <row r="30" customFormat="false" ht="15" hidden="false" customHeight="true" outlineLevel="0" collapsed="false">
      <c r="A30" s="20" t="s">
        <v>54</v>
      </c>
      <c r="B30" s="21" t="n">
        <f aca="false">B15</f>
        <v>250</v>
      </c>
      <c r="C30" s="21" t="n">
        <f aca="false">SUM(C25:C29)</f>
        <v>250</v>
      </c>
      <c r="D30" s="21" t="n">
        <f aca="false">SUM(D25:D29)</f>
        <v>216.56768228</v>
      </c>
      <c r="E30" s="21" t="n">
        <f aca="false">SUM(E25:E29)</f>
        <v>33.43231772</v>
      </c>
      <c r="F30" s="21" t="n">
        <f aca="false">F29</f>
        <v>216.56768228</v>
      </c>
      <c r="H30" s="11"/>
    </row>
    <row r="31" customFormat="false" ht="15" hidden="false" customHeight="true" outlineLevel="0" collapsed="false">
      <c r="A31" s="4" t="s">
        <v>55</v>
      </c>
      <c r="C31" s="4" t="str">
        <f aca="false">IF(ABS(C30-B15)&lt;0.005,"balances","OUT BY "&amp;TEXT(C30-B15,"0.00"))</f>
        <v>balances</v>
      </c>
    </row>
    <row r="33" customFormat="false" ht="15" hidden="false" customHeight="true" outlineLevel="0" collapsed="false">
      <c r="A33" s="5" t="s">
        <v>56</v>
      </c>
    </row>
    <row r="34" customFormat="false" ht="15" hidden="false" customHeight="true" outlineLevel="0" collapsed="false">
      <c r="A34" s="9" t="s">
        <v>57</v>
      </c>
      <c r="B34" s="16" t="n">
        <f aca="false">D30</f>
        <v>216.56768228</v>
      </c>
    </row>
    <row r="35" customFormat="false" ht="15" hidden="false" customHeight="true" outlineLevel="0" collapsed="false">
      <c r="A35" s="9" t="s">
        <v>58</v>
      </c>
      <c r="B35" s="16" t="n">
        <f aca="false">D30*B6</f>
        <v>194.910914052</v>
      </c>
    </row>
    <row r="36" customFormat="false" ht="15" hidden="false" customHeight="true" outlineLevel="0" collapsed="false">
      <c r="A36" s="9" t="s">
        <v>59</v>
      </c>
      <c r="B36" s="16" t="n">
        <f aca="false">D30*B7</f>
        <v>21.656768228</v>
      </c>
    </row>
    <row r="37" customFormat="false" ht="15" hidden="false" customHeight="true" outlineLevel="0" collapsed="false">
      <c r="A37" s="9" t="s">
        <v>60</v>
      </c>
      <c r="B37" s="16" t="n">
        <f aca="false">E30</f>
        <v>33.43231772</v>
      </c>
    </row>
    <row r="38" customFormat="false" ht="15" hidden="false" customHeight="true" outlineLevel="0" collapsed="false">
      <c r="A38" s="9" t="s">
        <v>61</v>
      </c>
      <c r="B38" s="16" t="n">
        <f aca="false">D30*B7+E30</f>
        <v>55.089085948</v>
      </c>
    </row>
    <row r="39" customFormat="false" ht="15" hidden="false" customHeight="true" outlineLevel="0" collapsed="false">
      <c r="A39" s="9" t="s">
        <v>62</v>
      </c>
      <c r="B39" s="22" t="n">
        <f aca="false">IF(B5*B7=0,"",(D30*B7+E30)/(B5*B7))</f>
        <v>5.5089085948</v>
      </c>
    </row>
    <row r="40" customFormat="false" ht="15" hidden="false" customHeight="true" outlineLevel="0" collapsed="false">
      <c r="A40" s="9" t="s">
        <v>63</v>
      </c>
      <c r="B40" s="22" t="n">
        <f aca="false">IF(B5*B6=0,"",(D30*B6)/(B5*B6))</f>
        <v>2.1656768228</v>
      </c>
    </row>
    <row r="41" customFormat="false" ht="15" hidden="false" customHeight="true" outlineLevel="0" collapsed="false">
      <c r="A41" s="23" t="s">
        <v>64</v>
      </c>
      <c r="B41" s="24" t="n">
        <f aca="false">IF(B5*B6&lt;=0,"",((D30*B6)/(B5*B6))^(1/B14)-1)</f>
        <v>0.167128649306823</v>
      </c>
    </row>
    <row r="42" customFormat="false" ht="15" hidden="false" customHeight="true" outlineLevel="0" collapsed="false">
      <c r="A42" s="23" t="s">
        <v>65</v>
      </c>
      <c r="B42" s="24" t="n">
        <f aca="false">IF(B5*B6&lt;=0,"",((B15*B6)/(B5*B6))^(1/B14)-1)</f>
        <v>0.201124433981431</v>
      </c>
    </row>
    <row r="43" customFormat="false" ht="15" hidden="false" customHeight="true" outlineLevel="0" collapsed="false">
      <c r="A43" s="23" t="s">
        <v>66</v>
      </c>
      <c r="B43" s="24" t="n">
        <f aca="false">IF(B5*B6&lt;=0,"",((B15*B6)/(B5*B6))^(1/B14)-((D30*B6)/(B5*B6))^(1/B14))</f>
        <v>0.0339957846746086</v>
      </c>
    </row>
    <row r="44" customFormat="false" ht="15" hidden="false" customHeight="true" outlineLevel="0" collapsed="false">
      <c r="A44" s="9" t="s">
        <v>67</v>
      </c>
      <c r="B44" s="22" t="n">
        <f aca="false">B15/B5</f>
        <v>2.5</v>
      </c>
    </row>
    <row r="45" customFormat="false" ht="15" hidden="false" customHeight="true" outlineLevel="0" collapsed="false">
      <c r="A45" s="9" t="s">
        <v>68</v>
      </c>
      <c r="B45" s="13" t="n">
        <f aca="false">IF(B15&lt;=B5,"",E30/(B15-B5))</f>
        <v>0.222882118133333</v>
      </c>
    </row>
    <row r="47" customFormat="false" ht="15" hidden="false" customHeight="true" outlineLevel="0" collapsed="false">
      <c r="A47" s="5" t="s">
        <v>69</v>
      </c>
    </row>
    <row r="48" customFormat="false" ht="15" hidden="false" customHeight="true" outlineLevel="0" collapsed="false">
      <c r="A48" s="4" t="s">
        <v>70</v>
      </c>
    </row>
    <row r="49" customFormat="false" ht="27.75" hidden="false" customHeight="true" outlineLevel="0" collapsed="false">
      <c r="A49" s="17" t="s">
        <v>71</v>
      </c>
      <c r="B49" s="18" t="s">
        <v>72</v>
      </c>
      <c r="C49" s="18" t="s">
        <v>73</v>
      </c>
      <c r="D49" s="18" t="s">
        <v>46</v>
      </c>
      <c r="E49" s="18" t="s">
        <v>47</v>
      </c>
      <c r="F49" s="18" t="s">
        <v>74</v>
      </c>
    </row>
    <row r="50" customFormat="false" ht="15" hidden="false" customHeight="true" outlineLevel="0" collapsed="false">
      <c r="A50" s="25" t="n">
        <v>150</v>
      </c>
      <c r="B50" s="16" t="n">
        <f aca="false">MIN(MAX(0,A50-$B$5),$B$18)</f>
        <v>46.9328076800001</v>
      </c>
      <c r="C50" s="16" t="n">
        <f aca="false">MIN(MAX(0,A50-$B$5-$B$18),$B$19)</f>
        <v>3.06719231999995</v>
      </c>
      <c r="D50" s="16" t="n">
        <f aca="false">A50-(MIN(MAX(0,A50-$B$5-$B$18),$B$19)*$B$9+MIN(MAX(0,A50-$B$5-$B$18-$B$19),MAX(0,($B$21-(MIN(A50,$B$5)+MIN(MAX(0,A50-$B$5),$B$18)+MIN(MAX(0,A50-$B$5-$B$18),$B$19)*(1-$B$9)))/(1-$B$12)))*$B$12+MAX(0,A50-$B$5-$B$18-$B$19-MIN(MAX(0,A50-$B$5-$B$18-$B$19),MAX(0,($B$21-(MIN(A50,$B$5)+MIN(MAX(0,A50-$B$5),$B$18)+MIN(MAX(0,A50-$B$5-$B$18),$B$19)*(1-$B$9)))/(1-$B$12))))*$B$13)</f>
        <v>148.46640384</v>
      </c>
      <c r="E50" s="16" t="n">
        <f aca="false">(MIN(MAX(0,A50-$B$5-$B$18),$B$19)*$B$9+MIN(MAX(0,A50-$B$5-$B$18-$B$19),MAX(0,($B$21-(MIN(A50,$B$5)+MIN(MAX(0,A50-$B$5),$B$18)+MIN(MAX(0,A50-$B$5-$B$18),$B$19)*(1-$B$9)))/(1-$B$12)))*$B$12+MAX(0,A50-$B$5-$B$18-$B$19-MIN(MAX(0,A50-$B$5-$B$18-$B$19),MAX(0,($B$21-(MIN(A50,$B$5)+MIN(MAX(0,A50-$B$5),$B$18)+MIN(MAX(0,A50-$B$5-$B$18),$B$19)*(1-$B$9)))/(1-$B$12))))*$B$13)</f>
        <v>1.53359615999997</v>
      </c>
      <c r="F50" s="22" t="n">
        <f aca="false">(A50-(MIN(MAX(0,A50-$B$5-$B$18),$B$19)*$B$9+MIN(MAX(0,A50-$B$5-$B$18-$B$19),MAX(0,($B$21-(MIN(A50,$B$5)+MIN(MAX(0,A50-$B$5),$B$18)+MIN(MAX(0,A50-$B$5-$B$18),$B$19)*(1-$B$9)))/(1-$B$12)))*$B$12+MAX(0,A50-$B$5-$B$18-$B$19-MIN(MAX(0,A50-$B$5-$B$18-$B$19),MAX(0,($B$21-(MIN(A50,$B$5)+MIN(MAX(0,A50-$B$5),$B$18)+MIN(MAX(0,A50-$B$5-$B$18),$B$19)*(1-$B$9)))/(1-$B$12))))*$B$13))/$B$5</f>
        <v>1.4846640384</v>
      </c>
    </row>
    <row r="51" customFormat="false" ht="15" hidden="false" customHeight="true" outlineLevel="0" collapsed="false">
      <c r="A51" s="25" t="n">
        <v>175</v>
      </c>
      <c r="B51" s="16" t="n">
        <f aca="false">MIN(MAX(0,A51-$B$5),$B$18)</f>
        <v>46.9328076800001</v>
      </c>
      <c r="C51" s="16" t="n">
        <f aca="false">MIN(MAX(0,A51-$B$5-$B$18),$B$19)</f>
        <v>28.0671923199999</v>
      </c>
      <c r="D51" s="16" t="n">
        <f aca="false">A51-(MIN(MAX(0,A51-$B$5-$B$18),$B$19)*$B$9+MIN(MAX(0,A51-$B$5-$B$18-$B$19),MAX(0,($B$21-(MIN(A51,$B$5)+MIN(MAX(0,A51-$B$5),$B$18)+MIN(MAX(0,A51-$B$5-$B$18),$B$19)*(1-$B$9)))/(1-$B$12)))*$B$12+MAX(0,A51-$B$5-$B$18-$B$19-MIN(MAX(0,A51-$B$5-$B$18-$B$19),MAX(0,($B$21-(MIN(A51,$B$5)+MIN(MAX(0,A51-$B$5),$B$18)+MIN(MAX(0,A51-$B$5-$B$18),$B$19)*(1-$B$9)))/(1-$B$12))))*$B$13)</f>
        <v>160.96640384</v>
      </c>
      <c r="E51" s="16" t="n">
        <f aca="false">(MIN(MAX(0,A51-$B$5-$B$18),$B$19)*$B$9+MIN(MAX(0,A51-$B$5-$B$18-$B$19),MAX(0,($B$21-(MIN(A51,$B$5)+MIN(MAX(0,A51-$B$5),$B$18)+MIN(MAX(0,A51-$B$5-$B$18),$B$19)*(1-$B$9)))/(1-$B$12)))*$B$12+MAX(0,A51-$B$5-$B$18-$B$19-MIN(MAX(0,A51-$B$5-$B$18-$B$19),MAX(0,($B$21-(MIN(A51,$B$5)+MIN(MAX(0,A51-$B$5),$B$18)+MIN(MAX(0,A51-$B$5-$B$18),$B$19)*(1-$B$9)))/(1-$B$12))))*$B$13)</f>
        <v>14.03359616</v>
      </c>
      <c r="F51" s="22" t="n">
        <f aca="false">(A51-(MIN(MAX(0,A51-$B$5-$B$18),$B$19)*$B$9+MIN(MAX(0,A51-$B$5-$B$18-$B$19),MAX(0,($B$21-(MIN(A51,$B$5)+MIN(MAX(0,A51-$B$5),$B$18)+MIN(MAX(0,A51-$B$5-$B$18),$B$19)*(1-$B$9)))/(1-$B$12)))*$B$12+MAX(0,A51-$B$5-$B$18-$B$19-MIN(MAX(0,A51-$B$5-$B$18-$B$19),MAX(0,($B$21-(MIN(A51,$B$5)+MIN(MAX(0,A51-$B$5),$B$18)+MIN(MAX(0,A51-$B$5-$B$18),$B$19)*(1-$B$9)))/(1-$B$12))))*$B$13))/$B$5</f>
        <v>1.6096640384</v>
      </c>
    </row>
    <row r="52" customFormat="false" ht="15" hidden="false" customHeight="true" outlineLevel="0" collapsed="false">
      <c r="A52" s="25" t="n">
        <v>180</v>
      </c>
      <c r="B52" s="16" t="n">
        <f aca="false">MIN(MAX(0,A52-$B$5),$B$18)</f>
        <v>46.9328076800001</v>
      </c>
      <c r="C52" s="16" t="n">
        <f aca="false">MIN(MAX(0,A52-$B$5-$B$18),$B$19)</f>
        <v>31.2885384533334</v>
      </c>
      <c r="D52" s="16" t="n">
        <f aca="false">A52-(MIN(MAX(0,A52-$B$5-$B$18),$B$19)*$B$9+MIN(MAX(0,A52-$B$5-$B$18-$B$19),MAX(0,($B$21-(MIN(A52,$B$5)+MIN(MAX(0,A52-$B$5),$B$18)+MIN(MAX(0,A52-$B$5-$B$18),$B$19)*(1-$B$9)))/(1-$B$12)))*$B$12+MAX(0,A52-$B$5-$B$18-$B$19-MIN(MAX(0,A52-$B$5-$B$18-$B$19),MAX(0,($B$21-(MIN(A52,$B$5)+MIN(MAX(0,A52-$B$5),$B$18)+MIN(MAX(0,A52-$B$5-$B$18),$B$19)*(1-$B$9)))/(1-$B$12))))*$B$13)</f>
        <v>164</v>
      </c>
      <c r="E52" s="16" t="n">
        <f aca="false">(MIN(MAX(0,A52-$B$5-$B$18),$B$19)*$B$9+MIN(MAX(0,A52-$B$5-$B$18-$B$19),MAX(0,($B$21-(MIN(A52,$B$5)+MIN(MAX(0,A52-$B$5),$B$18)+MIN(MAX(0,A52-$B$5-$B$18),$B$19)*(1-$B$9)))/(1-$B$12)))*$B$12+MAX(0,A52-$B$5-$B$18-$B$19-MIN(MAX(0,A52-$B$5-$B$18-$B$19),MAX(0,($B$21-(MIN(A52,$B$5)+MIN(MAX(0,A52-$B$5),$B$18)+MIN(MAX(0,A52-$B$5-$B$18),$B$19)*(1-$B$9)))/(1-$B$12))))*$B$13)</f>
        <v>16</v>
      </c>
      <c r="F52" s="22" t="n">
        <f aca="false">(A52-(MIN(MAX(0,A52-$B$5-$B$18),$B$19)*$B$9+MIN(MAX(0,A52-$B$5-$B$18-$B$19),MAX(0,($B$21-(MIN(A52,$B$5)+MIN(MAX(0,A52-$B$5),$B$18)+MIN(MAX(0,A52-$B$5-$B$18),$B$19)*(1-$B$9)))/(1-$B$12)))*$B$12+MAX(0,A52-$B$5-$B$18-$B$19-MIN(MAX(0,A52-$B$5-$B$18-$B$19),MAX(0,($B$21-(MIN(A52,$B$5)+MIN(MAX(0,A52-$B$5),$B$18)+MIN(MAX(0,A52-$B$5-$B$18),$B$19)*(1-$B$9)))/(1-$B$12))))*$B$13))/$B$5</f>
        <v>1.64</v>
      </c>
    </row>
    <row r="53" customFormat="false" ht="15" hidden="false" customHeight="true" outlineLevel="0" collapsed="false">
      <c r="A53" s="25" t="n">
        <v>200</v>
      </c>
      <c r="B53" s="16" t="n">
        <f aca="false">MIN(MAX(0,A53-$B$5),$B$18)</f>
        <v>46.9328076800001</v>
      </c>
      <c r="C53" s="16" t="n">
        <f aca="false">MIN(MAX(0,A53-$B$5-$B$18),$B$19)</f>
        <v>31.2885384533334</v>
      </c>
      <c r="D53" s="16" t="n">
        <f aca="false">A53-(MIN(MAX(0,A53-$B$5-$B$18),$B$19)*$B$9+MIN(MAX(0,A53-$B$5-$B$18-$B$19),MAX(0,($B$21-(MIN(A53,$B$5)+MIN(MAX(0,A53-$B$5),$B$18)+MIN(MAX(0,A53-$B$5-$B$18),$B$19)*(1-$B$9)))/(1-$B$12)))*$B$12+MAX(0,A53-$B$5-$B$18-$B$19-MIN(MAX(0,A53-$B$5-$B$18-$B$19),MAX(0,($B$21-(MIN(A53,$B$5)+MIN(MAX(0,A53-$B$5),$B$18)+MIN(MAX(0,A53-$B$5-$B$18),$B$19)*(1-$B$9)))/(1-$B$12))))*$B$13)</f>
        <v>180</v>
      </c>
      <c r="E53" s="16" t="n">
        <f aca="false">(MIN(MAX(0,A53-$B$5-$B$18),$B$19)*$B$9+MIN(MAX(0,A53-$B$5-$B$18-$B$19),MAX(0,($B$21-(MIN(A53,$B$5)+MIN(MAX(0,A53-$B$5),$B$18)+MIN(MAX(0,A53-$B$5-$B$18),$B$19)*(1-$B$9)))/(1-$B$12)))*$B$12+MAX(0,A53-$B$5-$B$18-$B$19-MIN(MAX(0,A53-$B$5-$B$18-$B$19),MAX(0,($B$21-(MIN(A53,$B$5)+MIN(MAX(0,A53-$B$5),$B$18)+MIN(MAX(0,A53-$B$5-$B$18),$B$19)*(1-$B$9)))/(1-$B$12))))*$B$13)</f>
        <v>20</v>
      </c>
      <c r="F53" s="22" t="n">
        <f aca="false">(A53-(MIN(MAX(0,A53-$B$5-$B$18),$B$19)*$B$9+MIN(MAX(0,A53-$B$5-$B$18-$B$19),MAX(0,($B$21-(MIN(A53,$B$5)+MIN(MAX(0,A53-$B$5),$B$18)+MIN(MAX(0,A53-$B$5-$B$18),$B$19)*(1-$B$9)))/(1-$B$12)))*$B$12+MAX(0,A53-$B$5-$B$18-$B$19-MIN(MAX(0,A53-$B$5-$B$18-$B$19),MAX(0,($B$21-(MIN(A53,$B$5)+MIN(MAX(0,A53-$B$5),$B$18)+MIN(MAX(0,A53-$B$5-$B$18),$B$19)*(1-$B$9)))/(1-$B$12))))*$B$13))/$B$5</f>
        <v>1.8</v>
      </c>
    </row>
    <row r="54" customFormat="false" ht="15" hidden="false" customHeight="true" outlineLevel="0" collapsed="false">
      <c r="A54" s="25" t="n">
        <v>250</v>
      </c>
      <c r="B54" s="16" t="n">
        <f aca="false">MIN(MAX(0,A54-$B$5),$B$18)</f>
        <v>46.9328076800001</v>
      </c>
      <c r="C54" s="16" t="n">
        <f aca="false">MIN(MAX(0,A54-$B$5-$B$18),$B$19)</f>
        <v>31.2885384533334</v>
      </c>
      <c r="D54" s="16" t="n">
        <f aca="false">A54-(MIN(MAX(0,A54-$B$5-$B$18),$B$19)*$B$9+MIN(MAX(0,A54-$B$5-$B$18-$B$19),MAX(0,($B$21-(MIN(A54,$B$5)+MIN(MAX(0,A54-$B$5),$B$18)+MIN(MAX(0,A54-$B$5-$B$18),$B$19)*(1-$B$9)))/(1-$B$12)))*$B$12+MAX(0,A54-$B$5-$B$18-$B$19-MIN(MAX(0,A54-$B$5-$B$18-$B$19),MAX(0,($B$21-(MIN(A54,$B$5)+MIN(MAX(0,A54-$B$5),$B$18)+MIN(MAX(0,A54-$B$5-$B$18),$B$19)*(1-$B$9)))/(1-$B$12))))*$B$13)</f>
        <v>216.56768228</v>
      </c>
      <c r="E54" s="16" t="n">
        <f aca="false">(MIN(MAX(0,A54-$B$5-$B$18),$B$19)*$B$9+MIN(MAX(0,A54-$B$5-$B$18-$B$19),MAX(0,($B$21-(MIN(A54,$B$5)+MIN(MAX(0,A54-$B$5),$B$18)+MIN(MAX(0,A54-$B$5-$B$18),$B$19)*(1-$B$9)))/(1-$B$12)))*$B$12+MAX(0,A54-$B$5-$B$18-$B$19-MIN(MAX(0,A54-$B$5-$B$18-$B$19),MAX(0,($B$21-(MIN(A54,$B$5)+MIN(MAX(0,A54-$B$5),$B$18)+MIN(MAX(0,A54-$B$5-$B$18),$B$19)*(1-$B$9)))/(1-$B$12))))*$B$13)</f>
        <v>33.43231772</v>
      </c>
      <c r="F54" s="22" t="n">
        <f aca="false">(A54-(MIN(MAX(0,A54-$B$5-$B$18),$B$19)*$B$9+MIN(MAX(0,A54-$B$5-$B$18-$B$19),MAX(0,($B$21-(MIN(A54,$B$5)+MIN(MAX(0,A54-$B$5),$B$18)+MIN(MAX(0,A54-$B$5-$B$18),$B$19)*(1-$B$9)))/(1-$B$12)))*$B$12+MAX(0,A54-$B$5-$B$18-$B$19-MIN(MAX(0,A54-$B$5-$B$18-$B$19),MAX(0,($B$21-(MIN(A54,$B$5)+MIN(MAX(0,A54-$B$5),$B$18)+MIN(MAX(0,A54-$B$5-$B$18),$B$19)*(1-$B$9)))/(1-$B$12))))*$B$13))/$B$5</f>
        <v>2.1656768228</v>
      </c>
    </row>
    <row r="55" customFormat="false" ht="15" hidden="false" customHeight="true" outlineLevel="0" collapsed="false">
      <c r="A55" s="25" t="n">
        <v>300</v>
      </c>
      <c r="B55" s="16" t="n">
        <f aca="false">MIN(MAX(0,A55-$B$5),$B$18)</f>
        <v>46.9328076800001</v>
      </c>
      <c r="C55" s="16" t="n">
        <f aca="false">MIN(MAX(0,A55-$B$5-$B$18),$B$19)</f>
        <v>31.2885384533334</v>
      </c>
      <c r="D55" s="16" t="n">
        <f aca="false">A55-(MIN(MAX(0,A55-$B$5-$B$18),$B$19)*$B$9+MIN(MAX(0,A55-$B$5-$B$18-$B$19),MAX(0,($B$21-(MIN(A55,$B$5)+MIN(MAX(0,A55-$B$5),$B$18)+MIN(MAX(0,A55-$B$5-$B$18),$B$19)*(1-$B$9)))/(1-$B$12)))*$B$12+MAX(0,A55-$B$5-$B$18-$B$19-MIN(MAX(0,A55-$B$5-$B$18-$B$19),MAX(0,($B$21-(MIN(A55,$B$5)+MIN(MAX(0,A55-$B$5),$B$18)+MIN(MAX(0,A55-$B$5-$B$18),$B$19)*(1-$B$9)))/(1-$B$12))))*$B$13)</f>
        <v>251.56768228</v>
      </c>
      <c r="E55" s="16" t="n">
        <f aca="false">(MIN(MAX(0,A55-$B$5-$B$18),$B$19)*$B$9+MIN(MAX(0,A55-$B$5-$B$18-$B$19),MAX(0,($B$21-(MIN(A55,$B$5)+MIN(MAX(0,A55-$B$5),$B$18)+MIN(MAX(0,A55-$B$5-$B$18),$B$19)*(1-$B$9)))/(1-$B$12)))*$B$12+MAX(0,A55-$B$5-$B$18-$B$19-MIN(MAX(0,A55-$B$5-$B$18-$B$19),MAX(0,($B$21-(MIN(A55,$B$5)+MIN(MAX(0,A55-$B$5),$B$18)+MIN(MAX(0,A55-$B$5-$B$18),$B$19)*(1-$B$9)))/(1-$B$12))))*$B$13)</f>
        <v>48.43231772</v>
      </c>
      <c r="F55" s="22" t="n">
        <f aca="false">(A55-(MIN(MAX(0,A55-$B$5-$B$18),$B$19)*$B$9+MIN(MAX(0,A55-$B$5-$B$18-$B$19),MAX(0,($B$21-(MIN(A55,$B$5)+MIN(MAX(0,A55-$B$5),$B$18)+MIN(MAX(0,A55-$B$5-$B$18),$B$19)*(1-$B$9)))/(1-$B$12)))*$B$12+MAX(0,A55-$B$5-$B$18-$B$19-MIN(MAX(0,A55-$B$5-$B$18-$B$19),MAX(0,($B$21-(MIN(A55,$B$5)+MIN(MAX(0,A55-$B$5),$B$18)+MIN(MAX(0,A55-$B$5-$B$18),$B$19)*(1-$B$9)))/(1-$B$12))))*$B$13))/$B$5</f>
        <v>2.5156768228</v>
      </c>
    </row>
    <row r="56" customFormat="false" ht="15" hidden="false" customHeight="true" outlineLevel="0" collapsed="false">
      <c r="A56" s="25" t="n">
        <v>320</v>
      </c>
      <c r="B56" s="16" t="n">
        <f aca="false">MIN(MAX(0,A56-$B$5),$B$18)</f>
        <v>46.9328076800001</v>
      </c>
      <c r="C56" s="16" t="n">
        <f aca="false">MIN(MAX(0,A56-$B$5-$B$18),$B$19)</f>
        <v>31.2885384533334</v>
      </c>
      <c r="D56" s="16" t="n">
        <f aca="false">A56-(MIN(MAX(0,A56-$B$5-$B$18),$B$19)*$B$9+MIN(MAX(0,A56-$B$5-$B$18-$B$19),MAX(0,($B$21-(MIN(A56,$B$5)+MIN(MAX(0,A56-$B$5),$B$18)+MIN(MAX(0,A56-$B$5-$B$18),$B$19)*(1-$B$9)))/(1-$B$12)))*$B$12+MAX(0,A56-$B$5-$B$18-$B$19-MIN(MAX(0,A56-$B$5-$B$18-$B$19),MAX(0,($B$21-(MIN(A56,$B$5)+MIN(MAX(0,A56-$B$5),$B$18)+MIN(MAX(0,A56-$B$5-$B$18),$B$19)*(1-$B$9)))/(1-$B$12))))*$B$13)</f>
        <v>265.56768228</v>
      </c>
      <c r="E56" s="16" t="n">
        <f aca="false">(MIN(MAX(0,A56-$B$5-$B$18),$B$19)*$B$9+MIN(MAX(0,A56-$B$5-$B$18-$B$19),MAX(0,($B$21-(MIN(A56,$B$5)+MIN(MAX(0,A56-$B$5),$B$18)+MIN(MAX(0,A56-$B$5-$B$18),$B$19)*(1-$B$9)))/(1-$B$12)))*$B$12+MAX(0,A56-$B$5-$B$18-$B$19-MIN(MAX(0,A56-$B$5-$B$18-$B$19),MAX(0,($B$21-(MIN(A56,$B$5)+MIN(MAX(0,A56-$B$5),$B$18)+MIN(MAX(0,A56-$B$5-$B$18),$B$19)*(1-$B$9)))/(1-$B$12))))*$B$13)</f>
        <v>54.43231772</v>
      </c>
      <c r="F56" s="22" t="n">
        <f aca="false">(A56-(MIN(MAX(0,A56-$B$5-$B$18),$B$19)*$B$9+MIN(MAX(0,A56-$B$5-$B$18-$B$19),MAX(0,($B$21-(MIN(A56,$B$5)+MIN(MAX(0,A56-$B$5),$B$18)+MIN(MAX(0,A56-$B$5-$B$18),$B$19)*(1-$B$9)))/(1-$B$12)))*$B$12+MAX(0,A56-$B$5-$B$18-$B$19-MIN(MAX(0,A56-$B$5-$B$18-$B$19),MAX(0,($B$21-(MIN(A56,$B$5)+MIN(MAX(0,A56-$B$5),$B$18)+MIN(MAX(0,A56-$B$5-$B$18),$B$19)*(1-$B$9)))/(1-$B$12))))*$B$13))/$B$5</f>
        <v>2.6556768228</v>
      </c>
    </row>
  </sheetData>
  <mergeCells count="1">
    <mergeCell ref="H5:H30"/>
  </mergeCells>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H21"/>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1" width="42"/>
    <col collapsed="false" customWidth="true" hidden="false" outlineLevel="0" max="5" min="2" style="1" width="15"/>
    <col collapsed="false" customWidth="true" hidden="false" outlineLevel="0" max="6" min="6" style="1" width="17"/>
    <col collapsed="false" customWidth="true" hidden="false" outlineLevel="0" max="7" min="7" style="1" width="3"/>
    <col collapsed="false" customWidth="true" hidden="false" outlineLevel="0" max="8" min="8" style="1" width="46"/>
  </cols>
  <sheetData>
    <row r="1" customFormat="false" ht="17.25" hidden="false" customHeight="true" outlineLevel="0" collapsed="false">
      <c r="A1" s="8" t="s">
        <v>75</v>
      </c>
    </row>
    <row r="2" customFormat="false" ht="15" hidden="false" customHeight="true" outlineLevel="0" collapsed="false">
      <c r="A2" s="4" t="s">
        <v>76</v>
      </c>
    </row>
    <row r="4" customFormat="false" ht="15" hidden="false" customHeight="true" outlineLevel="0" collapsed="false">
      <c r="A4" s="5" t="s">
        <v>20</v>
      </c>
      <c r="H4" s="5" t="s">
        <v>77</v>
      </c>
    </row>
    <row r="5" customFormat="false" ht="15" hidden="false" customHeight="true" outlineLevel="0" collapsed="false">
      <c r="A5" s="9" t="s">
        <v>22</v>
      </c>
      <c r="B5" s="10" t="n">
        <v>100</v>
      </c>
      <c r="H5" s="11" t="s">
        <v>78</v>
      </c>
    </row>
    <row r="6" customFormat="false" ht="15" hidden="false" customHeight="true" outlineLevel="0" collapsed="false">
      <c r="A6" s="9" t="s">
        <v>26</v>
      </c>
      <c r="B6" s="14" t="n">
        <v>0.08</v>
      </c>
      <c r="H6" s="11"/>
    </row>
    <row r="7" customFormat="false" ht="15" hidden="false" customHeight="true" outlineLevel="0" collapsed="false">
      <c r="A7" s="9" t="s">
        <v>79</v>
      </c>
      <c r="B7" s="14" t="n">
        <v>0.2</v>
      </c>
      <c r="H7" s="11"/>
    </row>
    <row r="8" customFormat="false" ht="15" hidden="false" customHeight="true" outlineLevel="0" collapsed="false">
      <c r="A8" s="9" t="s">
        <v>32</v>
      </c>
      <c r="B8" s="15" t="n">
        <v>5</v>
      </c>
      <c r="H8" s="11"/>
    </row>
    <row r="9" customFormat="false" ht="15" hidden="false" customHeight="true" outlineLevel="0" collapsed="false">
      <c r="A9" s="9" t="s">
        <v>80</v>
      </c>
      <c r="B9" s="10" t="n">
        <v>250</v>
      </c>
      <c r="H9" s="11"/>
    </row>
    <row r="10" customFormat="false" ht="15" hidden="false" customHeight="true" outlineLevel="0" collapsed="false">
      <c r="H10" s="11"/>
    </row>
    <row r="11" customFormat="false" ht="15" hidden="false" customHeight="true" outlineLevel="0" collapsed="false">
      <c r="A11" s="9" t="s">
        <v>35</v>
      </c>
      <c r="B11" s="16" t="n">
        <f aca="false">B5*((1+B6)^B8-1)</f>
        <v>46.9328076800001</v>
      </c>
      <c r="H11" s="11"/>
    </row>
    <row r="12" customFormat="false" ht="15" hidden="false" customHeight="true" outlineLevel="0" collapsed="false">
      <c r="H12" s="11"/>
    </row>
    <row r="13" customFormat="false" ht="15" hidden="false" customHeight="true" outlineLevel="0" collapsed="false">
      <c r="A13" s="5" t="s">
        <v>42</v>
      </c>
      <c r="H13" s="11"/>
    </row>
    <row r="14" customFormat="false" ht="27.75" hidden="false" customHeight="true" outlineLevel="0" collapsed="false">
      <c r="A14" s="17" t="s">
        <v>43</v>
      </c>
      <c r="B14" s="18" t="s">
        <v>44</v>
      </c>
      <c r="C14" s="18" t="s">
        <v>45</v>
      </c>
      <c r="D14" s="18" t="s">
        <v>46</v>
      </c>
      <c r="E14" s="18" t="s">
        <v>47</v>
      </c>
      <c r="F14" s="18" t="s">
        <v>48</v>
      </c>
      <c r="H14" s="11"/>
    </row>
    <row r="15" customFormat="false" ht="15" hidden="false" customHeight="true" outlineLevel="0" collapsed="false">
      <c r="A15" s="9" t="s">
        <v>49</v>
      </c>
      <c r="B15" s="16" t="n">
        <f aca="false">B9</f>
        <v>250</v>
      </c>
      <c r="C15" s="16" t="n">
        <f aca="false">MIN(B15,$B$5)</f>
        <v>100</v>
      </c>
      <c r="D15" s="16" t="n">
        <f aca="false">C15</f>
        <v>100</v>
      </c>
      <c r="E15" s="16" t="n">
        <f aca="false">0</f>
        <v>0</v>
      </c>
      <c r="F15" s="16" t="n">
        <f aca="false">D15</f>
        <v>100</v>
      </c>
      <c r="H15" s="11"/>
    </row>
    <row r="16" customFormat="false" ht="15" hidden="false" customHeight="true" outlineLevel="0" collapsed="false">
      <c r="A16" s="9" t="s">
        <v>81</v>
      </c>
      <c r="B16" s="16" t="n">
        <f aca="false">B15-C15</f>
        <v>150</v>
      </c>
      <c r="C16" s="16" t="n">
        <f aca="false">MIN(B16,$B$11)</f>
        <v>46.9328076800001</v>
      </c>
      <c r="D16" s="16" t="n">
        <f aca="false">C16</f>
        <v>46.9328076800001</v>
      </c>
      <c r="E16" s="16" t="n">
        <f aca="false">0</f>
        <v>0</v>
      </c>
      <c r="F16" s="16" t="n">
        <f aca="false">F15+D16</f>
        <v>146.93280768</v>
      </c>
      <c r="H16" s="11"/>
    </row>
    <row r="17" customFormat="false" ht="15" hidden="false" customHeight="true" outlineLevel="0" collapsed="false">
      <c r="A17" s="9" t="s">
        <v>82</v>
      </c>
      <c r="B17" s="16" t="n">
        <f aca="false">B16-C16</f>
        <v>103.06719232</v>
      </c>
      <c r="C17" s="16" t="n">
        <f aca="false">B17</f>
        <v>103.06719232</v>
      </c>
      <c r="D17" s="16" t="n">
        <f aca="false">C17*(1-$B$7)</f>
        <v>82.453753856</v>
      </c>
      <c r="E17" s="16" t="n">
        <f aca="false">C17*$B$7</f>
        <v>20.613438464</v>
      </c>
      <c r="F17" s="16" t="n">
        <f aca="false">F16+D17</f>
        <v>229.386561536</v>
      </c>
      <c r="H17" s="11"/>
    </row>
    <row r="18" customFormat="false" ht="15" hidden="false" customHeight="true" outlineLevel="0" collapsed="false">
      <c r="A18" s="20" t="s">
        <v>54</v>
      </c>
      <c r="B18" s="21" t="n">
        <f aca="false">B9</f>
        <v>250</v>
      </c>
      <c r="C18" s="21" t="n">
        <f aca="false">SUM(C15:C17)</f>
        <v>250</v>
      </c>
      <c r="D18" s="21" t="n">
        <f aca="false">SUM(D15:D17)</f>
        <v>229.386561536</v>
      </c>
      <c r="E18" s="21" t="n">
        <f aca="false">SUM(E15:E17)</f>
        <v>20.613438464</v>
      </c>
      <c r="F18" s="21" t="n">
        <f aca="false">F17</f>
        <v>229.386561536</v>
      </c>
      <c r="H18" s="11"/>
    </row>
    <row r="19" customFormat="false" ht="15" hidden="false" customHeight="true" outlineLevel="0" collapsed="false">
      <c r="H19" s="11"/>
    </row>
    <row r="20" customFormat="false" ht="15" hidden="false" customHeight="true" outlineLevel="0" collapsed="false">
      <c r="A20" s="9" t="s">
        <v>68</v>
      </c>
      <c r="B20" s="13" t="n">
        <f aca="false">IF(B9&lt;=B5,"",E18/(B9-B5))</f>
        <v>0.137422923093333</v>
      </c>
      <c r="H20" s="11"/>
    </row>
    <row r="21" customFormat="false" ht="15" hidden="false" customHeight="true" outlineLevel="0" collapsed="false">
      <c r="A21" s="9" t="s">
        <v>74</v>
      </c>
      <c r="B21" s="22" t="n">
        <f aca="false">D18/B5</f>
        <v>2.29386561536</v>
      </c>
      <c r="H21" s="11"/>
    </row>
  </sheetData>
  <mergeCells count="1">
    <mergeCell ref="H5:H21"/>
  </mergeCells>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H22"/>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1" width="42"/>
    <col collapsed="false" customWidth="true" hidden="false" outlineLevel="0" max="5" min="2" style="1" width="15"/>
    <col collapsed="false" customWidth="true" hidden="false" outlineLevel="0" max="6" min="6" style="1" width="17"/>
    <col collapsed="false" customWidth="true" hidden="false" outlineLevel="0" max="7" min="7" style="1" width="3"/>
    <col collapsed="false" customWidth="true" hidden="false" outlineLevel="0" max="8" min="8" style="1" width="46"/>
  </cols>
  <sheetData>
    <row r="1" customFormat="false" ht="17.25" hidden="false" customHeight="true" outlineLevel="0" collapsed="false">
      <c r="A1" s="8" t="s">
        <v>83</v>
      </c>
    </row>
    <row r="2" customFormat="false" ht="15" hidden="false" customHeight="true" outlineLevel="0" collapsed="false">
      <c r="A2" s="4" t="s">
        <v>84</v>
      </c>
    </row>
    <row r="4" customFormat="false" ht="15" hidden="false" customHeight="true" outlineLevel="0" collapsed="false">
      <c r="A4" s="5" t="s">
        <v>20</v>
      </c>
      <c r="H4" s="5" t="s">
        <v>85</v>
      </c>
    </row>
    <row r="5" customFormat="false" ht="15" hidden="false" customHeight="true" outlineLevel="0" collapsed="false">
      <c r="A5" s="9" t="s">
        <v>22</v>
      </c>
      <c r="B5" s="10" t="n">
        <v>100</v>
      </c>
      <c r="H5" s="11" t="s">
        <v>86</v>
      </c>
    </row>
    <row r="6" customFormat="false" ht="15" hidden="false" customHeight="true" outlineLevel="0" collapsed="false">
      <c r="A6" s="9" t="s">
        <v>87</v>
      </c>
      <c r="B6" s="26" t="n">
        <v>1.5</v>
      </c>
      <c r="H6" s="11"/>
    </row>
    <row r="7" customFormat="false" ht="15" hidden="false" customHeight="true" outlineLevel="0" collapsed="false">
      <c r="A7" s="9" t="s">
        <v>88</v>
      </c>
      <c r="B7" s="14" t="n">
        <v>0.1</v>
      </c>
      <c r="H7" s="11"/>
    </row>
    <row r="8" customFormat="false" ht="15" hidden="false" customHeight="true" outlineLevel="0" collapsed="false">
      <c r="A8" s="9" t="s">
        <v>89</v>
      </c>
      <c r="B8" s="26" t="n">
        <v>2</v>
      </c>
      <c r="H8" s="11"/>
    </row>
    <row r="9" customFormat="false" ht="15" hidden="false" customHeight="true" outlineLevel="0" collapsed="false">
      <c r="A9" s="9" t="s">
        <v>90</v>
      </c>
      <c r="B9" s="14" t="n">
        <v>0.2</v>
      </c>
      <c r="H9" s="11"/>
    </row>
    <row r="10" customFormat="false" ht="15" hidden="false" customHeight="true" outlineLevel="0" collapsed="false">
      <c r="A10" s="9" t="s">
        <v>31</v>
      </c>
      <c r="B10" s="14" t="n">
        <v>0.3</v>
      </c>
      <c r="H10" s="11"/>
    </row>
    <row r="11" customFormat="false" ht="15" hidden="false" customHeight="true" outlineLevel="0" collapsed="false">
      <c r="A11" s="9" t="s">
        <v>80</v>
      </c>
      <c r="B11" s="10" t="n">
        <v>250</v>
      </c>
      <c r="H11" s="11"/>
    </row>
    <row r="12" customFormat="false" ht="15" hidden="false" customHeight="true" outlineLevel="0" collapsed="false">
      <c r="H12" s="11"/>
    </row>
    <row r="13" customFormat="false" ht="15" hidden="false" customHeight="true" outlineLevel="0" collapsed="false">
      <c r="A13" s="5" t="s">
        <v>42</v>
      </c>
      <c r="H13" s="11"/>
    </row>
    <row r="14" customFormat="false" ht="27.75" hidden="false" customHeight="true" outlineLevel="0" collapsed="false">
      <c r="A14" s="17" t="s">
        <v>43</v>
      </c>
      <c r="B14" s="18" t="s">
        <v>44</v>
      </c>
      <c r="C14" s="18" t="s">
        <v>45</v>
      </c>
      <c r="D14" s="18" t="s">
        <v>46</v>
      </c>
      <c r="E14" s="18" t="s">
        <v>47</v>
      </c>
      <c r="F14" s="18" t="s">
        <v>48</v>
      </c>
      <c r="H14" s="11"/>
    </row>
    <row r="15" customFormat="false" ht="15" hidden="false" customHeight="true" outlineLevel="0" collapsed="false">
      <c r="A15" s="9" t="s">
        <v>91</v>
      </c>
      <c r="B15" s="16" t="n">
        <f aca="false">B11</f>
        <v>250</v>
      </c>
      <c r="C15" s="16" t="n">
        <f aca="false">MIN(B15,$B$5)</f>
        <v>100</v>
      </c>
      <c r="D15" s="16" t="n">
        <f aca="false">C15</f>
        <v>100</v>
      </c>
      <c r="E15" s="16" t="n">
        <f aca="false">0</f>
        <v>0</v>
      </c>
      <c r="F15" s="16" t="n">
        <f aca="false">D15</f>
        <v>100</v>
      </c>
      <c r="H15" s="11"/>
    </row>
    <row r="16" customFormat="false" ht="15" hidden="false" customHeight="true" outlineLevel="0" collapsed="false">
      <c r="A16" s="9" t="s">
        <v>92</v>
      </c>
      <c r="B16" s="16" t="n">
        <f aca="false">B15-C15</f>
        <v>150</v>
      </c>
      <c r="C16" s="16" t="n">
        <f aca="false">MIN(B16,MAX(0,($B$5*$B$6-F15)/(1-$B$7)))</f>
        <v>55.5555555555556</v>
      </c>
      <c r="D16" s="16" t="n">
        <f aca="false">C16*(1-$B$7)</f>
        <v>50</v>
      </c>
      <c r="E16" s="16" t="n">
        <f aca="false">C16*$B$7</f>
        <v>5.55555555555556</v>
      </c>
      <c r="F16" s="16" t="n">
        <f aca="false">F15+D16</f>
        <v>150</v>
      </c>
      <c r="H16" s="11"/>
    </row>
    <row r="17" customFormat="false" ht="15" hidden="false" customHeight="true" outlineLevel="0" collapsed="false">
      <c r="A17" s="9" t="s">
        <v>93</v>
      </c>
      <c r="B17" s="16" t="n">
        <f aca="false">B16-C16</f>
        <v>94.4444444444444</v>
      </c>
      <c r="C17" s="16" t="n">
        <f aca="false">MIN(B17,MAX(0,($B$5*$B$8-F16)/(1-$B$9)))</f>
        <v>62.5</v>
      </c>
      <c r="D17" s="16" t="n">
        <f aca="false">C17*(1-$B$9)</f>
        <v>50</v>
      </c>
      <c r="E17" s="16" t="n">
        <f aca="false">C17*$B$9</f>
        <v>12.5</v>
      </c>
      <c r="F17" s="16" t="n">
        <f aca="false">F16+D17</f>
        <v>200</v>
      </c>
      <c r="H17" s="11"/>
    </row>
    <row r="18" customFormat="false" ht="15" hidden="false" customHeight="true" outlineLevel="0" collapsed="false">
      <c r="A18" s="9" t="s">
        <v>94</v>
      </c>
      <c r="B18" s="16" t="n">
        <f aca="false">B17-C17</f>
        <v>31.9444444444444</v>
      </c>
      <c r="C18" s="16" t="n">
        <f aca="false">B18</f>
        <v>31.9444444444444</v>
      </c>
      <c r="D18" s="16" t="n">
        <f aca="false">C18*(1-$B$10)</f>
        <v>22.3611111111111</v>
      </c>
      <c r="E18" s="16" t="n">
        <f aca="false">C18*$B$10</f>
        <v>9.58333333333333</v>
      </c>
      <c r="F18" s="16" t="n">
        <f aca="false">F17+D18</f>
        <v>222.361111111111</v>
      </c>
      <c r="H18" s="11"/>
    </row>
    <row r="19" customFormat="false" ht="15" hidden="false" customHeight="true" outlineLevel="0" collapsed="false">
      <c r="A19" s="20" t="s">
        <v>54</v>
      </c>
      <c r="B19" s="21" t="n">
        <f aca="false">B11</f>
        <v>250</v>
      </c>
      <c r="C19" s="21" t="n">
        <f aca="false">SUM(C15:C18)</f>
        <v>250</v>
      </c>
      <c r="D19" s="21" t="n">
        <f aca="false">SUM(D15:D18)</f>
        <v>222.361111111111</v>
      </c>
      <c r="E19" s="21" t="n">
        <f aca="false">SUM(E15:E18)</f>
        <v>27.6388888888889</v>
      </c>
      <c r="F19" s="21" t="n">
        <f aca="false">F18</f>
        <v>222.361111111111</v>
      </c>
      <c r="H19" s="11"/>
    </row>
    <row r="20" customFormat="false" ht="15" hidden="false" customHeight="true" outlineLevel="0" collapsed="false">
      <c r="H20" s="11"/>
    </row>
    <row r="21" customFormat="false" ht="15" hidden="false" customHeight="true" outlineLevel="0" collapsed="false">
      <c r="A21" s="9" t="s">
        <v>95</v>
      </c>
      <c r="B21" s="22" t="n">
        <f aca="false">D19/B5</f>
        <v>2.22361111111111</v>
      </c>
      <c r="H21" s="11"/>
    </row>
    <row r="22" customFormat="false" ht="15" hidden="false" customHeight="true" outlineLevel="0" collapsed="false">
      <c r="A22" s="9" t="s">
        <v>68</v>
      </c>
      <c r="B22" s="13" t="n">
        <f aca="false">IF(B11&lt;=B5,"",E19/(B11-B5))</f>
        <v>0.184259259259259</v>
      </c>
      <c r="H22" s="11"/>
    </row>
  </sheetData>
  <mergeCells count="1">
    <mergeCell ref="H5:H22"/>
  </mergeCells>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H24"/>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1" width="30"/>
    <col collapsed="false" customWidth="true" hidden="false" outlineLevel="0" max="4" min="2" style="1" width="16"/>
    <col collapsed="false" customWidth="true" hidden="false" outlineLevel="0" max="5" min="5" style="1" width="3"/>
    <col collapsed="false" customWidth="true" hidden="false" outlineLevel="0" max="6" min="6" style="1" width="16"/>
    <col collapsed="false" customWidth="true" hidden="false" outlineLevel="0" max="7" min="7" style="1" width="3"/>
    <col collapsed="false" customWidth="true" hidden="false" outlineLevel="0" max="8" min="8" style="1" width="48"/>
  </cols>
  <sheetData>
    <row r="1" customFormat="false" ht="17.25" hidden="false" customHeight="true" outlineLevel="0" collapsed="false">
      <c r="A1" s="8" t="s">
        <v>96</v>
      </c>
    </row>
    <row r="2" customFormat="false" ht="15" hidden="false" customHeight="true" outlineLevel="0" collapsed="false">
      <c r="A2" s="4" t="s">
        <v>97</v>
      </c>
    </row>
    <row r="4" customFormat="false" ht="15" hidden="false" customHeight="true" outlineLevel="0" collapsed="false">
      <c r="A4" s="9" t="s">
        <v>98</v>
      </c>
      <c r="B4" s="10" t="n">
        <v>100</v>
      </c>
      <c r="H4" s="5" t="s">
        <v>99</v>
      </c>
    </row>
    <row r="5" customFormat="false" ht="15" hidden="false" customHeight="true" outlineLevel="0" collapsed="false">
      <c r="A5" s="9" t="s">
        <v>80</v>
      </c>
      <c r="B5" s="10" t="n">
        <v>250</v>
      </c>
      <c r="H5" s="11" t="s">
        <v>100</v>
      </c>
    </row>
    <row r="6" customFormat="false" ht="15" hidden="false" customHeight="true" outlineLevel="0" collapsed="false">
      <c r="A6" s="9" t="s">
        <v>101</v>
      </c>
      <c r="B6" s="14" t="n">
        <v>0.08</v>
      </c>
      <c r="H6" s="11"/>
    </row>
    <row r="7" customFormat="false" ht="15" hidden="false" customHeight="true" outlineLevel="0" collapsed="false">
      <c r="A7" s="9" t="s">
        <v>102</v>
      </c>
      <c r="B7" s="14" t="n">
        <v>0.14</v>
      </c>
      <c r="H7" s="11"/>
    </row>
    <row r="8" customFormat="false" ht="15" hidden="false" customHeight="true" outlineLevel="0" collapsed="false">
      <c r="H8" s="11"/>
    </row>
    <row r="9" customFormat="false" ht="15" hidden="false" customHeight="true" outlineLevel="0" collapsed="false">
      <c r="A9" s="5" t="s">
        <v>103</v>
      </c>
      <c r="H9" s="11"/>
    </row>
    <row r="10" customFormat="false" ht="27.75" hidden="false" customHeight="true" outlineLevel="0" collapsed="false">
      <c r="A10" s="17" t="s">
        <v>32</v>
      </c>
      <c r="B10" s="18" t="s">
        <v>104</v>
      </c>
      <c r="C10" s="18" t="s">
        <v>105</v>
      </c>
      <c r="D10" s="18" t="s">
        <v>106</v>
      </c>
      <c r="H10" s="11"/>
    </row>
    <row r="11" customFormat="false" ht="15" hidden="false" customHeight="true" outlineLevel="0" collapsed="false">
      <c r="A11" s="27" t="n">
        <v>3</v>
      </c>
      <c r="B11" s="16" t="n">
        <f aca="false">MAX(0,$B$5-$B$4-($B$4*((1+$B$6)^A11-1)))*0.2</f>
        <v>24.80576</v>
      </c>
      <c r="C11" s="16" t="n">
        <f aca="false">(MIN(MAX(0,$B$5-$B$4-($B$4*((1+$B$6)^A11-1))),(0.2*($B$4*((1+$B$6)^A11-1))/0.3))*0.5+MIN(MAX(0,$B$5-$B$4-($B$4*((1+$B$6)^A11-1))-(0.2*($B$4*((1+$B$6)^A11-1))/0.3)),MAX(0,(($B$4*(1+$B$7)^A11)-(MIN($B$5,$B$4)+MIN(MAX(0,$B$5-$B$4),($B$4*((1+$B$6)^A11-1)))+MIN(MAX(0,$B$5-$B$4-($B$4*((1+$B$6)^A11-1))),(0.2*($B$4*((1+$B$6)^A11-1))/0.3))*(1-0.5)))/(1-0.2)))*0.2+MAX(0,$B$5-$B$4-($B$4*((1+$B$6)^A11-1))-(0.2*($B$4*((1+$B$6)^A11-1))/0.3)-MIN(MAX(0,$B$5-$B$4-($B$4*((1+$B$6)^A11-1))-(0.2*($B$4*((1+$B$6)^A11-1))/0.3)),MAX(0,(($B$4*(1+$B$7)^A11)-(MIN($B$5,$B$4)+MIN(MAX(0,$B$5-$B$4),($B$4*((1+$B$6)^A11-1)))+MIN(MAX(0,$B$5-$B$4-($B$4*((1+$B$6)^A11-1))),(0.2*($B$4*((1+$B$6)^A11-1))/0.3))*(1-0.5)))/(1-0.2))))*0.3)</f>
        <v>38.9807</v>
      </c>
      <c r="D11" s="16" t="n">
        <f aca="false">(MIN(MAX(0,$B$5-$B$4),MAX(0,($B$4*1.5-$B$4)/0.9))*0.1+MIN(MAX(0,$B$5-$B$4-MIN(MAX(0,$B$5-$B$4),MAX(0,($B$4*1.5-$B$4)/0.9))),MAX(0,($B$4*2-($B$4+MIN(MAX(0,$B$5-$B$4),MAX(0,($B$4*1.5-$B$4)/0.9))*0.9))/0.8))*0.2+MAX(0,$B$5-$B$4-MIN(MAX(0,$B$5-$B$4),MAX(0,($B$4*1.5-$B$4)/0.9))-MIN(MAX(0,$B$5-$B$4-MIN(MAX(0,$B$5-$B$4),MAX(0,($B$4*1.5-$B$4)/0.9))),MAX(0,($B$4*2-($B$4+MIN(MAX(0,$B$5-$B$4),MAX(0,($B$4*1.5-$B$4)/0.9))*0.9))/0.8)))*0.3)</f>
        <v>27.6388888888889</v>
      </c>
      <c r="H11" s="11"/>
    </row>
    <row r="12" customFormat="false" ht="15" hidden="false" customHeight="true" outlineLevel="0" collapsed="false">
      <c r="A12" s="27" t="n">
        <v>4</v>
      </c>
      <c r="B12" s="16" t="n">
        <f aca="false">MAX(0,$B$5-$B$4-($B$4*((1+$B$6)^A12-1)))*0.2</f>
        <v>22.7902208</v>
      </c>
      <c r="C12" s="16" t="n">
        <f aca="false">(MIN(MAX(0,$B$5-$B$4-($B$4*((1+$B$6)^A12-1))),(0.2*($B$4*((1+$B$6)^A12-1))/0.3))*0.5+MIN(MAX(0,$B$5-$B$4-($B$4*((1+$B$6)^A12-1))-(0.2*($B$4*((1+$B$6)^A12-1))/0.3)),MAX(0,(($B$4*(1+$B$7)^A12)-(MIN($B$5,$B$4)+MIN(MAX(0,$B$5-$B$4),($B$4*((1+$B$6)^A12-1)))+MIN(MAX(0,$B$5-$B$4-($B$4*((1+$B$6)^A12-1))),(0.2*($B$4*((1+$B$6)^A12-1))/0.3))*(1-0.5)))/(1-0.2)))*0.2+MAX(0,$B$5-$B$4-($B$4*((1+$B$6)^A12-1))-(0.2*($B$4*((1+$B$6)^A12-1))/0.3)-MIN(MAX(0,$B$5-$B$4-($B$4*((1+$B$6)^A12-1))-(0.2*($B$4*((1+$B$6)^A12-1))/0.3)),MAX(0,(($B$4*(1+$B$7)^A12)-(MIN($B$5,$B$4)+MIN(MAX(0,$B$5-$B$4),($B$4*((1+$B$6)^A12-1)))+MIN(MAX(0,$B$5-$B$4-($B$4*((1+$B$6)^A12-1))),(0.2*($B$4*((1+$B$6)^A12-1))/0.3))*(1-0.5)))/(1-0.2))))*0.3)</f>
        <v>36.387998</v>
      </c>
      <c r="D12" s="16" t="n">
        <f aca="false">(MIN(MAX(0,$B$5-$B$4),MAX(0,($B$4*1.5-$B$4)/0.9))*0.1+MIN(MAX(0,$B$5-$B$4-MIN(MAX(0,$B$5-$B$4),MAX(0,($B$4*1.5-$B$4)/0.9))),MAX(0,($B$4*2-($B$4+MIN(MAX(0,$B$5-$B$4),MAX(0,($B$4*1.5-$B$4)/0.9))*0.9))/0.8))*0.2+MAX(0,$B$5-$B$4-MIN(MAX(0,$B$5-$B$4),MAX(0,($B$4*1.5-$B$4)/0.9))-MIN(MAX(0,$B$5-$B$4-MIN(MAX(0,$B$5-$B$4),MAX(0,($B$4*1.5-$B$4)/0.9))),MAX(0,($B$4*2-($B$4+MIN(MAX(0,$B$5-$B$4),MAX(0,($B$4*1.5-$B$4)/0.9))*0.9))/0.8)))*0.3)</f>
        <v>27.6388888888889</v>
      </c>
      <c r="H12" s="11"/>
    </row>
    <row r="13" customFormat="false" ht="15" hidden="false" customHeight="true" outlineLevel="0" collapsed="false">
      <c r="A13" s="27" t="n">
        <v>5</v>
      </c>
      <c r="B13" s="16" t="n">
        <f aca="false">MAX(0,$B$5-$B$4-($B$4*((1+$B$6)^A13-1)))*0.2</f>
        <v>20.613438464</v>
      </c>
      <c r="C13" s="16" t="n">
        <f aca="false">(MIN(MAX(0,$B$5-$B$4-($B$4*((1+$B$6)^A13-1))),(0.2*($B$4*((1+$B$6)^A13-1))/0.3))*0.5+MIN(MAX(0,$B$5-$B$4-($B$4*((1+$B$6)^A13-1))-(0.2*($B$4*((1+$B$6)^A13-1))/0.3)),MAX(0,(($B$4*(1+$B$7)^A13)-(MIN($B$5,$B$4)+MIN(MAX(0,$B$5-$B$4),($B$4*((1+$B$6)^A13-1)))+MIN(MAX(0,$B$5-$B$4-($B$4*((1+$B$6)^A13-1))),(0.2*($B$4*((1+$B$6)^A13-1))/0.3))*(1-0.5)))/(1-0.2)))*0.2+MAX(0,$B$5-$B$4-($B$4*((1+$B$6)^A13-1))-(0.2*($B$4*((1+$B$6)^A13-1))/0.3)-MIN(MAX(0,$B$5-$B$4-($B$4*((1+$B$6)^A13-1))-(0.2*($B$4*((1+$B$6)^A13-1))/0.3)),MAX(0,(($B$4*(1+$B$7)^A13)-(MIN($B$5,$B$4)+MIN(MAX(0,$B$5-$B$4),($B$4*((1+$B$6)^A13-1)))+MIN(MAX(0,$B$5-$B$4-($B$4*((1+$B$6)^A13-1))),(0.2*($B$4*((1+$B$6)^A13-1))/0.3))*(1-0.5)))/(1-0.2))))*0.3)</f>
        <v>33.43231772</v>
      </c>
      <c r="D13" s="16" t="n">
        <f aca="false">(MIN(MAX(0,$B$5-$B$4),MAX(0,($B$4*1.5-$B$4)/0.9))*0.1+MIN(MAX(0,$B$5-$B$4-MIN(MAX(0,$B$5-$B$4),MAX(0,($B$4*1.5-$B$4)/0.9))),MAX(0,($B$4*2-($B$4+MIN(MAX(0,$B$5-$B$4),MAX(0,($B$4*1.5-$B$4)/0.9))*0.9))/0.8))*0.2+MAX(0,$B$5-$B$4-MIN(MAX(0,$B$5-$B$4),MAX(0,($B$4*1.5-$B$4)/0.9))-MIN(MAX(0,$B$5-$B$4-MIN(MAX(0,$B$5-$B$4),MAX(0,($B$4*1.5-$B$4)/0.9))),MAX(0,($B$4*2-($B$4+MIN(MAX(0,$B$5-$B$4),MAX(0,($B$4*1.5-$B$4)/0.9))*0.9))/0.8)))*0.3)</f>
        <v>27.6388888888889</v>
      </c>
      <c r="H13" s="11"/>
    </row>
    <row r="14" customFormat="false" ht="15" hidden="false" customHeight="true" outlineLevel="0" collapsed="false">
      <c r="A14" s="27" t="n">
        <v>6</v>
      </c>
      <c r="B14" s="16" t="n">
        <f aca="false">MAX(0,$B$5-$B$4-($B$4*((1+$B$6)^A14-1)))*0.2</f>
        <v>18.26251354112</v>
      </c>
      <c r="C14" s="16" t="n">
        <f aca="false">(MIN(MAX(0,$B$5-$B$4-($B$4*((1+$B$6)^A14-1))),(0.2*($B$4*((1+$B$6)^A14-1))/0.3))*0.5+MIN(MAX(0,$B$5-$B$4-($B$4*((1+$B$6)^A14-1))-(0.2*($B$4*((1+$B$6)^A14-1))/0.3)),MAX(0,(($B$4*(1+$B$7)^A14)-(MIN($B$5,$B$4)+MIN(MAX(0,$B$5-$B$4),($B$4*((1+$B$6)^A14-1)))+MIN(MAX(0,$B$5-$B$4-($B$4*((1+$B$6)^A14-1))),(0.2*($B$4*((1+$B$6)^A14-1))/0.3))*(1-0.5)))/(1-0.2)))*0.2+MAX(0,$B$5-$B$4-($B$4*((1+$B$6)^A14-1))-(0.2*($B$4*((1+$B$6)^A14-1))/0.3)-MIN(MAX(0,$B$5-$B$4-($B$4*((1+$B$6)^A14-1))-(0.2*($B$4*((1+$B$6)^A14-1))/0.3)),MAX(0,(($B$4*(1+$B$7)^A14)-(MIN($B$5,$B$4)+MIN(MAX(0,$B$5-$B$4),($B$4*((1+$B$6)^A14-1)))+MIN(MAX(0,$B$5-$B$4-($B$4*((1+$B$6)^A14-1))),(0.2*($B$4*((1+$B$6)^A14-1))/0.3))*(1-0.5)))/(1-0.2))))*0.3)</f>
        <v>30.0628422008</v>
      </c>
      <c r="D14" s="16" t="n">
        <f aca="false">(MIN(MAX(0,$B$5-$B$4),MAX(0,($B$4*1.5-$B$4)/0.9))*0.1+MIN(MAX(0,$B$5-$B$4-MIN(MAX(0,$B$5-$B$4),MAX(0,($B$4*1.5-$B$4)/0.9))),MAX(0,($B$4*2-($B$4+MIN(MAX(0,$B$5-$B$4),MAX(0,($B$4*1.5-$B$4)/0.9))*0.9))/0.8))*0.2+MAX(0,$B$5-$B$4-MIN(MAX(0,$B$5-$B$4),MAX(0,($B$4*1.5-$B$4)/0.9))-MIN(MAX(0,$B$5-$B$4-MIN(MAX(0,$B$5-$B$4),MAX(0,($B$4*1.5-$B$4)/0.9))),MAX(0,($B$4*2-($B$4+MIN(MAX(0,$B$5-$B$4),MAX(0,($B$4*1.5-$B$4)/0.9))*0.9))/0.8)))*0.3)</f>
        <v>27.6388888888889</v>
      </c>
      <c r="H14" s="11"/>
    </row>
    <row r="15" customFormat="false" ht="15" hidden="false" customHeight="true" outlineLevel="0" collapsed="false">
      <c r="A15" s="27" t="n">
        <v>7</v>
      </c>
      <c r="B15" s="16" t="n">
        <f aca="false">MAX(0,$B$5-$B$4-($B$4*((1+$B$6)^A15-1)))*0.2</f>
        <v>15.7235146244096</v>
      </c>
      <c r="C15" s="16" t="n">
        <f aca="false">(MIN(MAX(0,$B$5-$B$4-($B$4*((1+$B$6)^A15-1))),(0.2*($B$4*((1+$B$6)^A15-1))/0.3))*0.5+MIN(MAX(0,$B$5-$B$4-($B$4*((1+$B$6)^A15-1))-(0.2*($B$4*((1+$B$6)^A15-1))/0.3)),MAX(0,(($B$4*(1+$B$7)^A15)-(MIN($B$5,$B$4)+MIN(MAX(0,$B$5-$B$4),($B$4*((1+$B$6)^A15-1)))+MIN(MAX(0,$B$5-$B$4-($B$4*((1+$B$6)^A15-1))),(0.2*($B$4*((1+$B$6)^A15-1))/0.3))*(1-0.5)))/(1-0.2)))*0.2+MAX(0,$B$5-$B$4-($B$4*((1+$B$6)^A15-1))-(0.2*($B$4*((1+$B$6)^A15-1))/0.3)-MIN(MAX(0,$B$5-$B$4-($B$4*((1+$B$6)^A15-1))-(0.2*($B$4*((1+$B$6)^A15-1))/0.3)),MAX(0,(($B$4*(1+$B$7)^A15)-(MIN($B$5,$B$4)+MIN(MAX(0,$B$5-$B$4),($B$4*((1+$B$6)^A15-1)))+MIN(MAX(0,$B$5-$B$4-($B$4*((1+$B$6)^A15-1))),(0.2*($B$4*((1+$B$6)^A15-1))/0.3))*(1-0.5)))/(1-0.2))))*0.3)</f>
        <v>30</v>
      </c>
      <c r="D15" s="16" t="n">
        <f aca="false">(MIN(MAX(0,$B$5-$B$4),MAX(0,($B$4*1.5-$B$4)/0.9))*0.1+MIN(MAX(0,$B$5-$B$4-MIN(MAX(0,$B$5-$B$4),MAX(0,($B$4*1.5-$B$4)/0.9))),MAX(0,($B$4*2-($B$4+MIN(MAX(0,$B$5-$B$4),MAX(0,($B$4*1.5-$B$4)/0.9))*0.9))/0.8))*0.2+MAX(0,$B$5-$B$4-MIN(MAX(0,$B$5-$B$4),MAX(0,($B$4*1.5-$B$4)/0.9))-MIN(MAX(0,$B$5-$B$4-MIN(MAX(0,$B$5-$B$4),MAX(0,($B$4*1.5-$B$4)/0.9))),MAX(0,($B$4*2-($B$4+MIN(MAX(0,$B$5-$B$4),MAX(0,($B$4*1.5-$B$4)/0.9))*0.9))/0.8)))*0.3)</f>
        <v>27.6388888888889</v>
      </c>
      <c r="H15" s="11"/>
    </row>
    <row r="16" customFormat="false" ht="15" hidden="false" customHeight="true" outlineLevel="0" collapsed="false">
      <c r="A16" s="27" t="n">
        <v>8</v>
      </c>
      <c r="B16" s="16" t="n">
        <f aca="false">MAX(0,$B$5-$B$4-($B$4*((1+$B$6)^A16-1)))*0.2</f>
        <v>12.9813957943624</v>
      </c>
      <c r="C16" s="16" t="n">
        <f aca="false">(MIN(MAX(0,$B$5-$B$4-($B$4*((1+$B$6)^A16-1))),(0.2*($B$4*((1+$B$6)^A16-1))/0.3))*0.5+MIN(MAX(0,$B$5-$B$4-($B$4*((1+$B$6)^A16-1))-(0.2*($B$4*((1+$B$6)^A16-1))/0.3)),MAX(0,(($B$4*(1+$B$7)^A16)-(MIN($B$5,$B$4)+MIN(MAX(0,$B$5-$B$4),($B$4*((1+$B$6)^A16-1)))+MIN(MAX(0,$B$5-$B$4-($B$4*((1+$B$6)^A16-1))),(0.2*($B$4*((1+$B$6)^A16-1))/0.3))*(1-0.5)))/(1-0.2)))*0.2+MAX(0,$B$5-$B$4-($B$4*((1+$B$6)^A16-1))-(0.2*($B$4*((1+$B$6)^A16-1))/0.3)-MIN(MAX(0,$B$5-$B$4-($B$4*((1+$B$6)^A16-1))-(0.2*($B$4*((1+$B$6)^A16-1))/0.3)),MAX(0,(($B$4*(1+$B$7)^A16)-(MIN($B$5,$B$4)+MIN(MAX(0,$B$5-$B$4),($B$4*((1+$B$6)^A16-1)))+MIN(MAX(0,$B$5-$B$4-($B$4*((1+$B$6)^A16-1))),(0.2*($B$4*((1+$B$6)^A16-1))/0.3))*(1-0.5)))/(1-0.2))))*0.3)</f>
        <v>30</v>
      </c>
      <c r="D16" s="16" t="n">
        <f aca="false">(MIN(MAX(0,$B$5-$B$4),MAX(0,($B$4*1.5-$B$4)/0.9))*0.1+MIN(MAX(0,$B$5-$B$4-MIN(MAX(0,$B$5-$B$4),MAX(0,($B$4*1.5-$B$4)/0.9))),MAX(0,($B$4*2-($B$4+MIN(MAX(0,$B$5-$B$4),MAX(0,($B$4*1.5-$B$4)/0.9))*0.9))/0.8))*0.2+MAX(0,$B$5-$B$4-MIN(MAX(0,$B$5-$B$4),MAX(0,($B$4*1.5-$B$4)/0.9))-MIN(MAX(0,$B$5-$B$4-MIN(MAX(0,$B$5-$B$4),MAX(0,($B$4*1.5-$B$4)/0.9))),MAX(0,($B$4*2-($B$4+MIN(MAX(0,$B$5-$B$4),MAX(0,($B$4*1.5-$B$4)/0.9))*0.9))/0.8)))*0.3)</f>
        <v>27.6388888888889</v>
      </c>
      <c r="H16" s="11"/>
    </row>
    <row r="17" customFormat="false" ht="15" hidden="false" customHeight="true" outlineLevel="0" collapsed="false">
      <c r="A17" s="27" t="n">
        <v>10</v>
      </c>
      <c r="B17" s="16" t="n">
        <f aca="false">MAX(0,$B$5-$B$4-($B$4*((1+$B$6)^A17-1)))*0.2</f>
        <v>6.82150005454424</v>
      </c>
      <c r="C17" s="16" t="n">
        <f aca="false">(MIN(MAX(0,$B$5-$B$4-($B$4*((1+$B$6)^A17-1))),(0.2*($B$4*((1+$B$6)^A17-1))/0.3))*0.5+MIN(MAX(0,$B$5-$B$4-($B$4*((1+$B$6)^A17-1))-(0.2*($B$4*((1+$B$6)^A17-1))/0.3)),MAX(0,(($B$4*(1+$B$7)^A17)-(MIN($B$5,$B$4)+MIN(MAX(0,$B$5-$B$4),($B$4*((1+$B$6)^A17-1)))+MIN(MAX(0,$B$5-$B$4-($B$4*((1+$B$6)^A17-1))),(0.2*($B$4*((1+$B$6)^A17-1))/0.3))*(1-0.5)))/(1-0.2)))*0.2+MAX(0,$B$5-$B$4-($B$4*((1+$B$6)^A17-1))-(0.2*($B$4*((1+$B$6)^A17-1))/0.3)-MIN(MAX(0,$B$5-$B$4-($B$4*((1+$B$6)^A17-1))-(0.2*($B$4*((1+$B$6)^A17-1))/0.3)),MAX(0,(($B$4*(1+$B$7)^A17)-(MIN($B$5,$B$4)+MIN(MAX(0,$B$5-$B$4),($B$4*((1+$B$6)^A17-1)))+MIN(MAX(0,$B$5-$B$4-($B$4*((1+$B$6)^A17-1))),(0.2*($B$4*((1+$B$6)^A17-1))/0.3))*(1-0.5)))/(1-0.2))))*0.3)</f>
        <v>17.0537501363606</v>
      </c>
      <c r="D17" s="16" t="n">
        <f aca="false">(MIN(MAX(0,$B$5-$B$4),MAX(0,($B$4*1.5-$B$4)/0.9))*0.1+MIN(MAX(0,$B$5-$B$4-MIN(MAX(0,$B$5-$B$4),MAX(0,($B$4*1.5-$B$4)/0.9))),MAX(0,($B$4*2-($B$4+MIN(MAX(0,$B$5-$B$4),MAX(0,($B$4*1.5-$B$4)/0.9))*0.9))/0.8))*0.2+MAX(0,$B$5-$B$4-MIN(MAX(0,$B$5-$B$4),MAX(0,($B$4*1.5-$B$4)/0.9))-MIN(MAX(0,$B$5-$B$4-MIN(MAX(0,$B$5-$B$4),MAX(0,($B$4*1.5-$B$4)/0.9))),MAX(0,($B$4*2-($B$4+MIN(MAX(0,$B$5-$B$4),MAX(0,($B$4*1.5-$B$4)/0.9))*0.9))/0.8)))*0.3)</f>
        <v>27.6388888888889</v>
      </c>
      <c r="H17" s="11"/>
    </row>
    <row r="18" customFormat="false" ht="15" hidden="false" customHeight="true" outlineLevel="0" collapsed="false">
      <c r="H18" s="11"/>
    </row>
    <row r="19" customFormat="false" ht="15" hidden="false" customHeight="true" outlineLevel="0" collapsed="false">
      <c r="A19" s="28" t="s">
        <v>107</v>
      </c>
      <c r="B19" s="28"/>
      <c r="C19" s="28"/>
      <c r="D19" s="28"/>
      <c r="H19" s="11"/>
    </row>
    <row r="20" customFormat="false" ht="15" hidden="false" customHeight="true" outlineLevel="0" collapsed="false">
      <c r="H20" s="11"/>
    </row>
    <row r="21" customFormat="false" ht="15" hidden="false" customHeight="true" outlineLevel="0" collapsed="false">
      <c r="H21" s="11"/>
    </row>
    <row r="22" customFormat="false" ht="15" hidden="false" customHeight="true" outlineLevel="0" collapsed="false">
      <c r="H22" s="11"/>
    </row>
    <row r="23" customFormat="false" ht="15" hidden="false" customHeight="true" outlineLevel="0" collapsed="false">
      <c r="H23" s="11"/>
    </row>
    <row r="24" customFormat="false" ht="15" hidden="false" customHeight="true" outlineLevel="0" collapsed="false">
      <c r="H24" s="11"/>
    </row>
  </sheetData>
  <mergeCells count="2">
    <mergeCell ref="H5:H24"/>
    <mergeCell ref="A19:D19"/>
  </mergeCells>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H40"/>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1" width="40"/>
    <col collapsed="false" customWidth="true" hidden="false" outlineLevel="0" max="5" min="2" style="1" width="17"/>
    <col collapsed="false" customWidth="true" hidden="false" outlineLevel="0" max="6" min="6" style="1" width="16"/>
    <col collapsed="false" customWidth="true" hidden="false" outlineLevel="0" max="7" min="7" style="1" width="3"/>
    <col collapsed="false" customWidth="true" hidden="false" outlineLevel="0" max="8" min="8" style="1" width="48"/>
  </cols>
  <sheetData>
    <row r="1" customFormat="false" ht="17.25" hidden="false" customHeight="true" outlineLevel="0" collapsed="false">
      <c r="A1" s="8" t="s">
        <v>108</v>
      </c>
    </row>
    <row r="2" customFormat="false" ht="15" hidden="false" customHeight="true" outlineLevel="0" collapsed="false">
      <c r="A2" s="4" t="s">
        <v>109</v>
      </c>
    </row>
    <row r="4" customFormat="false" ht="15" hidden="false" customHeight="true" outlineLevel="0" collapsed="false">
      <c r="A4" s="9" t="s">
        <v>22</v>
      </c>
      <c r="B4" s="10" t="n">
        <v>100</v>
      </c>
      <c r="H4" s="5" t="s">
        <v>110</v>
      </c>
    </row>
    <row r="5" customFormat="false" ht="15" hidden="false" customHeight="true" outlineLevel="0" collapsed="false">
      <c r="A5" s="9" t="s">
        <v>24</v>
      </c>
      <c r="B5" s="14" t="n">
        <v>0.9</v>
      </c>
      <c r="H5" s="11" t="s">
        <v>111</v>
      </c>
    </row>
    <row r="6" customFormat="false" ht="15" hidden="false" customHeight="true" outlineLevel="0" collapsed="false">
      <c r="A6" s="9" t="s">
        <v>72</v>
      </c>
      <c r="B6" s="14" t="n">
        <v>0.08</v>
      </c>
      <c r="H6" s="11"/>
    </row>
    <row r="7" customFormat="false" ht="15" hidden="false" customHeight="true" outlineLevel="0" collapsed="false">
      <c r="A7" s="9" t="s">
        <v>29</v>
      </c>
      <c r="B7" s="14" t="n">
        <v>0.14</v>
      </c>
      <c r="H7" s="11"/>
    </row>
    <row r="8" customFormat="false" ht="15" hidden="false" customHeight="true" outlineLevel="0" collapsed="false">
      <c r="A8" s="9" t="s">
        <v>32</v>
      </c>
      <c r="B8" s="15" t="n">
        <v>5</v>
      </c>
      <c r="H8" s="11"/>
    </row>
    <row r="9" customFormat="false" ht="15" hidden="false" customHeight="true" outlineLevel="0" collapsed="false">
      <c r="H9" s="11"/>
    </row>
    <row r="10" customFormat="false" ht="15" hidden="false" customHeight="true" outlineLevel="0" collapsed="false">
      <c r="A10" s="5" t="s">
        <v>112</v>
      </c>
      <c r="H10" s="11"/>
    </row>
    <row r="11" customFormat="false" ht="27.75" hidden="false" customHeight="true" outlineLevel="0" collapsed="false">
      <c r="A11" s="17" t="s">
        <v>80</v>
      </c>
      <c r="B11" s="18" t="s">
        <v>46</v>
      </c>
      <c r="C11" s="18" t="s">
        <v>47</v>
      </c>
      <c r="D11" s="18" t="s">
        <v>113</v>
      </c>
      <c r="E11" s="18" t="s">
        <v>74</v>
      </c>
      <c r="F11" s="18" t="s">
        <v>114</v>
      </c>
      <c r="H11" s="11"/>
    </row>
    <row r="12" customFormat="false" ht="15" hidden="false" customHeight="true" outlineLevel="0" collapsed="false">
      <c r="A12" s="25" t="n">
        <v>150</v>
      </c>
      <c r="B12" s="16" t="n">
        <f aca="false">A12-(MIN(MAX(0,A12-$B$4-($B$4*((1+$B$6)^$B$8-1))),(0.2*($B$4*((1+$B$6)^$B$8-1))/0.3))*0.5+MIN(MAX(0,A12-$B$4-($B$4*((1+$B$6)^$B$8-1))-(0.2*($B$4*((1+$B$6)^$B$8-1))/0.3)),MAX(0,(($B$4*(1+$B$7)^$B$8)-(MIN(A12,$B$4)+MIN(MAX(0,A12-$B$4),($B$4*((1+$B$6)^$B$8-1)))+MIN(MAX(0,A12-$B$4-($B$4*((1+$B$6)^$B$8-1))),(0.2*($B$4*((1+$B$6)^$B$8-1))/0.3))*(1-0.5)))/(1-0.2)))*0.2+MAX(0,A12-$B$4-($B$4*((1+$B$6)^$B$8-1))-(0.2*($B$4*((1+$B$6)^$B$8-1))/0.3)-MIN(MAX(0,A12-$B$4-($B$4*((1+$B$6)^$B$8-1))-(0.2*($B$4*((1+$B$6)^$B$8-1))/0.3)),MAX(0,(($B$4*(1+$B$7)^$B$8)-(MIN(A12,$B$4)+MIN(MAX(0,A12-$B$4),($B$4*((1+$B$6)^$B$8-1)))+MIN(MAX(0,A12-$B$4-($B$4*((1+$B$6)^$B$8-1))),(0.2*($B$4*((1+$B$6)^$B$8-1))/0.3))*(1-0.5)))/(1-0.2))))*0.3)</f>
        <v>148.46640384</v>
      </c>
      <c r="C12" s="16" t="n">
        <f aca="false">(MIN(MAX(0,A12-$B$4-($B$4*((1+$B$6)^$B$8-1))),(0.2*($B$4*((1+$B$6)^$B$8-1))/0.3))*0.5+MIN(MAX(0,A12-$B$4-($B$4*((1+$B$6)^$B$8-1))-(0.2*($B$4*((1+$B$6)^$B$8-1))/0.3)),MAX(0,(($B$4*(1+$B$7)^$B$8)-(MIN(A12,$B$4)+MIN(MAX(0,A12-$B$4),($B$4*((1+$B$6)^$B$8-1)))+MIN(MAX(0,A12-$B$4-($B$4*((1+$B$6)^$B$8-1))),(0.2*($B$4*((1+$B$6)^$B$8-1))/0.3))*(1-0.5)))/(1-0.2)))*0.2+MAX(0,A12-$B$4-($B$4*((1+$B$6)^$B$8-1))-(0.2*($B$4*((1+$B$6)^$B$8-1))/0.3)-MIN(MAX(0,A12-$B$4-($B$4*((1+$B$6)^$B$8-1))-(0.2*($B$4*((1+$B$6)^$B$8-1))/0.3)),MAX(0,(($B$4*(1+$B$7)^$B$8)-(MIN(A12,$B$4)+MIN(MAX(0,A12-$B$4),($B$4*((1+$B$6)^$B$8-1)))+MIN(MAX(0,A12-$B$4-($B$4*((1+$B$6)^$B$8-1))),(0.2*($B$4*((1+$B$6)^$B$8-1))/0.3))*(1-0.5)))/(1-0.2))))*0.3)</f>
        <v>1.53359615999997</v>
      </c>
      <c r="D12" s="9" t="s">
        <v>115</v>
      </c>
      <c r="E12" s="22" t="n">
        <f aca="false">B12/$B$4</f>
        <v>1.4846640384</v>
      </c>
      <c r="F12" s="13" t="n">
        <f aca="false">IF(A12&lt;=$B$4,"",C12/(A12-$B$4))</f>
        <v>0.0306719231999995</v>
      </c>
      <c r="H12" s="11"/>
    </row>
    <row r="13" customFormat="false" ht="15" hidden="false" customHeight="true" outlineLevel="0" collapsed="false">
      <c r="A13" s="25" t="n">
        <v>180</v>
      </c>
      <c r="B13" s="16" t="n">
        <f aca="false">A13-(MIN(MAX(0,A13-$B$4-($B$4*((1+$B$6)^$B$8-1))),(0.2*($B$4*((1+$B$6)^$B$8-1))/0.3))*0.5+MIN(MAX(0,A13-$B$4-($B$4*((1+$B$6)^$B$8-1))-(0.2*($B$4*((1+$B$6)^$B$8-1))/0.3)),MAX(0,(($B$4*(1+$B$7)^$B$8)-(MIN(A13,$B$4)+MIN(MAX(0,A13-$B$4),($B$4*((1+$B$6)^$B$8-1)))+MIN(MAX(0,A13-$B$4-($B$4*((1+$B$6)^$B$8-1))),(0.2*($B$4*((1+$B$6)^$B$8-1))/0.3))*(1-0.5)))/(1-0.2)))*0.2+MAX(0,A13-$B$4-($B$4*((1+$B$6)^$B$8-1))-(0.2*($B$4*((1+$B$6)^$B$8-1))/0.3)-MIN(MAX(0,A13-$B$4-($B$4*((1+$B$6)^$B$8-1))-(0.2*($B$4*((1+$B$6)^$B$8-1))/0.3)),MAX(0,(($B$4*(1+$B$7)^$B$8)-(MIN(A13,$B$4)+MIN(MAX(0,A13-$B$4),($B$4*((1+$B$6)^$B$8-1)))+MIN(MAX(0,A13-$B$4-($B$4*((1+$B$6)^$B$8-1))),(0.2*($B$4*((1+$B$6)^$B$8-1))/0.3))*(1-0.5)))/(1-0.2))))*0.3)</f>
        <v>164</v>
      </c>
      <c r="C13" s="16" t="n">
        <f aca="false">(MIN(MAX(0,A13-$B$4-($B$4*((1+$B$6)^$B$8-1))),(0.2*($B$4*((1+$B$6)^$B$8-1))/0.3))*0.5+MIN(MAX(0,A13-$B$4-($B$4*((1+$B$6)^$B$8-1))-(0.2*($B$4*((1+$B$6)^$B$8-1))/0.3)),MAX(0,(($B$4*(1+$B$7)^$B$8)-(MIN(A13,$B$4)+MIN(MAX(0,A13-$B$4),($B$4*((1+$B$6)^$B$8-1)))+MIN(MAX(0,A13-$B$4-($B$4*((1+$B$6)^$B$8-1))),(0.2*($B$4*((1+$B$6)^$B$8-1))/0.3))*(1-0.5)))/(1-0.2)))*0.2+MAX(0,A13-$B$4-($B$4*((1+$B$6)^$B$8-1))-(0.2*($B$4*((1+$B$6)^$B$8-1))/0.3)-MIN(MAX(0,A13-$B$4-($B$4*((1+$B$6)^$B$8-1))-(0.2*($B$4*((1+$B$6)^$B$8-1))/0.3)),MAX(0,(($B$4*(1+$B$7)^$B$8)-(MIN(A13,$B$4)+MIN(MAX(0,A13-$B$4),($B$4*((1+$B$6)^$B$8-1)))+MIN(MAX(0,A13-$B$4-($B$4*((1+$B$6)^$B$8-1))),(0.2*($B$4*((1+$B$6)^$B$8-1))/0.3))*(1-0.5)))/(1-0.2))))*0.3)</f>
        <v>16</v>
      </c>
      <c r="D13" s="13" t="n">
        <f aca="false">(C13-C12)/(A13-A12)</f>
        <v>0.482213461333334</v>
      </c>
      <c r="E13" s="22" t="n">
        <f aca="false">B13/$B$4</f>
        <v>1.64</v>
      </c>
      <c r="F13" s="13" t="n">
        <f aca="false">IF(A13&lt;=$B$4,"",C13/(A13-$B$4))</f>
        <v>0.2</v>
      </c>
      <c r="H13" s="11"/>
    </row>
    <row r="14" customFormat="false" ht="15" hidden="false" customHeight="true" outlineLevel="0" collapsed="false">
      <c r="A14" s="25" t="n">
        <v>250</v>
      </c>
      <c r="B14" s="16" t="n">
        <f aca="false">A14-(MIN(MAX(0,A14-$B$4-($B$4*((1+$B$6)^$B$8-1))),(0.2*($B$4*((1+$B$6)^$B$8-1))/0.3))*0.5+MIN(MAX(0,A14-$B$4-($B$4*((1+$B$6)^$B$8-1))-(0.2*($B$4*((1+$B$6)^$B$8-1))/0.3)),MAX(0,(($B$4*(1+$B$7)^$B$8)-(MIN(A14,$B$4)+MIN(MAX(0,A14-$B$4),($B$4*((1+$B$6)^$B$8-1)))+MIN(MAX(0,A14-$B$4-($B$4*((1+$B$6)^$B$8-1))),(0.2*($B$4*((1+$B$6)^$B$8-1))/0.3))*(1-0.5)))/(1-0.2)))*0.2+MAX(0,A14-$B$4-($B$4*((1+$B$6)^$B$8-1))-(0.2*($B$4*((1+$B$6)^$B$8-1))/0.3)-MIN(MAX(0,A14-$B$4-($B$4*((1+$B$6)^$B$8-1))-(0.2*($B$4*((1+$B$6)^$B$8-1))/0.3)),MAX(0,(($B$4*(1+$B$7)^$B$8)-(MIN(A14,$B$4)+MIN(MAX(0,A14-$B$4),($B$4*((1+$B$6)^$B$8-1)))+MIN(MAX(0,A14-$B$4-($B$4*((1+$B$6)^$B$8-1))),(0.2*($B$4*((1+$B$6)^$B$8-1))/0.3))*(1-0.5)))/(1-0.2))))*0.3)</f>
        <v>216.56768228</v>
      </c>
      <c r="C14" s="16" t="n">
        <f aca="false">(MIN(MAX(0,A14-$B$4-($B$4*((1+$B$6)^$B$8-1))),(0.2*($B$4*((1+$B$6)^$B$8-1))/0.3))*0.5+MIN(MAX(0,A14-$B$4-($B$4*((1+$B$6)^$B$8-1))-(0.2*($B$4*((1+$B$6)^$B$8-1))/0.3)),MAX(0,(($B$4*(1+$B$7)^$B$8)-(MIN(A14,$B$4)+MIN(MAX(0,A14-$B$4),($B$4*((1+$B$6)^$B$8-1)))+MIN(MAX(0,A14-$B$4-($B$4*((1+$B$6)^$B$8-1))),(0.2*($B$4*((1+$B$6)^$B$8-1))/0.3))*(1-0.5)))/(1-0.2)))*0.2+MAX(0,A14-$B$4-($B$4*((1+$B$6)^$B$8-1))-(0.2*($B$4*((1+$B$6)^$B$8-1))/0.3)-MIN(MAX(0,A14-$B$4-($B$4*((1+$B$6)^$B$8-1))-(0.2*($B$4*((1+$B$6)^$B$8-1))/0.3)),MAX(0,(($B$4*(1+$B$7)^$B$8)-(MIN(A14,$B$4)+MIN(MAX(0,A14-$B$4),($B$4*((1+$B$6)^$B$8-1)))+MIN(MAX(0,A14-$B$4-($B$4*((1+$B$6)^$B$8-1))),(0.2*($B$4*((1+$B$6)^$B$8-1))/0.3))*(1-0.5)))/(1-0.2))))*0.3)</f>
        <v>33.43231772</v>
      </c>
      <c r="D14" s="13" t="n">
        <f aca="false">(C14-C13)/(A14-A13)</f>
        <v>0.249033110285714</v>
      </c>
      <c r="E14" s="22" t="n">
        <f aca="false">B14/$B$4</f>
        <v>2.1656768228</v>
      </c>
      <c r="F14" s="13" t="n">
        <f aca="false">IF(A14&lt;=$B$4,"",C14/(A14-$B$4))</f>
        <v>0.222882118133333</v>
      </c>
      <c r="H14" s="11"/>
    </row>
    <row r="15" customFormat="false" ht="15" hidden="false" customHeight="true" outlineLevel="0" collapsed="false">
      <c r="A15" s="25" t="n">
        <v>320</v>
      </c>
      <c r="B15" s="16" t="n">
        <f aca="false">A15-(MIN(MAX(0,A15-$B$4-($B$4*((1+$B$6)^$B$8-1))),(0.2*($B$4*((1+$B$6)^$B$8-1))/0.3))*0.5+MIN(MAX(0,A15-$B$4-($B$4*((1+$B$6)^$B$8-1))-(0.2*($B$4*((1+$B$6)^$B$8-1))/0.3)),MAX(0,(($B$4*(1+$B$7)^$B$8)-(MIN(A15,$B$4)+MIN(MAX(0,A15-$B$4),($B$4*((1+$B$6)^$B$8-1)))+MIN(MAX(0,A15-$B$4-($B$4*((1+$B$6)^$B$8-1))),(0.2*($B$4*((1+$B$6)^$B$8-1))/0.3))*(1-0.5)))/(1-0.2)))*0.2+MAX(0,A15-$B$4-($B$4*((1+$B$6)^$B$8-1))-(0.2*($B$4*((1+$B$6)^$B$8-1))/0.3)-MIN(MAX(0,A15-$B$4-($B$4*((1+$B$6)^$B$8-1))-(0.2*($B$4*((1+$B$6)^$B$8-1))/0.3)),MAX(0,(($B$4*(1+$B$7)^$B$8)-(MIN(A15,$B$4)+MIN(MAX(0,A15-$B$4),($B$4*((1+$B$6)^$B$8-1)))+MIN(MAX(0,A15-$B$4-($B$4*((1+$B$6)^$B$8-1))),(0.2*($B$4*((1+$B$6)^$B$8-1))/0.3))*(1-0.5)))/(1-0.2))))*0.3)</f>
        <v>265.56768228</v>
      </c>
      <c r="C15" s="16" t="n">
        <f aca="false">(MIN(MAX(0,A15-$B$4-($B$4*((1+$B$6)^$B$8-1))),(0.2*($B$4*((1+$B$6)^$B$8-1))/0.3))*0.5+MIN(MAX(0,A15-$B$4-($B$4*((1+$B$6)^$B$8-1))-(0.2*($B$4*((1+$B$6)^$B$8-1))/0.3)),MAX(0,(($B$4*(1+$B$7)^$B$8)-(MIN(A15,$B$4)+MIN(MAX(0,A15-$B$4),($B$4*((1+$B$6)^$B$8-1)))+MIN(MAX(0,A15-$B$4-($B$4*((1+$B$6)^$B$8-1))),(0.2*($B$4*((1+$B$6)^$B$8-1))/0.3))*(1-0.5)))/(1-0.2)))*0.2+MAX(0,A15-$B$4-($B$4*((1+$B$6)^$B$8-1))-(0.2*($B$4*((1+$B$6)^$B$8-1))/0.3)-MIN(MAX(0,A15-$B$4-($B$4*((1+$B$6)^$B$8-1))-(0.2*($B$4*((1+$B$6)^$B$8-1))/0.3)),MAX(0,(($B$4*(1+$B$7)^$B$8)-(MIN(A15,$B$4)+MIN(MAX(0,A15-$B$4),($B$4*((1+$B$6)^$B$8-1)))+MIN(MAX(0,A15-$B$4-($B$4*((1+$B$6)^$B$8-1))),(0.2*($B$4*((1+$B$6)^$B$8-1))/0.3))*(1-0.5)))/(1-0.2))))*0.3)</f>
        <v>54.43231772</v>
      </c>
      <c r="D15" s="13" t="n">
        <f aca="false">(C15-C14)/(A15-A14)</f>
        <v>0.3</v>
      </c>
      <c r="E15" s="22" t="n">
        <f aca="false">B15/$B$4</f>
        <v>2.6556768228</v>
      </c>
      <c r="F15" s="13" t="n">
        <f aca="false">IF(A15&lt;=$B$4,"",C15/(A15-$B$4))</f>
        <v>0.247419626</v>
      </c>
      <c r="H15" s="11"/>
    </row>
    <row r="16" customFormat="false" ht="15" hidden="false" customHeight="true" outlineLevel="0" collapsed="false">
      <c r="H16" s="11"/>
    </row>
    <row r="17" customFormat="false" ht="15" hidden="false" customHeight="true" outlineLevel="0" collapsed="false">
      <c r="H17" s="11"/>
    </row>
    <row r="18" customFormat="false" ht="15" hidden="false" customHeight="true" outlineLevel="0" collapsed="false">
      <c r="A18" s="5" t="s">
        <v>116</v>
      </c>
      <c r="H18" s="11"/>
    </row>
    <row r="19" customFormat="false" ht="15" hidden="false" customHeight="true" outlineLevel="0" collapsed="false">
      <c r="A19" s="28" t="s">
        <v>117</v>
      </c>
      <c r="B19" s="28"/>
      <c r="C19" s="28"/>
      <c r="D19" s="28"/>
      <c r="E19" s="28"/>
      <c r="F19" s="28"/>
      <c r="H19" s="11"/>
    </row>
    <row r="20" customFormat="false" ht="27.75" hidden="false" customHeight="true" outlineLevel="0" collapsed="false">
      <c r="A20" s="17" t="s">
        <v>80</v>
      </c>
      <c r="B20" s="18" t="s">
        <v>118</v>
      </c>
      <c r="C20" s="18" t="s">
        <v>64</v>
      </c>
      <c r="D20" s="18" t="s">
        <v>119</v>
      </c>
      <c r="E20" s="18" t="s">
        <v>120</v>
      </c>
      <c r="F20" s="18" t="s">
        <v>121</v>
      </c>
      <c r="H20" s="11"/>
    </row>
    <row r="21" customFormat="false" ht="15" hidden="false" customHeight="true" outlineLevel="0" collapsed="false">
      <c r="A21" s="25" t="n">
        <v>150</v>
      </c>
      <c r="B21" s="29" t="n">
        <f aca="false">((A21*$B$5)/($B$4*$B$5))^(1/$B$8)-1</f>
        <v>0.0844717711976986</v>
      </c>
      <c r="C21" s="29" t="n">
        <f aca="false">(((A21-(MIN(MAX(0,A21-$B$4-($B$4*((1+$B$6)^$B$8-1))),(0.2*($B$4*((1+$B$6)^$B$8-1))/0.3))*0.5+MIN(MAX(0,A21-$B$4-($B$4*((1+$B$6)^$B$8-1))-(0.2*($B$4*((1+$B$6)^$B$8-1))/0.3)),MAX(0,(($B$4*(1+$B$7)^$B$8)-(MIN(A21,$B$4)+MIN(MAX(0,A21-$B$4),($B$4*((1+$B$6)^$B$8-1)))+MIN(MAX(0,A21-$B$4-($B$4*((1+$B$6)^$B$8-1))),(0.2*($B$4*((1+$B$6)^$B$8-1))/0.3))*(1-0.5)))/(1-0.2)))*0.2+MAX(0,A21-$B$4-($B$4*((1+$B$6)^$B$8-1))-(0.2*($B$4*((1+$B$6)^$B$8-1))/0.3)-MIN(MAX(0,A21-$B$4-($B$4*((1+$B$6)^$B$8-1))-(0.2*($B$4*((1+$B$6)^$B$8-1))/0.3)),MAX(0,(($B$4*(1+$B$7)^$B$8)-(MIN(A21,$B$4)+MIN(MAX(0,A21-$B$4),($B$4*((1+$B$6)^$B$8-1)))+MIN(MAX(0,A21-$B$4-($B$4*((1+$B$6)^$B$8-1))),(0.2*($B$4*((1+$B$6)^$B$8-1))/0.3))*(1-0.5)))/(1-0.2))))*0.3))*$B$5)/($B$4*$B$5))^(1/$B$8)-1</f>
        <v>0.0822451240833542</v>
      </c>
      <c r="D21" s="29" t="n">
        <f aca="false">B21-C21</f>
        <v>0.00222664711434439</v>
      </c>
      <c r="E21" s="22" t="n">
        <f aca="false">(A21*$B$5)/($B$4*$B$5)</f>
        <v>1.5</v>
      </c>
      <c r="F21" s="22" t="n">
        <f aca="false">((A21-(MIN(MAX(0,A21-$B$4-($B$4*((1+$B$6)^$B$8-1))),(0.2*($B$4*((1+$B$6)^$B$8-1))/0.3))*0.5+MIN(MAX(0,A21-$B$4-($B$4*((1+$B$6)^$B$8-1))-(0.2*($B$4*((1+$B$6)^$B$8-1))/0.3)),MAX(0,(($B$4*(1+$B$7)^$B$8)-(MIN(A21,$B$4)+MIN(MAX(0,A21-$B$4),($B$4*((1+$B$6)^$B$8-1)))+MIN(MAX(0,A21-$B$4-($B$4*((1+$B$6)^$B$8-1))),(0.2*($B$4*((1+$B$6)^$B$8-1))/0.3))*(1-0.5)))/(1-0.2)))*0.2+MAX(0,A21-$B$4-($B$4*((1+$B$6)^$B$8-1))-(0.2*($B$4*((1+$B$6)^$B$8-1))/0.3)-MIN(MAX(0,A21-$B$4-($B$4*((1+$B$6)^$B$8-1))-(0.2*($B$4*((1+$B$6)^$B$8-1))/0.3)),MAX(0,(($B$4*(1+$B$7)^$B$8)-(MIN(A21,$B$4)+MIN(MAX(0,A21-$B$4),($B$4*((1+$B$6)^$B$8-1)))+MIN(MAX(0,A21-$B$4-($B$4*((1+$B$6)^$B$8-1))),(0.2*($B$4*((1+$B$6)^$B$8-1))/0.3))*(1-0.5)))/(1-0.2))))*0.3))*$B$5)/($B$4*$B$5)</f>
        <v>1.4846640384</v>
      </c>
      <c r="H21" s="11"/>
    </row>
    <row r="22" customFormat="false" ht="15" hidden="false" customHeight="true" outlineLevel="0" collapsed="false">
      <c r="A22" s="25" t="n">
        <v>180</v>
      </c>
      <c r="B22" s="29" t="n">
        <f aca="false">((A22*$B$5)/($B$4*$B$5))^(1/$B$8)-1</f>
        <v>0.124746113142095</v>
      </c>
      <c r="C22" s="29" t="n">
        <f aca="false">(((A22-(MIN(MAX(0,A22-$B$4-($B$4*((1+$B$6)^$B$8-1))),(0.2*($B$4*((1+$B$6)^$B$8-1))/0.3))*0.5+MIN(MAX(0,A22-$B$4-($B$4*((1+$B$6)^$B$8-1))-(0.2*($B$4*((1+$B$6)^$B$8-1))/0.3)),MAX(0,(($B$4*(1+$B$7)^$B$8)-(MIN(A22,$B$4)+MIN(MAX(0,A22-$B$4),($B$4*((1+$B$6)^$B$8-1)))+MIN(MAX(0,A22-$B$4-($B$4*((1+$B$6)^$B$8-1))),(0.2*($B$4*((1+$B$6)^$B$8-1))/0.3))*(1-0.5)))/(1-0.2)))*0.2+MAX(0,A22-$B$4-($B$4*((1+$B$6)^$B$8-1))-(0.2*($B$4*((1+$B$6)^$B$8-1))/0.3)-MIN(MAX(0,A22-$B$4-($B$4*((1+$B$6)^$B$8-1))-(0.2*($B$4*((1+$B$6)^$B$8-1))/0.3)),MAX(0,(($B$4*(1+$B$7)^$B$8)-(MIN(A22,$B$4)+MIN(MAX(0,A22-$B$4),($B$4*((1+$B$6)^$B$8-1)))+MIN(MAX(0,A22-$B$4-($B$4*((1+$B$6)^$B$8-1))),(0.2*($B$4*((1+$B$6)^$B$8-1))/0.3))*(1-0.5)))/(1-0.2))))*0.3))*$B$5)/($B$4*$B$5))^(1/$B$8)-1</f>
        <v>0.103999227765869</v>
      </c>
      <c r="D22" s="29" t="n">
        <f aca="false">B22-C22</f>
        <v>0.0207468853762258</v>
      </c>
      <c r="E22" s="22" t="n">
        <f aca="false">(A22*$B$5)/($B$4*$B$5)</f>
        <v>1.8</v>
      </c>
      <c r="F22" s="22" t="n">
        <f aca="false">((A22-(MIN(MAX(0,A22-$B$4-($B$4*((1+$B$6)^$B$8-1))),(0.2*($B$4*((1+$B$6)^$B$8-1))/0.3))*0.5+MIN(MAX(0,A22-$B$4-($B$4*((1+$B$6)^$B$8-1))-(0.2*($B$4*((1+$B$6)^$B$8-1))/0.3)),MAX(0,(($B$4*(1+$B$7)^$B$8)-(MIN(A22,$B$4)+MIN(MAX(0,A22-$B$4),($B$4*((1+$B$6)^$B$8-1)))+MIN(MAX(0,A22-$B$4-($B$4*((1+$B$6)^$B$8-1))),(0.2*($B$4*((1+$B$6)^$B$8-1))/0.3))*(1-0.5)))/(1-0.2)))*0.2+MAX(0,A22-$B$4-($B$4*((1+$B$6)^$B$8-1))-(0.2*($B$4*((1+$B$6)^$B$8-1))/0.3)-MIN(MAX(0,A22-$B$4-($B$4*((1+$B$6)^$B$8-1))-(0.2*($B$4*((1+$B$6)^$B$8-1))/0.3)),MAX(0,(($B$4*(1+$B$7)^$B$8)-(MIN(A22,$B$4)+MIN(MAX(0,A22-$B$4),($B$4*((1+$B$6)^$B$8-1)))+MIN(MAX(0,A22-$B$4-($B$4*((1+$B$6)^$B$8-1))),(0.2*($B$4*((1+$B$6)^$B$8-1))/0.3))*(1-0.5)))/(1-0.2))))*0.3))*$B$5)/($B$4*$B$5)</f>
        <v>1.64</v>
      </c>
      <c r="H22" s="11"/>
    </row>
    <row r="23" customFormat="false" ht="15" hidden="false" customHeight="true" outlineLevel="0" collapsed="false">
      <c r="A23" s="25" t="n">
        <v>250</v>
      </c>
      <c r="B23" s="29" t="n">
        <f aca="false">((A23*$B$5)/($B$4*$B$5))^(1/$B$8)-1</f>
        <v>0.201124433981431</v>
      </c>
      <c r="C23" s="29" t="n">
        <f aca="false">(((A23-(MIN(MAX(0,A23-$B$4-($B$4*((1+$B$6)^$B$8-1))),(0.2*($B$4*((1+$B$6)^$B$8-1))/0.3))*0.5+MIN(MAX(0,A23-$B$4-($B$4*((1+$B$6)^$B$8-1))-(0.2*($B$4*((1+$B$6)^$B$8-1))/0.3)),MAX(0,(($B$4*(1+$B$7)^$B$8)-(MIN(A23,$B$4)+MIN(MAX(0,A23-$B$4),($B$4*((1+$B$6)^$B$8-1)))+MIN(MAX(0,A23-$B$4-($B$4*((1+$B$6)^$B$8-1))),(0.2*($B$4*((1+$B$6)^$B$8-1))/0.3))*(1-0.5)))/(1-0.2)))*0.2+MAX(0,A23-$B$4-($B$4*((1+$B$6)^$B$8-1))-(0.2*($B$4*((1+$B$6)^$B$8-1))/0.3)-MIN(MAX(0,A23-$B$4-($B$4*((1+$B$6)^$B$8-1))-(0.2*($B$4*((1+$B$6)^$B$8-1))/0.3)),MAX(0,(($B$4*(1+$B$7)^$B$8)-(MIN(A23,$B$4)+MIN(MAX(0,A23-$B$4),($B$4*((1+$B$6)^$B$8-1)))+MIN(MAX(0,A23-$B$4-($B$4*((1+$B$6)^$B$8-1))),(0.2*($B$4*((1+$B$6)^$B$8-1))/0.3))*(1-0.5)))/(1-0.2))))*0.3))*$B$5)/($B$4*$B$5))^(1/$B$8)-1</f>
        <v>0.167128649306823</v>
      </c>
      <c r="D23" s="29" t="n">
        <f aca="false">B23-C23</f>
        <v>0.0339957846746086</v>
      </c>
      <c r="E23" s="22" t="n">
        <f aca="false">(A23*$B$5)/($B$4*$B$5)</f>
        <v>2.5</v>
      </c>
      <c r="F23" s="22" t="n">
        <f aca="false">((A23-(MIN(MAX(0,A23-$B$4-($B$4*((1+$B$6)^$B$8-1))),(0.2*($B$4*((1+$B$6)^$B$8-1))/0.3))*0.5+MIN(MAX(0,A23-$B$4-($B$4*((1+$B$6)^$B$8-1))-(0.2*($B$4*((1+$B$6)^$B$8-1))/0.3)),MAX(0,(($B$4*(1+$B$7)^$B$8)-(MIN(A23,$B$4)+MIN(MAX(0,A23-$B$4),($B$4*((1+$B$6)^$B$8-1)))+MIN(MAX(0,A23-$B$4-($B$4*((1+$B$6)^$B$8-1))),(0.2*($B$4*((1+$B$6)^$B$8-1))/0.3))*(1-0.5)))/(1-0.2)))*0.2+MAX(0,A23-$B$4-($B$4*((1+$B$6)^$B$8-1))-(0.2*($B$4*((1+$B$6)^$B$8-1))/0.3)-MIN(MAX(0,A23-$B$4-($B$4*((1+$B$6)^$B$8-1))-(0.2*($B$4*((1+$B$6)^$B$8-1))/0.3)),MAX(0,(($B$4*(1+$B$7)^$B$8)-(MIN(A23,$B$4)+MIN(MAX(0,A23-$B$4),($B$4*((1+$B$6)^$B$8-1)))+MIN(MAX(0,A23-$B$4-($B$4*((1+$B$6)^$B$8-1))),(0.2*($B$4*((1+$B$6)^$B$8-1))/0.3))*(1-0.5)))/(1-0.2))))*0.3))*$B$5)/($B$4*$B$5)</f>
        <v>2.1656768228</v>
      </c>
      <c r="H23" s="11"/>
    </row>
    <row r="24" customFormat="false" ht="15" hidden="false" customHeight="true" outlineLevel="0" collapsed="false">
      <c r="A24" s="25" t="n">
        <v>320</v>
      </c>
      <c r="B24" s="29" t="n">
        <f aca="false">((A24*$B$5)/($B$4*$B$5))^(1/$B$8)-1</f>
        <v>0.261914688960387</v>
      </c>
      <c r="C24" s="29" t="n">
        <f aca="false">(((A24-(MIN(MAX(0,A24-$B$4-($B$4*((1+$B$6)^$B$8-1))),(0.2*($B$4*((1+$B$6)^$B$8-1))/0.3))*0.5+MIN(MAX(0,A24-$B$4-($B$4*((1+$B$6)^$B$8-1))-(0.2*($B$4*((1+$B$6)^$B$8-1))/0.3)),MAX(0,(($B$4*(1+$B$7)^$B$8)-(MIN(A24,$B$4)+MIN(MAX(0,A24-$B$4),($B$4*((1+$B$6)^$B$8-1)))+MIN(MAX(0,A24-$B$4-($B$4*((1+$B$6)^$B$8-1))),(0.2*($B$4*((1+$B$6)^$B$8-1))/0.3))*(1-0.5)))/(1-0.2)))*0.2+MAX(0,A24-$B$4-($B$4*((1+$B$6)^$B$8-1))-(0.2*($B$4*((1+$B$6)^$B$8-1))/0.3)-MIN(MAX(0,A24-$B$4-($B$4*((1+$B$6)^$B$8-1))-(0.2*($B$4*((1+$B$6)^$B$8-1))/0.3)),MAX(0,(($B$4*(1+$B$7)^$B$8)-(MIN(A24,$B$4)+MIN(MAX(0,A24-$B$4),($B$4*((1+$B$6)^$B$8-1)))+MIN(MAX(0,A24-$B$4-($B$4*((1+$B$6)^$B$8-1))),(0.2*($B$4*((1+$B$6)^$B$8-1))/0.3))*(1-0.5)))/(1-0.2))))*0.3))*$B$5)/($B$4*$B$5))^(1/$B$8)-1</f>
        <v>0.215724152102023</v>
      </c>
      <c r="D24" s="29" t="n">
        <f aca="false">B24-C24</f>
        <v>0.0461905368583633</v>
      </c>
      <c r="E24" s="22" t="n">
        <f aca="false">(A24*$B$5)/($B$4*$B$5)</f>
        <v>3.2</v>
      </c>
      <c r="F24" s="22" t="n">
        <f aca="false">((A24-(MIN(MAX(0,A24-$B$4-($B$4*((1+$B$6)^$B$8-1))),(0.2*($B$4*((1+$B$6)^$B$8-1))/0.3))*0.5+MIN(MAX(0,A24-$B$4-($B$4*((1+$B$6)^$B$8-1))-(0.2*($B$4*((1+$B$6)^$B$8-1))/0.3)),MAX(0,(($B$4*(1+$B$7)^$B$8)-(MIN(A24,$B$4)+MIN(MAX(0,A24-$B$4),($B$4*((1+$B$6)^$B$8-1)))+MIN(MAX(0,A24-$B$4-($B$4*((1+$B$6)^$B$8-1))),(0.2*($B$4*((1+$B$6)^$B$8-1))/0.3))*(1-0.5)))/(1-0.2)))*0.2+MAX(0,A24-$B$4-($B$4*((1+$B$6)^$B$8-1))-(0.2*($B$4*((1+$B$6)^$B$8-1))/0.3)-MIN(MAX(0,A24-$B$4-($B$4*((1+$B$6)^$B$8-1))-(0.2*($B$4*((1+$B$6)^$B$8-1))/0.3)),MAX(0,(($B$4*(1+$B$7)^$B$8)-(MIN(A24,$B$4)+MIN(MAX(0,A24-$B$4),($B$4*((1+$B$6)^$B$8-1)))+MIN(MAX(0,A24-$B$4-($B$4*((1+$B$6)^$B$8-1))),(0.2*($B$4*((1+$B$6)^$B$8-1))/0.3))*(1-0.5)))/(1-0.2))))*0.3))*$B$5)/($B$4*$B$5)</f>
        <v>2.6556768228</v>
      </c>
      <c r="H24" s="11"/>
    </row>
    <row r="25" customFormat="false" ht="15" hidden="false" customHeight="true" outlineLevel="0" collapsed="false">
      <c r="H25" s="11"/>
    </row>
    <row r="26" customFormat="false" ht="15" hidden="false" customHeight="true" outlineLevel="0" collapsed="false">
      <c r="H26" s="11"/>
    </row>
    <row r="27" customFormat="false" ht="15" hidden="false" customHeight="true" outlineLevel="0" collapsed="false">
      <c r="A27" s="5" t="s">
        <v>122</v>
      </c>
      <c r="H27" s="11"/>
    </row>
    <row r="28" customFormat="false" ht="15" hidden="false" customHeight="true" outlineLevel="0" collapsed="false">
      <c r="A28" s="28" t="s">
        <v>123</v>
      </c>
      <c r="B28" s="28"/>
      <c r="C28" s="28"/>
      <c r="D28" s="28"/>
      <c r="E28" s="28"/>
      <c r="F28" s="28"/>
      <c r="H28" s="11"/>
    </row>
    <row r="29" customFormat="false" ht="15" hidden="false" customHeight="true" outlineLevel="0" collapsed="false">
      <c r="A29" s="9" t="s">
        <v>124</v>
      </c>
      <c r="B29" s="10" t="n">
        <v>250</v>
      </c>
      <c r="H29" s="11"/>
    </row>
    <row r="30" customFormat="false" ht="15" hidden="false" customHeight="true" outlineLevel="0" collapsed="false">
      <c r="A30" s="9" t="s">
        <v>125</v>
      </c>
      <c r="B30" s="10" t="n">
        <v>312.5</v>
      </c>
      <c r="H30" s="11"/>
    </row>
    <row r="32" customFormat="false" ht="27.75" hidden="false" customHeight="true" outlineLevel="0" collapsed="false">
      <c r="A32" s="17" t="s">
        <v>126</v>
      </c>
      <c r="B32" s="18" t="s">
        <v>127</v>
      </c>
      <c r="C32" s="18" t="s">
        <v>128</v>
      </c>
    </row>
    <row r="33" customFormat="false" ht="15" hidden="false" customHeight="true" outlineLevel="0" collapsed="false">
      <c r="A33" s="9" t="s">
        <v>129</v>
      </c>
      <c r="B33" s="14" t="n">
        <v>0.6</v>
      </c>
      <c r="C33" s="14" t="n">
        <v>0.75</v>
      </c>
    </row>
    <row r="34" customFormat="false" ht="15" hidden="false" customHeight="true" outlineLevel="0" collapsed="false">
      <c r="A34" s="9" t="s">
        <v>130</v>
      </c>
      <c r="B34" s="16" t="n">
        <f aca="false">$B$29*B33</f>
        <v>150</v>
      </c>
      <c r="C34" s="16" t="n">
        <f aca="false">$B$29*C33</f>
        <v>187.5</v>
      </c>
    </row>
    <row r="35" customFormat="false" ht="15" hidden="false" customHeight="true" outlineLevel="0" collapsed="false">
      <c r="A35" s="9" t="s">
        <v>131</v>
      </c>
      <c r="B35" s="16" t="n">
        <f aca="false">$B$29-B34</f>
        <v>100</v>
      </c>
      <c r="C35" s="16" t="n">
        <f aca="false">$B$29-C34</f>
        <v>62.5</v>
      </c>
    </row>
    <row r="36" customFormat="false" ht="15" hidden="false" customHeight="true" outlineLevel="0" collapsed="false">
      <c r="A36" s="9" t="s">
        <v>132</v>
      </c>
      <c r="B36" s="16" t="n">
        <f aca="false">$B$30-B34</f>
        <v>162.5</v>
      </c>
      <c r="C36" s="16" t="n">
        <f aca="false">$B$30-C34</f>
        <v>125</v>
      </c>
    </row>
    <row r="37" customFormat="false" ht="15" hidden="false" customHeight="true" outlineLevel="0" collapsed="false">
      <c r="A37" s="9" t="s">
        <v>133</v>
      </c>
      <c r="B37" s="22" t="n">
        <f aca="false">B36/B35</f>
        <v>1.625</v>
      </c>
      <c r="C37" s="22" t="n">
        <f aca="false">C36/C35</f>
        <v>2</v>
      </c>
    </row>
    <row r="38" customFormat="false" ht="15" hidden="false" customHeight="true" outlineLevel="0" collapsed="false">
      <c r="A38" s="9" t="s">
        <v>134</v>
      </c>
      <c r="B38" s="16" t="n">
        <f aca="false">(MIN(MAX(0,B36-B35-(B35*((1+$B$6)^$B$8-1))),(0.2*(B35*((1+$B$6)^$B$8-1))/0.3))*0.5+MIN(MAX(0,B36-B35-(B35*((1+$B$6)^$B$8-1))-(0.2*(B35*((1+$B$6)^$B$8-1))/0.3)),MAX(0,((B35*(1+$B$7)^$B$8)-(MIN(B36,B35)+MIN(MAX(0,B36-B35),(B35*((1+$B$6)^$B$8-1)))+MIN(MAX(0,B36-B35-(B35*((1+$B$6)^$B$8-1))),(0.2*(B35*((1+$B$6)^$B$8-1))/0.3))*(1-0.5)))/(1-0.2)))*0.2+MAX(0,B36-B35-(B35*((1+$B$6)^$B$8-1))-(0.2*(B35*((1+$B$6)^$B$8-1))/0.3)-MIN(MAX(0,B36-B35-(B35*((1+$B$6)^$B$8-1))-(0.2*(B35*((1+$B$6)^$B$8-1))/0.3)),MAX(0,((B35*(1+$B$7)^$B$8)-(MIN(B36,B35)+MIN(MAX(0,B36-B35),(B35*((1+$B$6)^$B$8-1)))+MIN(MAX(0,B36-B35-(B35*((1+$B$6)^$B$8-1))),(0.2*(B35*((1+$B$6)^$B$8-1))/0.3))*(1-0.5)))/(1-0.2))))*0.3)</f>
        <v>7.78359615999997</v>
      </c>
      <c r="C38" s="16" t="n">
        <f aca="false">(MIN(MAX(0,C36-C35-(C35*((1+$B$6)^$B$8-1))),(0.2*(C35*((1+$B$6)^$B$8-1))/0.3))*0.5+MIN(MAX(0,C36-C35-(C35*((1+$B$6)^$B$8-1))-(0.2*(C35*((1+$B$6)^$B$8-1))/0.3)),MAX(0,((C35*(1+$B$7)^$B$8)-(MIN(C36,C35)+MIN(MAX(0,C36-C35),(C35*((1+$B$6)^$B$8-1)))+MIN(MAX(0,C36-C35-(C35*((1+$B$6)^$B$8-1))),(0.2*(C35*((1+$B$6)^$B$8-1))/0.3))*(1-0.5)))/(1-0.2)))*0.2+MAX(0,C36-C35-(C35*((1+$B$6)^$B$8-1))-(0.2*(C35*((1+$B$6)^$B$8-1))/0.3)-MIN(MAX(0,C36-C35-(C35*((1+$B$6)^$B$8-1))-(0.2*(C35*((1+$B$6)^$B$8-1))/0.3)),MAX(0,((C35*(1+$B$7)^$B$8)-(MIN(C36,C35)+MIN(MAX(0,C36-C35),(C35*((1+$B$6)^$B$8-1)))+MIN(MAX(0,C36-C35-(C35*((1+$B$6)^$B$8-1))),(0.2*(C35*((1+$B$6)^$B$8-1))/0.3))*(1-0.5)))/(1-0.2))))*0.3)</f>
        <v>12.5</v>
      </c>
    </row>
    <row r="39" customFormat="false" ht="15" hidden="false" customHeight="true" outlineLevel="0" collapsed="false">
      <c r="A39" s="9" t="s">
        <v>135</v>
      </c>
      <c r="B39" s="13" t="n">
        <f aca="false">B38/B35</f>
        <v>0.0778359615999997</v>
      </c>
      <c r="C39" s="13" t="n">
        <f aca="false">C38/C35</f>
        <v>0.2</v>
      </c>
    </row>
    <row r="40" customFormat="false" ht="15" hidden="false" customHeight="true" outlineLevel="0" collapsed="false">
      <c r="A40" s="9" t="s">
        <v>63</v>
      </c>
      <c r="B40" s="22" t="n">
        <f aca="false">(B36-B38)/B35</f>
        <v>1.5471640384</v>
      </c>
      <c r="C40" s="22" t="n">
        <f aca="false">(C36-C38)/C35</f>
        <v>1.8</v>
      </c>
    </row>
  </sheetData>
  <mergeCells count="3">
    <mergeCell ref="H5:H30"/>
    <mergeCell ref="A19:F19"/>
    <mergeCell ref="A28:F28"/>
  </mergeCells>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H48"/>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1" width="42"/>
    <col collapsed="false" customWidth="true" hidden="false" outlineLevel="0" max="5" min="2" style="1" width="15"/>
    <col collapsed="false" customWidth="true" hidden="false" outlineLevel="0" max="6" min="6" style="1" width="17"/>
    <col collapsed="false" customWidth="true" hidden="false" outlineLevel="0" max="7" min="7" style="1" width="3"/>
    <col collapsed="false" customWidth="true" hidden="false" outlineLevel="0" max="8" min="8" style="1" width="48"/>
  </cols>
  <sheetData>
    <row r="1" customFormat="false" ht="17.25" hidden="false" customHeight="true" outlineLevel="0" collapsed="false">
      <c r="A1" s="8" t="s">
        <v>136</v>
      </c>
    </row>
    <row r="2" customFormat="false" ht="15" hidden="false" customHeight="true" outlineLevel="0" collapsed="false">
      <c r="A2" s="4" t="s">
        <v>137</v>
      </c>
    </row>
    <row r="4" customFormat="false" ht="15" hidden="false" customHeight="true" outlineLevel="0" collapsed="false">
      <c r="A4" s="5" t="s">
        <v>138</v>
      </c>
      <c r="H4" s="5" t="s">
        <v>139</v>
      </c>
    </row>
    <row r="5" customFormat="false" ht="15" hidden="false" customHeight="true" outlineLevel="0" collapsed="false">
      <c r="A5" s="23" t="s">
        <v>140</v>
      </c>
      <c r="B5" s="28" t="s">
        <v>141</v>
      </c>
      <c r="C5" s="28"/>
      <c r="D5" s="28"/>
      <c r="E5" s="28"/>
      <c r="F5" s="28"/>
      <c r="H5" s="11" t="s">
        <v>142</v>
      </c>
    </row>
    <row r="6" customFormat="false" ht="15" hidden="false" customHeight="true" outlineLevel="0" collapsed="false">
      <c r="A6" s="23" t="s">
        <v>143</v>
      </c>
      <c r="B6" s="28" t="s">
        <v>144</v>
      </c>
      <c r="C6" s="28"/>
      <c r="D6" s="28"/>
      <c r="E6" s="28"/>
      <c r="F6" s="28"/>
      <c r="H6" s="11"/>
    </row>
    <row r="7" customFormat="false" ht="15" hidden="false" customHeight="true" outlineLevel="0" collapsed="false">
      <c r="A7" s="23" t="s">
        <v>145</v>
      </c>
      <c r="B7" s="28" t="s">
        <v>146</v>
      </c>
      <c r="C7" s="28"/>
      <c r="D7" s="28"/>
      <c r="E7" s="28"/>
      <c r="F7" s="28"/>
      <c r="H7" s="11"/>
    </row>
    <row r="8" customFormat="false" ht="15" hidden="false" customHeight="true" outlineLevel="0" collapsed="false">
      <c r="A8" s="23" t="s">
        <v>147</v>
      </c>
      <c r="B8" s="28" t="s">
        <v>148</v>
      </c>
      <c r="C8" s="28"/>
      <c r="D8" s="28"/>
      <c r="E8" s="28"/>
      <c r="F8" s="28"/>
      <c r="H8" s="11"/>
    </row>
    <row r="9" customFormat="false" ht="15" hidden="false" customHeight="true" outlineLevel="0" collapsed="false">
      <c r="H9" s="11"/>
    </row>
    <row r="10" customFormat="false" ht="15" hidden="false" customHeight="true" outlineLevel="0" collapsed="false">
      <c r="A10" s="5" t="s">
        <v>20</v>
      </c>
      <c r="H10" s="11"/>
    </row>
    <row r="11" customFormat="false" ht="15" hidden="false" customHeight="true" outlineLevel="0" collapsed="false">
      <c r="A11" s="28" t="s">
        <v>149</v>
      </c>
      <c r="B11" s="28"/>
      <c r="C11" s="28"/>
      <c r="D11" s="28"/>
      <c r="E11" s="28"/>
      <c r="F11" s="28"/>
      <c r="H11" s="11"/>
    </row>
    <row r="12" customFormat="false" ht="15" hidden="false" customHeight="true" outlineLevel="0" collapsed="false">
      <c r="A12" s="9" t="s">
        <v>22</v>
      </c>
      <c r="B12" s="10" t="n">
        <v>40</v>
      </c>
      <c r="H12" s="11"/>
    </row>
    <row r="13" customFormat="false" ht="15" hidden="false" customHeight="true" outlineLevel="0" collapsed="false">
      <c r="A13" s="9" t="s">
        <v>24</v>
      </c>
      <c r="B13" s="12" t="n">
        <v>0.85</v>
      </c>
      <c r="H13" s="11"/>
    </row>
    <row r="14" customFormat="false" ht="15" hidden="false" customHeight="true" outlineLevel="0" collapsed="false">
      <c r="A14" s="9" t="s">
        <v>25</v>
      </c>
      <c r="B14" s="13" t="n">
        <f aca="false">1-B13</f>
        <v>0.15</v>
      </c>
      <c r="H14" s="11"/>
    </row>
    <row r="15" customFormat="false" ht="15" hidden="false" customHeight="true" outlineLevel="0" collapsed="false">
      <c r="A15" s="9" t="s">
        <v>26</v>
      </c>
      <c r="B15" s="14" t="n">
        <v>0.07</v>
      </c>
      <c r="H15" s="11"/>
    </row>
    <row r="16" customFormat="false" ht="15" hidden="false" customHeight="true" outlineLevel="0" collapsed="false">
      <c r="A16" s="9" t="s">
        <v>27</v>
      </c>
      <c r="B16" s="14" t="n">
        <v>1</v>
      </c>
      <c r="H16" s="11"/>
    </row>
    <row r="17" customFormat="false" ht="15" hidden="false" customHeight="true" outlineLevel="0" collapsed="false">
      <c r="A17" s="9" t="s">
        <v>28</v>
      </c>
      <c r="B17" s="14" t="n">
        <v>0.2</v>
      </c>
      <c r="H17" s="11"/>
    </row>
    <row r="18" customFormat="false" ht="15" hidden="false" customHeight="true" outlineLevel="0" collapsed="false">
      <c r="A18" s="9" t="s">
        <v>29</v>
      </c>
      <c r="B18" s="14" t="n">
        <v>0.12</v>
      </c>
      <c r="H18" s="11"/>
    </row>
    <row r="19" customFormat="false" ht="15" hidden="false" customHeight="true" outlineLevel="0" collapsed="false">
      <c r="A19" s="9" t="s">
        <v>30</v>
      </c>
      <c r="B19" s="14" t="n">
        <v>0.2</v>
      </c>
      <c r="H19" s="11"/>
    </row>
    <row r="20" customFormat="false" ht="15" hidden="false" customHeight="true" outlineLevel="0" collapsed="false">
      <c r="A20" s="9" t="s">
        <v>31</v>
      </c>
      <c r="B20" s="14" t="n">
        <v>0.25</v>
      </c>
      <c r="H20" s="11"/>
    </row>
    <row r="21" customFormat="false" ht="15" hidden="false" customHeight="true" outlineLevel="0" collapsed="false">
      <c r="A21" s="9" t="s">
        <v>32</v>
      </c>
      <c r="B21" s="15" t="n">
        <v>4</v>
      </c>
      <c r="H21" s="11"/>
    </row>
    <row r="22" customFormat="false" ht="15" hidden="false" customHeight="true" outlineLevel="0" collapsed="false">
      <c r="A22" s="9" t="s">
        <v>33</v>
      </c>
      <c r="B22" s="10" t="n">
        <v>95</v>
      </c>
      <c r="H22" s="11"/>
    </row>
    <row r="23" customFormat="false" ht="15" hidden="false" customHeight="true" outlineLevel="0" collapsed="false">
      <c r="H23" s="11"/>
    </row>
    <row r="24" customFormat="false" ht="15" hidden="false" customHeight="true" outlineLevel="0" collapsed="false">
      <c r="A24" s="5" t="s">
        <v>34</v>
      </c>
      <c r="H24" s="11"/>
    </row>
    <row r="25" customFormat="false" ht="15" hidden="false" customHeight="true" outlineLevel="0" collapsed="false">
      <c r="A25" s="9" t="s">
        <v>35</v>
      </c>
      <c r="B25" s="16" t="n">
        <f aca="false">B12*((1+B15)^B21-1)</f>
        <v>12.4318404</v>
      </c>
      <c r="H25" s="11"/>
    </row>
    <row r="26" customFormat="false" ht="15" hidden="false" customHeight="true" outlineLevel="0" collapsed="false">
      <c r="A26" s="9" t="s">
        <v>37</v>
      </c>
      <c r="B26" s="16" t="n">
        <f aca="false">IF(B16&lt;=B17,"no catch-up",B17*B25/(B16-B17))</f>
        <v>3.1079601</v>
      </c>
      <c r="H26" s="11"/>
    </row>
    <row r="27" customFormat="false" ht="15" hidden="false" customHeight="true" outlineLevel="0" collapsed="false">
      <c r="A27" s="9" t="s">
        <v>40</v>
      </c>
      <c r="B27" s="16" t="n">
        <f aca="false">B12*(1+B18)^B21</f>
        <v>62.9407744</v>
      </c>
      <c r="H27" s="11"/>
    </row>
    <row r="28" customFormat="false" ht="15" hidden="false" customHeight="true" outlineLevel="0" collapsed="false">
      <c r="H28" s="11"/>
    </row>
    <row r="29" customFormat="false" ht="15" hidden="false" customHeight="true" outlineLevel="0" collapsed="false">
      <c r="A29" s="5" t="s">
        <v>42</v>
      </c>
      <c r="H29" s="11"/>
    </row>
    <row r="30" customFormat="false" ht="27.75" hidden="false" customHeight="true" outlineLevel="0" collapsed="false">
      <c r="A30" s="17" t="s">
        <v>43</v>
      </c>
      <c r="B30" s="18" t="s">
        <v>44</v>
      </c>
      <c r="C30" s="18" t="s">
        <v>45</v>
      </c>
      <c r="D30" s="18" t="s">
        <v>46</v>
      </c>
      <c r="E30" s="18" t="s">
        <v>47</v>
      </c>
      <c r="F30" s="18" t="s">
        <v>48</v>
      </c>
      <c r="H30" s="11"/>
    </row>
    <row r="31" customFormat="false" ht="15" hidden="false" customHeight="true" outlineLevel="0" collapsed="false">
      <c r="A31" s="9" t="s">
        <v>49</v>
      </c>
      <c r="B31" s="16" t="n">
        <f aca="false">B22</f>
        <v>95</v>
      </c>
      <c r="C31" s="16" t="n">
        <f aca="false">MIN(B31,$B$12)</f>
        <v>40</v>
      </c>
      <c r="D31" s="16" t="n">
        <f aca="false">C31</f>
        <v>40</v>
      </c>
      <c r="E31" s="16" t="n">
        <f aca="false">0</f>
        <v>0</v>
      </c>
      <c r="F31" s="16" t="n">
        <f aca="false">D31</f>
        <v>40</v>
      </c>
      <c r="H31" s="11"/>
    </row>
    <row r="32" customFormat="false" ht="15" hidden="false" customHeight="true" outlineLevel="0" collapsed="false">
      <c r="A32" s="9" t="s">
        <v>50</v>
      </c>
      <c r="B32" s="16" t="n">
        <f aca="false">B31-C31</f>
        <v>55</v>
      </c>
      <c r="C32" s="16" t="n">
        <f aca="false">MIN(B32,$B$25)</f>
        <v>12.4318404</v>
      </c>
      <c r="D32" s="16" t="n">
        <f aca="false">C32</f>
        <v>12.4318404</v>
      </c>
      <c r="E32" s="16" t="n">
        <f aca="false">0</f>
        <v>0</v>
      </c>
      <c r="F32" s="16" t="n">
        <f aca="false">F31+D32</f>
        <v>52.4318404</v>
      </c>
      <c r="H32" s="11"/>
    </row>
    <row r="33" customFormat="false" ht="15" hidden="false" customHeight="true" outlineLevel="0" collapsed="false">
      <c r="A33" s="9" t="s">
        <v>51</v>
      </c>
      <c r="B33" s="16" t="n">
        <f aca="false">B32-C32</f>
        <v>42.5681596</v>
      </c>
      <c r="C33" s="16" t="n">
        <f aca="false">IF(ISNUMBER($B$26),MIN(B33,$B$26),0)</f>
        <v>3.1079601</v>
      </c>
      <c r="D33" s="16" t="n">
        <f aca="false">C33*(1-$B$16)</f>
        <v>0</v>
      </c>
      <c r="E33" s="16" t="n">
        <f aca="false">C33*$B$16</f>
        <v>3.1079601</v>
      </c>
      <c r="F33" s="16" t="n">
        <f aca="false">F32+D33</f>
        <v>52.4318404</v>
      </c>
      <c r="H33" s="11"/>
    </row>
    <row r="34" customFormat="false" ht="15" hidden="false" customHeight="true" outlineLevel="0" collapsed="false">
      <c r="A34" s="9" t="s">
        <v>52</v>
      </c>
      <c r="B34" s="16" t="n">
        <f aca="false">B33-C33</f>
        <v>39.4601995</v>
      </c>
      <c r="C34" s="16" t="n">
        <f aca="false">MIN(B34,MAX(0,($B$27-F33)/(1-$B$19)))</f>
        <v>13.1361675</v>
      </c>
      <c r="D34" s="16" t="n">
        <f aca="false">C34*(1-$B$19)</f>
        <v>10.508934</v>
      </c>
      <c r="E34" s="16" t="n">
        <f aca="false">C34*$B$19</f>
        <v>2.6272335</v>
      </c>
      <c r="F34" s="16" t="n">
        <f aca="false">F33+D34</f>
        <v>62.9407744</v>
      </c>
      <c r="H34" s="11"/>
    </row>
    <row r="35" customFormat="false" ht="15" hidden="false" customHeight="true" outlineLevel="0" collapsed="false">
      <c r="A35" s="9" t="s">
        <v>53</v>
      </c>
      <c r="B35" s="16" t="n">
        <f aca="false">B34-C34</f>
        <v>26.324032</v>
      </c>
      <c r="C35" s="16" t="n">
        <f aca="false">B35</f>
        <v>26.324032</v>
      </c>
      <c r="D35" s="16" t="n">
        <f aca="false">C35*(1-$B$20)</f>
        <v>19.743024</v>
      </c>
      <c r="E35" s="16" t="n">
        <f aca="false">C35*$B$20</f>
        <v>6.58100799999999</v>
      </c>
      <c r="F35" s="16" t="n">
        <f aca="false">F34+D35</f>
        <v>82.6837984</v>
      </c>
      <c r="H35" s="11"/>
    </row>
    <row r="36" customFormat="false" ht="15" hidden="false" customHeight="true" outlineLevel="0" collapsed="false">
      <c r="A36" s="20" t="s">
        <v>54</v>
      </c>
      <c r="B36" s="21" t="n">
        <f aca="false">B22</f>
        <v>95</v>
      </c>
      <c r="C36" s="21" t="n">
        <f aca="false">SUM(C31:C35)</f>
        <v>95</v>
      </c>
      <c r="D36" s="21" t="n">
        <f aca="false">SUM(D31:D35)</f>
        <v>82.6837984</v>
      </c>
      <c r="E36" s="21" t="n">
        <f aca="false">SUM(E31:E35)</f>
        <v>12.3162016</v>
      </c>
      <c r="F36" s="21" t="n">
        <f aca="false">F35</f>
        <v>82.6837984</v>
      </c>
      <c r="H36" s="11"/>
    </row>
    <row r="37" customFormat="false" ht="15" hidden="false" customHeight="true" outlineLevel="0" collapsed="false">
      <c r="A37" s="4" t="s">
        <v>55</v>
      </c>
      <c r="C37" s="4" t="str">
        <f aca="false">IF(ABS(C36-B22)&lt;0.005,"balances","OUT BY "&amp;TEXT(C36-B22,"0.00"))</f>
        <v>balances</v>
      </c>
    </row>
    <row r="39" customFormat="false" ht="15" hidden="false" customHeight="true" outlineLevel="0" collapsed="false">
      <c r="A39" s="5" t="s">
        <v>56</v>
      </c>
    </row>
    <row r="40" customFormat="false" ht="15" hidden="false" customHeight="true" outlineLevel="0" collapsed="false">
      <c r="A40" s="9" t="s">
        <v>134</v>
      </c>
      <c r="B40" s="16" t="n">
        <f aca="false">E36</f>
        <v>12.3162016</v>
      </c>
    </row>
    <row r="41" customFormat="false" ht="15" hidden="false" customHeight="true" outlineLevel="0" collapsed="false">
      <c r="A41" s="9" t="s">
        <v>57</v>
      </c>
      <c r="B41" s="16" t="n">
        <f aca="false">D36</f>
        <v>82.6837984</v>
      </c>
    </row>
    <row r="42" customFormat="false" ht="15" hidden="false" customHeight="true" outlineLevel="0" collapsed="false">
      <c r="A42" s="9" t="s">
        <v>150</v>
      </c>
      <c r="B42" s="16" t="n">
        <f aca="false">D36*B13</f>
        <v>70.28122864</v>
      </c>
    </row>
    <row r="43" customFormat="false" ht="15" hidden="false" customHeight="true" outlineLevel="0" collapsed="false">
      <c r="A43" s="9" t="s">
        <v>151</v>
      </c>
      <c r="B43" s="16" t="n">
        <f aca="false">D36*B14+E36</f>
        <v>24.71877136</v>
      </c>
    </row>
    <row r="44" customFormat="false" ht="15" hidden="false" customHeight="true" outlineLevel="0" collapsed="false">
      <c r="A44" s="9" t="s">
        <v>63</v>
      </c>
      <c r="B44" s="22" t="n">
        <f aca="false">IF(B12*B13=0,"",D36*B13/(B12*B13))</f>
        <v>2.06709496</v>
      </c>
    </row>
    <row r="45" customFormat="false" ht="15" hidden="false" customHeight="true" outlineLevel="0" collapsed="false">
      <c r="A45" s="9" t="s">
        <v>64</v>
      </c>
      <c r="B45" s="29" t="n">
        <f aca="false">IF(B12*B13&lt;=0,"",(D36*B13/(B12*B13))^(1/B21)-1)</f>
        <v>0.199057768144527</v>
      </c>
    </row>
    <row r="46" customFormat="false" ht="15" hidden="false" customHeight="true" outlineLevel="0" collapsed="false">
      <c r="A46" s="9" t="s">
        <v>65</v>
      </c>
      <c r="B46" s="29" t="n">
        <f aca="false">IF(B12*B13&lt;=0,"",(B22*B13/(B12*B13))^(1/B21)-1)</f>
        <v>0.241411898099194</v>
      </c>
    </row>
    <row r="47" customFormat="false" ht="15" hidden="false" customHeight="true" outlineLevel="0" collapsed="false">
      <c r="A47" s="9" t="s">
        <v>66</v>
      </c>
      <c r="B47" s="29" t="n">
        <f aca="false">IF(B12*B13&lt;=0,"",(B22*B13/(B12*B13))^(1/B21)-(D36*B13/(B12*B13))^(1/B21))</f>
        <v>0.0423541299546675</v>
      </c>
    </row>
    <row r="48" customFormat="false" ht="15" hidden="false" customHeight="true" outlineLevel="0" collapsed="false">
      <c r="A48" s="9" t="s">
        <v>68</v>
      </c>
      <c r="B48" s="13" t="n">
        <f aca="false">IF(B22&lt;=B12,"",E36/(B22-B12))</f>
        <v>0.223930938181818</v>
      </c>
    </row>
  </sheetData>
  <mergeCells count="6">
    <mergeCell ref="B5:F5"/>
    <mergeCell ref="H5:H36"/>
    <mergeCell ref="B6:F6"/>
    <mergeCell ref="B7:F7"/>
    <mergeCell ref="B8:F8"/>
    <mergeCell ref="A11:F11"/>
  </mergeCells>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U153"/>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5390625" defaultRowHeight="15" zeroHeight="false" outlineLevelRow="0" outlineLevelCol="0"/>
  <cols>
    <col collapsed="false" customWidth="true" hidden="false" outlineLevel="0" max="1" min="1" style="0" width="46"/>
    <col collapsed="false" customWidth="true" hidden="false" outlineLevel="0" max="21" min="2" style="0" width="11"/>
  </cols>
  <sheetData>
    <row r="1" customFormat="false" ht="17.35" hidden="false" customHeight="false" outlineLevel="0" collapsed="false">
      <c r="A1" s="30" t="s">
        <v>152</v>
      </c>
    </row>
    <row r="2" customFormat="false" ht="15" hidden="false" customHeight="false" outlineLevel="0" collapsed="false">
      <c r="A2" s="31" t="s">
        <v>153</v>
      </c>
    </row>
    <row r="4" customFormat="false" ht="15" hidden="false" customHeight="false" outlineLevel="0" collapsed="false">
      <c r="A4" s="7" t="s">
        <v>154</v>
      </c>
    </row>
    <row r="5" customFormat="false" ht="15" hidden="false" customHeight="false" outlineLevel="0" collapsed="false">
      <c r="A5" s="31" t="s">
        <v>155</v>
      </c>
    </row>
    <row r="6" customFormat="false" ht="39.75" hidden="false" customHeight="true" outlineLevel="0" collapsed="false">
      <c r="A6" s="32" t="s">
        <v>156</v>
      </c>
      <c r="B6" s="32" t="s">
        <v>157</v>
      </c>
      <c r="C6" s="32" t="s">
        <v>158</v>
      </c>
      <c r="D6" s="32" t="s">
        <v>98</v>
      </c>
      <c r="E6" s="32" t="s">
        <v>159</v>
      </c>
      <c r="F6" s="32" t="s">
        <v>160</v>
      </c>
      <c r="G6" s="32" t="s">
        <v>161</v>
      </c>
      <c r="H6" s="32" t="s">
        <v>162</v>
      </c>
      <c r="I6" s="32" t="s">
        <v>163</v>
      </c>
      <c r="J6" s="32" t="s">
        <v>164</v>
      </c>
      <c r="K6" s="32" t="s">
        <v>165</v>
      </c>
      <c r="L6" s="32" t="s">
        <v>166</v>
      </c>
      <c r="M6" s="32" t="s">
        <v>167</v>
      </c>
      <c r="N6" s="32" t="s">
        <v>168</v>
      </c>
      <c r="O6" s="32" t="s">
        <v>169</v>
      </c>
      <c r="P6" s="32" t="s">
        <v>170</v>
      </c>
      <c r="Q6" s="32" t="s">
        <v>171</v>
      </c>
      <c r="R6" s="32" t="s">
        <v>172</v>
      </c>
      <c r="S6" s="32" t="s">
        <v>134</v>
      </c>
      <c r="T6" s="32" t="s">
        <v>173</v>
      </c>
      <c r="U6" s="32" t="s">
        <v>174</v>
      </c>
    </row>
    <row r="7" customFormat="false" ht="15" hidden="false" customHeight="false" outlineLevel="0" collapsed="false">
      <c r="A7" s="33" t="s">
        <v>175</v>
      </c>
      <c r="B7" s="34" t="n">
        <v>5</v>
      </c>
      <c r="C7" s="35" t="n">
        <v>250</v>
      </c>
      <c r="D7" s="35" t="n">
        <v>100</v>
      </c>
      <c r="E7" s="36" t="n">
        <v>0.08</v>
      </c>
      <c r="F7" s="36" t="n">
        <v>0.5</v>
      </c>
      <c r="G7" s="36" t="n">
        <v>0.2</v>
      </c>
      <c r="H7" s="36" t="n">
        <v>0.14</v>
      </c>
      <c r="I7" s="36" t="n">
        <v>0.2</v>
      </c>
      <c r="J7" s="36" t="n">
        <v>0.3</v>
      </c>
      <c r="K7" s="37" t="n">
        <f aca="false">D7*((1+E7)^B7-1)</f>
        <v>46.9328076800001</v>
      </c>
      <c r="L7" s="37" t="n">
        <f aca="false">IF(F7&gt;G7,G7*K7/(F7-G7),0)</f>
        <v>31.2885384533334</v>
      </c>
      <c r="M7" s="37" t="n">
        <f aca="false">D7*(1+H7)^B7</f>
        <v>192.54145824</v>
      </c>
      <c r="N7" s="37" t="n">
        <f aca="false">MAX(0,C7-D7-K7)</f>
        <v>103.06719232</v>
      </c>
      <c r="O7" s="37" t="n">
        <f aca="false">MIN(N7,L7)</f>
        <v>31.2885384533334</v>
      </c>
      <c r="P7" s="37" t="n">
        <f aca="false">MIN(C7,D7)+MIN(MAX(0,C7-D7),K7)+O7*(1-F7)</f>
        <v>162.577076906667</v>
      </c>
      <c r="Q7" s="37" t="n">
        <f aca="false">MIN(N7-O7,MAX(0,(M7-P7)/(1-I7)))</f>
        <v>37.4554766666667</v>
      </c>
      <c r="R7" s="37" t="n">
        <f aca="false">N7-O7-Q7</f>
        <v>34.3231771999999</v>
      </c>
      <c r="S7" s="38" t="n">
        <f aca="false">O7*F7+Q7*I7+R7*J7</f>
        <v>33.43231772</v>
      </c>
      <c r="T7" s="37" t="n">
        <f aca="false">C7-S7</f>
        <v>216.56768228</v>
      </c>
      <c r="U7" s="39" t="n">
        <f aca="false">IF(D7&lt;=0,"",(T7/D7)^(1/B7)-1)</f>
        <v>0.167128649306823</v>
      </c>
    </row>
    <row r="8" customFormat="false" ht="15" hidden="false" customHeight="false" outlineLevel="0" collapsed="false">
      <c r="A8" s="33" t="s">
        <v>176</v>
      </c>
      <c r="B8" s="34" t="n">
        <v>5</v>
      </c>
      <c r="C8" s="35" t="n">
        <v>180</v>
      </c>
      <c r="D8" s="35" t="n">
        <v>100</v>
      </c>
      <c r="E8" s="36" t="n">
        <v>0.08</v>
      </c>
      <c r="F8" s="36" t="n">
        <v>0.5</v>
      </c>
      <c r="G8" s="36" t="n">
        <v>0.2</v>
      </c>
      <c r="H8" s="36" t="n">
        <v>0.14</v>
      </c>
      <c r="I8" s="36" t="n">
        <v>0.2</v>
      </c>
      <c r="J8" s="36" t="n">
        <v>0.3</v>
      </c>
      <c r="K8" s="37" t="n">
        <f aca="false">D8*((1+E8)^B8-1)</f>
        <v>46.9328076800001</v>
      </c>
      <c r="L8" s="37" t="n">
        <f aca="false">IF(F8&gt;G8,G8*K8/(F8-G8),0)</f>
        <v>31.2885384533334</v>
      </c>
      <c r="M8" s="37" t="n">
        <f aca="false">D8*(1+H8)^B8</f>
        <v>192.54145824</v>
      </c>
      <c r="N8" s="37" t="n">
        <f aca="false">MAX(0,C8-D8-K8)</f>
        <v>33.06719232</v>
      </c>
      <c r="O8" s="37" t="n">
        <f aca="false">MIN(N8,L8)</f>
        <v>31.2885384533334</v>
      </c>
      <c r="P8" s="37" t="n">
        <f aca="false">MIN(C8,D8)+MIN(MAX(0,C8-D8),K8)+O8*(1-F8)</f>
        <v>162.577076906667</v>
      </c>
      <c r="Q8" s="37" t="n">
        <f aca="false">MIN(N8-O8,MAX(0,(M8-P8)/(1-I8)))</f>
        <v>1.77865386666658</v>
      </c>
      <c r="R8" s="37" t="n">
        <f aca="false">N8-O8-Q8</f>
        <v>0</v>
      </c>
      <c r="S8" s="38" t="n">
        <f aca="false">O8*F8+Q8*I8+R8*J8</f>
        <v>16</v>
      </c>
      <c r="T8" s="37" t="n">
        <f aca="false">C8-S8</f>
        <v>164</v>
      </c>
      <c r="U8" s="39" t="n">
        <f aca="false">IF(D8&lt;=0,"",(T8/D8)^(1/B8)-1)</f>
        <v>0.103999227765869</v>
      </c>
    </row>
    <row r="9" customFormat="false" ht="15" hidden="false" customHeight="false" outlineLevel="0" collapsed="false">
      <c r="A9" s="33" t="s">
        <v>177</v>
      </c>
      <c r="B9" s="34" t="n">
        <v>5</v>
      </c>
      <c r="C9" s="35" t="n">
        <v>180</v>
      </c>
      <c r="D9" s="35" t="n">
        <v>100</v>
      </c>
      <c r="E9" s="36" t="n">
        <v>0.1</v>
      </c>
      <c r="F9" s="36" t="n">
        <v>0.5</v>
      </c>
      <c r="G9" s="36" t="n">
        <v>0.2</v>
      </c>
      <c r="H9" s="36" t="n">
        <v>0.14</v>
      </c>
      <c r="I9" s="36" t="n">
        <v>0.2</v>
      </c>
      <c r="J9" s="36" t="n">
        <v>0.3</v>
      </c>
      <c r="K9" s="37" t="n">
        <f aca="false">D9*((1+E9)^B9-1)</f>
        <v>61.0510000000001</v>
      </c>
      <c r="L9" s="37" t="n">
        <f aca="false">IF(F9&gt;G9,G9*K9/(F9-G9),0)</f>
        <v>40.7006666666667</v>
      </c>
      <c r="M9" s="37" t="n">
        <f aca="false">D9*(1+H9)^B9</f>
        <v>192.54145824</v>
      </c>
      <c r="N9" s="37" t="n">
        <f aca="false">MAX(0,C9-D9-K9)</f>
        <v>18.9489999999999</v>
      </c>
      <c r="O9" s="37" t="n">
        <f aca="false">MIN(N9,L9)</f>
        <v>18.9489999999999</v>
      </c>
      <c r="P9" s="37" t="n">
        <f aca="false">MIN(C9,D9)+MIN(MAX(0,C9-D9),K9)+O9*(1-F9)</f>
        <v>170.5255</v>
      </c>
      <c r="Q9" s="37" t="n">
        <f aca="false">MIN(N9-O9,MAX(0,(M9-P9)/(1-I9)))</f>
        <v>0</v>
      </c>
      <c r="R9" s="37" t="n">
        <f aca="false">N9-O9-Q9</f>
        <v>0</v>
      </c>
      <c r="S9" s="38" t="n">
        <f aca="false">O9*F9+Q9*I9+R9*J9</f>
        <v>9.47449999999997</v>
      </c>
      <c r="T9" s="37" t="n">
        <f aca="false">C9-S9</f>
        <v>170.5255</v>
      </c>
      <c r="U9" s="39" t="n">
        <f aca="false">IF(D9&lt;=0,"",(T9/D9)^(1/B9)-1)</f>
        <v>0.112648191393311</v>
      </c>
    </row>
    <row r="10" customFormat="false" ht="15" hidden="false" customHeight="false" outlineLevel="0" collapsed="false">
      <c r="A10" s="33" t="s">
        <v>178</v>
      </c>
      <c r="B10" s="34" t="n">
        <v>5</v>
      </c>
      <c r="C10" s="35" t="n">
        <v>180</v>
      </c>
      <c r="D10" s="35" t="n">
        <v>100</v>
      </c>
      <c r="E10" s="36" t="n">
        <v>0.08</v>
      </c>
      <c r="F10" s="36" t="n">
        <v>0.5</v>
      </c>
      <c r="G10" s="36" t="n">
        <v>0.18</v>
      </c>
      <c r="H10" s="36" t="n">
        <v>0.14</v>
      </c>
      <c r="I10" s="36" t="n">
        <v>0.18</v>
      </c>
      <c r="J10" s="36" t="n">
        <v>0.3</v>
      </c>
      <c r="K10" s="37" t="n">
        <f aca="false">D10*((1+E10)^B10-1)</f>
        <v>46.9328076800001</v>
      </c>
      <c r="L10" s="37" t="n">
        <f aca="false">IF(F10&gt;G10,G10*K10/(F10-G10),0)</f>
        <v>26.39970432</v>
      </c>
      <c r="M10" s="37" t="n">
        <f aca="false">D10*(1+H10)^B10</f>
        <v>192.54145824</v>
      </c>
      <c r="N10" s="37" t="n">
        <f aca="false">MAX(0,C10-D10-K10)</f>
        <v>33.06719232</v>
      </c>
      <c r="O10" s="37" t="n">
        <f aca="false">MIN(N10,L10)</f>
        <v>26.39970432</v>
      </c>
      <c r="P10" s="37" t="n">
        <f aca="false">MIN(C10,D10)+MIN(MAX(0,C10-D10),K10)+O10*(1-F10)</f>
        <v>160.13265984</v>
      </c>
      <c r="Q10" s="37" t="n">
        <f aca="false">MIN(N10-O10,MAX(0,(M10-P10)/(1-I10)))</f>
        <v>6.66748799999992</v>
      </c>
      <c r="R10" s="37" t="n">
        <f aca="false">N10-O10-Q10</f>
        <v>0</v>
      </c>
      <c r="S10" s="38" t="n">
        <f aca="false">O10*F10+Q10*I10+R10*J10</f>
        <v>14.4</v>
      </c>
      <c r="T10" s="37" t="n">
        <f aca="false">C10-S10</f>
        <v>165.6</v>
      </c>
      <c r="U10" s="39" t="n">
        <f aca="false">IF(D10&lt;=0,"",(T10/D10)^(1/B10)-1)</f>
        <v>0.106145015056388</v>
      </c>
    </row>
    <row r="11" customFormat="false" ht="15" hidden="false" customHeight="false" outlineLevel="0" collapsed="false">
      <c r="A11" s="33" t="s">
        <v>179</v>
      </c>
      <c r="B11" s="34" t="n">
        <v>5</v>
      </c>
      <c r="C11" s="35" t="n">
        <v>250</v>
      </c>
      <c r="D11" s="35" t="n">
        <v>100</v>
      </c>
      <c r="E11" s="36" t="n">
        <v>0.08</v>
      </c>
      <c r="F11" s="36" t="n">
        <v>0.5</v>
      </c>
      <c r="G11" s="36" t="n">
        <v>0.2</v>
      </c>
      <c r="H11" s="36" t="n">
        <v>0.14</v>
      </c>
      <c r="I11" s="36" t="n">
        <v>0.2</v>
      </c>
      <c r="J11" s="36" t="n">
        <v>0.3</v>
      </c>
      <c r="K11" s="37" t="n">
        <f aca="false">D11*((1+E11/12)^(12*B11)-1)</f>
        <v>48.9845708301605</v>
      </c>
      <c r="L11" s="37" t="n">
        <f aca="false">IF(F11&gt;G11,G11*K11/(F11-G11),0)</f>
        <v>32.6563805534403</v>
      </c>
      <c r="M11" s="37" t="n">
        <f aca="false">D11*(1+H11)^B11</f>
        <v>192.54145824</v>
      </c>
      <c r="N11" s="37" t="n">
        <f aca="false">MAX(0,C11-D11-K11)</f>
        <v>101.01542916984</v>
      </c>
      <c r="O11" s="37" t="n">
        <f aca="false">MIN(N11,L11)</f>
        <v>32.6563805534403</v>
      </c>
      <c r="P11" s="37" t="n">
        <f aca="false">MIN(C11,D11)+MIN(MAX(0,C11-D11),K11)+O11*(1-F11)</f>
        <v>165.312761106881</v>
      </c>
      <c r="Q11" s="37" t="n">
        <f aca="false">MIN(N11-O11,MAX(0,(M11-P11)/(1-I11)))</f>
        <v>34.0358714163993</v>
      </c>
      <c r="R11" s="37" t="n">
        <f aca="false">N11-O11-Q11</f>
        <v>34.3231771999999</v>
      </c>
      <c r="S11" s="38" t="n">
        <f aca="false">O11*F11+Q11*I11+R11*J11</f>
        <v>33.43231772</v>
      </c>
      <c r="T11" s="37" t="n">
        <f aca="false">C11-S11</f>
        <v>216.56768228</v>
      </c>
      <c r="U11" s="39" t="n">
        <f aca="false">IF(D11&lt;=0,"",(T11/D11)^(1/B11)-1)</f>
        <v>0.167128649306823</v>
      </c>
    </row>
    <row r="12" customFormat="false" ht="15" hidden="false" customHeight="false" outlineLevel="0" collapsed="false">
      <c r="A12" s="33" t="s">
        <v>180</v>
      </c>
      <c r="B12" s="34" t="n">
        <v>4</v>
      </c>
      <c r="C12" s="35" t="n">
        <v>200</v>
      </c>
      <c r="D12" s="35" t="n">
        <v>100</v>
      </c>
      <c r="E12" s="36" t="n">
        <v>0.08</v>
      </c>
      <c r="F12" s="36" t="n">
        <v>0.5</v>
      </c>
      <c r="G12" s="36" t="n">
        <v>0.2</v>
      </c>
      <c r="H12" s="36" t="n">
        <v>0.14</v>
      </c>
      <c r="I12" s="36" t="n">
        <v>0.2</v>
      </c>
      <c r="J12" s="36" t="n">
        <v>0.3</v>
      </c>
      <c r="K12" s="37" t="n">
        <f aca="false">D12*((1+E12)^B12-1)</f>
        <v>36.048896</v>
      </c>
      <c r="L12" s="37" t="n">
        <f aca="false">IF(F12&gt;G12,G12*K12/(F12-G12),0)</f>
        <v>24.0325973333334</v>
      </c>
      <c r="M12" s="37" t="n">
        <f aca="false">D12*(1+H12)^B12</f>
        <v>168.896016</v>
      </c>
      <c r="N12" s="37" t="n">
        <f aca="false">MAX(0,C12-D12-K12)</f>
        <v>63.951104</v>
      </c>
      <c r="O12" s="37" t="n">
        <f aca="false">MIN(N12,L12)</f>
        <v>24.0325973333334</v>
      </c>
      <c r="P12" s="37" t="n">
        <f aca="false">MIN(C12,D12)+MIN(MAX(0,C12-D12),K12)+O12*(1-F12)</f>
        <v>148.065194666667</v>
      </c>
      <c r="Q12" s="37" t="n">
        <f aca="false">MIN(N12-O12,MAX(0,(M12-P12)/(1-I12)))</f>
        <v>26.0385266666668</v>
      </c>
      <c r="R12" s="37" t="n">
        <f aca="false">N12-O12-Q12</f>
        <v>13.8799799999999</v>
      </c>
      <c r="S12" s="38" t="n">
        <f aca="false">O12*F12+Q12*I12+R12*J12</f>
        <v>21.387998</v>
      </c>
      <c r="T12" s="37" t="n">
        <f aca="false">C12-S12</f>
        <v>178.612002</v>
      </c>
      <c r="U12" s="39" t="n">
        <f aca="false">IF(D12&lt;=0,"",(T12/D12)^(1/B12)-1)</f>
        <v>0.156052772501534</v>
      </c>
    </row>
    <row r="13" customFormat="false" ht="15" hidden="false" customHeight="false" outlineLevel="0" collapsed="false">
      <c r="A13" s="33" t="s">
        <v>181</v>
      </c>
      <c r="B13" s="34" t="n">
        <v>4</v>
      </c>
      <c r="C13" s="35" t="n">
        <v>160</v>
      </c>
      <c r="D13" s="35" t="n">
        <v>100</v>
      </c>
      <c r="E13" s="36" t="n">
        <v>0.08</v>
      </c>
      <c r="F13" s="36" t="n">
        <v>0.5</v>
      </c>
      <c r="G13" s="36" t="n">
        <v>0.2</v>
      </c>
      <c r="H13" s="36" t="n">
        <v>0.14</v>
      </c>
      <c r="I13" s="36" t="n">
        <v>0.2</v>
      </c>
      <c r="J13" s="36" t="n">
        <v>0.3</v>
      </c>
      <c r="K13" s="37" t="n">
        <f aca="false">D13*((1+E13)^B13-1)</f>
        <v>36.048896</v>
      </c>
      <c r="L13" s="37" t="n">
        <f aca="false">IF(F13&gt;G13,G13*K13/(F13-G13),0)</f>
        <v>24.0325973333334</v>
      </c>
      <c r="M13" s="37" t="n">
        <f aca="false">D13*(1+H13)^B13</f>
        <v>168.896016</v>
      </c>
      <c r="N13" s="37" t="n">
        <f aca="false">MAX(0,C13-D13-K13)</f>
        <v>23.951104</v>
      </c>
      <c r="O13" s="37" t="n">
        <f aca="false">MIN(N13,L13)</f>
        <v>23.951104</v>
      </c>
      <c r="P13" s="37" t="n">
        <f aca="false">MIN(C13,D13)+MIN(MAX(0,C13-D13),K13)+O13*(1-F13)</f>
        <v>148.024448</v>
      </c>
      <c r="Q13" s="37" t="n">
        <f aca="false">MIN(N13-O13,MAX(0,(M13-P13)/(1-I13)))</f>
        <v>0</v>
      </c>
      <c r="R13" s="37" t="n">
        <f aca="false">N13-O13-Q13</f>
        <v>0</v>
      </c>
      <c r="S13" s="38" t="n">
        <f aca="false">O13*F13+Q13*I13+R13*J13</f>
        <v>11.975552</v>
      </c>
      <c r="T13" s="37" t="n">
        <f aca="false">C13-S13</f>
        <v>148.024448</v>
      </c>
      <c r="U13" s="39" t="n">
        <f aca="false">IF(D13&lt;=0,"",(T13/D13)^(1/B13)-1)</f>
        <v>0.103019937522186</v>
      </c>
    </row>
    <row r="14" customFormat="false" ht="15" hidden="false" customHeight="false" outlineLevel="0" collapsed="false">
      <c r="A14" s="33" t="s">
        <v>182</v>
      </c>
      <c r="B14" s="34" t="n">
        <v>5</v>
      </c>
      <c r="C14" s="35" t="n">
        <v>190</v>
      </c>
      <c r="D14" s="35" t="n">
        <v>100</v>
      </c>
      <c r="E14" s="36" t="n">
        <v>0.08</v>
      </c>
      <c r="F14" s="36" t="n">
        <v>0.5</v>
      </c>
      <c r="G14" s="36" t="n">
        <v>0.2</v>
      </c>
      <c r="H14" s="36" t="n">
        <v>0.14</v>
      </c>
      <c r="I14" s="36" t="n">
        <v>0.2</v>
      </c>
      <c r="J14" s="36" t="n">
        <v>0.3</v>
      </c>
      <c r="K14" s="37" t="n">
        <f aca="false">D14*((1+E14)^B14-1)</f>
        <v>46.9328076800001</v>
      </c>
      <c r="L14" s="37" t="n">
        <f aca="false">IF(F14&gt;G14,G14*K14/(F14-G14),0)</f>
        <v>31.2885384533334</v>
      </c>
      <c r="M14" s="37" t="n">
        <f aca="false">D14*(1+H14)^B14</f>
        <v>192.54145824</v>
      </c>
      <c r="N14" s="37" t="n">
        <f aca="false">MAX(0,C14-D14-K14)</f>
        <v>43.06719232</v>
      </c>
      <c r="O14" s="37" t="n">
        <f aca="false">MIN(N14,L14)</f>
        <v>31.2885384533334</v>
      </c>
      <c r="P14" s="37" t="n">
        <f aca="false">MIN(C14,D14)+MIN(MAX(0,C14-D14),K14)+O14*(1-F14)</f>
        <v>162.577076906667</v>
      </c>
      <c r="Q14" s="37" t="n">
        <f aca="false">MIN(N14-O14,MAX(0,(M14-P14)/(1-I14)))</f>
        <v>11.7786538666666</v>
      </c>
      <c r="R14" s="37" t="n">
        <f aca="false">N14-O14-Q14</f>
        <v>0</v>
      </c>
      <c r="S14" s="38" t="n">
        <f aca="false">O14*F14+Q14*I14+R14*J14</f>
        <v>18</v>
      </c>
      <c r="T14" s="37" t="n">
        <f aca="false">C14-S14</f>
        <v>172</v>
      </c>
      <c r="U14" s="39" t="n">
        <f aca="false">IF(D14&lt;=0,"",(T14/D14)^(1/B14)-1)</f>
        <v>0.114565739964868</v>
      </c>
    </row>
    <row r="15" customFormat="false" ht="15" hidden="false" customHeight="false" outlineLevel="0" collapsed="false">
      <c r="A15" s="33" t="s">
        <v>183</v>
      </c>
      <c r="B15" s="34" t="n">
        <v>5</v>
      </c>
      <c r="C15" s="35" t="n">
        <v>150</v>
      </c>
      <c r="D15" s="35" t="n">
        <v>100</v>
      </c>
      <c r="E15" s="36" t="n">
        <v>0.08</v>
      </c>
      <c r="F15" s="36" t="n">
        <v>0.5</v>
      </c>
      <c r="G15" s="36" t="n">
        <v>0.2</v>
      </c>
      <c r="H15" s="36" t="n">
        <v>0.14</v>
      </c>
      <c r="I15" s="36" t="n">
        <v>0.2</v>
      </c>
      <c r="J15" s="36" t="n">
        <v>0.3</v>
      </c>
      <c r="K15" s="37" t="n">
        <f aca="false">D15*((1+E15)^B15-1)</f>
        <v>46.9328076800001</v>
      </c>
      <c r="L15" s="37" t="n">
        <f aca="false">IF(F15&gt;G15,G15*K15/(F15-G15),0)</f>
        <v>31.2885384533334</v>
      </c>
      <c r="M15" s="37" t="n">
        <f aca="false">D15*(1+H15)^B15</f>
        <v>192.54145824</v>
      </c>
      <c r="N15" s="37" t="n">
        <f aca="false">MAX(0,C15-D15-K15)</f>
        <v>3.06719231999995</v>
      </c>
      <c r="O15" s="37" t="n">
        <f aca="false">MIN(N15,L15)</f>
        <v>3.06719231999995</v>
      </c>
      <c r="P15" s="37" t="n">
        <f aca="false">MIN(C15,D15)+MIN(MAX(0,C15-D15),K15)+O15*(1-F15)</f>
        <v>148.46640384</v>
      </c>
      <c r="Q15" s="37" t="n">
        <f aca="false">MIN(N15-O15,MAX(0,(M15-P15)/(1-I15)))</f>
        <v>0</v>
      </c>
      <c r="R15" s="37" t="n">
        <f aca="false">N15-O15-Q15</f>
        <v>0</v>
      </c>
      <c r="S15" s="38" t="n">
        <f aca="false">O15*F15+Q15*I15+R15*J15</f>
        <v>1.53359615999997</v>
      </c>
      <c r="T15" s="37" t="n">
        <f aca="false">C15-S15</f>
        <v>148.46640384</v>
      </c>
      <c r="U15" s="39" t="n">
        <f aca="false">IF(D15&lt;=0,"",(T15/D15)^(1/B15)-1)</f>
        <v>0.0822451240833542</v>
      </c>
    </row>
    <row r="16" customFormat="false" ht="15" hidden="false" customHeight="false" outlineLevel="0" collapsed="false">
      <c r="A16" s="33" t="s">
        <v>184</v>
      </c>
      <c r="B16" s="34" t="n">
        <v>5</v>
      </c>
      <c r="C16" s="35" t="n">
        <v>150</v>
      </c>
      <c r="D16" s="35" t="n">
        <v>100</v>
      </c>
      <c r="E16" s="36" t="n">
        <v>0.08</v>
      </c>
      <c r="F16" s="36" t="n">
        <v>0.5</v>
      </c>
      <c r="G16" s="36" t="n">
        <v>0.2</v>
      </c>
      <c r="H16" s="36" t="n">
        <v>0.14</v>
      </c>
      <c r="I16" s="36" t="n">
        <v>0.2</v>
      </c>
      <c r="J16" s="36" t="n">
        <v>0.3</v>
      </c>
      <c r="K16" s="37" t="n">
        <f aca="false">D16*((1+E16)^B16-1)</f>
        <v>46.9328076800001</v>
      </c>
      <c r="L16" s="37" t="n">
        <f aca="false">IF(F16&gt;G16,G16*K16/(F16-G16),0)</f>
        <v>31.2885384533334</v>
      </c>
      <c r="M16" s="37" t="n">
        <f aca="false">D16*(1+H16)^B16</f>
        <v>192.54145824</v>
      </c>
      <c r="N16" s="37" t="n">
        <f aca="false">MAX(0,C16-D16-K16)</f>
        <v>3.06719231999995</v>
      </c>
      <c r="O16" s="37" t="n">
        <f aca="false">MIN(N16,L16)</f>
        <v>3.06719231999995</v>
      </c>
      <c r="P16" s="37" t="n">
        <f aca="false">MIN(C16,D16)+MIN(MAX(0,C16-D16),K16)+O16*(1-F16)</f>
        <v>148.46640384</v>
      </c>
      <c r="Q16" s="37" t="n">
        <f aca="false">MIN(N16-O16,MAX(0,(M16-P16)/(1-I16)))</f>
        <v>0</v>
      </c>
      <c r="R16" s="37" t="n">
        <f aca="false">N16-O16-Q16</f>
        <v>0</v>
      </c>
      <c r="S16" s="38" t="n">
        <f aca="false">O16*F16+Q16*I16+R16*J16</f>
        <v>1.53359615999997</v>
      </c>
      <c r="T16" s="37" t="n">
        <f aca="false">C16-S16</f>
        <v>148.46640384</v>
      </c>
      <c r="U16" s="39" t="n">
        <f aca="false">IF(D16&lt;=0,"",(T16/D16)^(1/B16)-1)</f>
        <v>0.0822451240833542</v>
      </c>
    </row>
    <row r="17" customFormat="false" ht="15" hidden="false" customHeight="false" outlineLevel="0" collapsed="false">
      <c r="A17" s="33" t="s">
        <v>185</v>
      </c>
      <c r="B17" s="34" t="n">
        <v>5</v>
      </c>
      <c r="C17" s="37" t="n">
        <f aca="false">$C$7+$B$62*((1+$B$63+-0.01)/(1+$B$63))^$B$64/($B$61+-0.005)-$B$62/$B$61</f>
        <v>273.08097058509</v>
      </c>
      <c r="D17" s="35" t="n">
        <v>100</v>
      </c>
      <c r="E17" s="36" t="n">
        <v>0.08</v>
      </c>
      <c r="F17" s="36" t="n">
        <v>0.5</v>
      </c>
      <c r="G17" s="36" t="n">
        <v>0.2</v>
      </c>
      <c r="H17" s="36" t="n">
        <v>0.14</v>
      </c>
      <c r="I17" s="36" t="n">
        <v>0.2</v>
      </c>
      <c r="J17" s="36" t="n">
        <v>0.3</v>
      </c>
      <c r="K17" s="37" t="n">
        <f aca="false">D17*((1+E17)^B17-1)</f>
        <v>46.9328076800001</v>
      </c>
      <c r="L17" s="37" t="n">
        <f aca="false">IF(F17&gt;G17,G17*K17/(F17-G17),0)</f>
        <v>31.2885384533334</v>
      </c>
      <c r="M17" s="37" t="n">
        <f aca="false">D17*(1+H17)^B17</f>
        <v>192.54145824</v>
      </c>
      <c r="N17" s="37" t="n">
        <f aca="false">MAX(0,C17-D17-K17)</f>
        <v>126.14816290509</v>
      </c>
      <c r="O17" s="37" t="n">
        <f aca="false">MIN(N17,L17)</f>
        <v>31.2885384533334</v>
      </c>
      <c r="P17" s="37" t="n">
        <f aca="false">MIN(C17,D17)+MIN(MAX(0,C17-D17),K17)+O17*(1-F17)</f>
        <v>162.577076906667</v>
      </c>
      <c r="Q17" s="37" t="n">
        <f aca="false">MIN(N17-O17,MAX(0,(M17-P17)/(1-I17)))</f>
        <v>37.4554766666667</v>
      </c>
      <c r="R17" s="37" t="n">
        <f aca="false">N17-O17-Q17</f>
        <v>57.4041477850903</v>
      </c>
      <c r="S17" s="38" t="n">
        <f aca="false">O17*F17+Q17*I17+R17*J17</f>
        <v>40.3566088955271</v>
      </c>
      <c r="T17" s="37" t="n">
        <f aca="false">C17-S17</f>
        <v>232.724361689563</v>
      </c>
      <c r="U17" s="39" t="n">
        <f aca="false">IF(D17&lt;=0,"",(T17/D17)^(1/B17)-1)</f>
        <v>0.184045439934866</v>
      </c>
    </row>
    <row r="18" customFormat="false" ht="15" hidden="false" customHeight="false" outlineLevel="0" collapsed="false">
      <c r="A18" s="33" t="s">
        <v>186</v>
      </c>
      <c r="B18" s="34" t="n">
        <v>5</v>
      </c>
      <c r="C18" s="37" t="n">
        <f aca="false">$C$7+$B$62*((1+$B$63+0)/(1+$B$63))^$B$64/($B$61+-0.005)-$B$62/$B$61</f>
        <v>294.444444444444</v>
      </c>
      <c r="D18" s="35" t="n">
        <v>100</v>
      </c>
      <c r="E18" s="36" t="n">
        <v>0.08</v>
      </c>
      <c r="F18" s="36" t="n">
        <v>0.5</v>
      </c>
      <c r="G18" s="36" t="n">
        <v>0.2</v>
      </c>
      <c r="H18" s="36" t="n">
        <v>0.14</v>
      </c>
      <c r="I18" s="36" t="n">
        <v>0.2</v>
      </c>
      <c r="J18" s="36" t="n">
        <v>0.3</v>
      </c>
      <c r="K18" s="37" t="n">
        <f aca="false">D18*((1+E18)^B18-1)</f>
        <v>46.9328076800001</v>
      </c>
      <c r="L18" s="37" t="n">
        <f aca="false">IF(F18&gt;G18,G18*K18/(F18-G18),0)</f>
        <v>31.2885384533334</v>
      </c>
      <c r="M18" s="37" t="n">
        <f aca="false">D18*(1+H18)^B18</f>
        <v>192.54145824</v>
      </c>
      <c r="N18" s="37" t="n">
        <f aca="false">MAX(0,C18-D18-K18)</f>
        <v>147.511636764444</v>
      </c>
      <c r="O18" s="37" t="n">
        <f aca="false">MIN(N18,L18)</f>
        <v>31.2885384533334</v>
      </c>
      <c r="P18" s="37" t="n">
        <f aca="false">MIN(C18,D18)+MIN(MAX(0,C18-D18),K18)+O18*(1-F18)</f>
        <v>162.577076906667</v>
      </c>
      <c r="Q18" s="37" t="n">
        <f aca="false">MIN(N18-O18,MAX(0,(M18-P18)/(1-I18)))</f>
        <v>37.4554766666667</v>
      </c>
      <c r="R18" s="37" t="n">
        <f aca="false">N18-O18-Q18</f>
        <v>78.7676216444442</v>
      </c>
      <c r="S18" s="38" t="n">
        <f aca="false">O18*F18+Q18*I18+R18*J18</f>
        <v>46.7656510533333</v>
      </c>
      <c r="T18" s="37" t="n">
        <f aca="false">C18-S18</f>
        <v>247.678793391111</v>
      </c>
      <c r="U18" s="39" t="n">
        <f aca="false">IF(D18&lt;=0,"",(T18/D18)^(1/B18)-1)</f>
        <v>0.198885657429202</v>
      </c>
    </row>
    <row r="19" customFormat="false" ht="15" hidden="false" customHeight="false" outlineLevel="0" collapsed="false">
      <c r="A19" s="33" t="s">
        <v>187</v>
      </c>
      <c r="B19" s="34" t="n">
        <v>5</v>
      </c>
      <c r="C19" s="37" t="n">
        <f aca="false">$C$7+$B$62*((1+$B$63+0.01)/(1+$B$63))^$B$64/($B$61+-0.005)-$B$62/$B$61</f>
        <v>316.662331613584</v>
      </c>
      <c r="D19" s="35" t="n">
        <v>100</v>
      </c>
      <c r="E19" s="36" t="n">
        <v>0.08</v>
      </c>
      <c r="F19" s="36" t="n">
        <v>0.5</v>
      </c>
      <c r="G19" s="36" t="n">
        <v>0.2</v>
      </c>
      <c r="H19" s="36" t="n">
        <v>0.14</v>
      </c>
      <c r="I19" s="36" t="n">
        <v>0.2</v>
      </c>
      <c r="J19" s="36" t="n">
        <v>0.3</v>
      </c>
      <c r="K19" s="37" t="n">
        <f aca="false">D19*((1+E19)^B19-1)</f>
        <v>46.9328076800001</v>
      </c>
      <c r="L19" s="37" t="n">
        <f aca="false">IF(F19&gt;G19,G19*K19/(F19-G19),0)</f>
        <v>31.2885384533334</v>
      </c>
      <c r="M19" s="37" t="n">
        <f aca="false">D19*(1+H19)^B19</f>
        <v>192.54145824</v>
      </c>
      <c r="N19" s="37" t="n">
        <f aca="false">MAX(0,C19-D19-K19)</f>
        <v>169.729523933584</v>
      </c>
      <c r="O19" s="37" t="n">
        <f aca="false">MIN(N19,L19)</f>
        <v>31.2885384533334</v>
      </c>
      <c r="P19" s="37" t="n">
        <f aca="false">MIN(C19,D19)+MIN(MAX(0,C19-D19),K19)+O19*(1-F19)</f>
        <v>162.577076906667</v>
      </c>
      <c r="Q19" s="37" t="n">
        <f aca="false">MIN(N19-O19,MAX(0,(M19-P19)/(1-I19)))</f>
        <v>37.4554766666667</v>
      </c>
      <c r="R19" s="37" t="n">
        <f aca="false">N19-O19-Q19</f>
        <v>100.985508813584</v>
      </c>
      <c r="S19" s="38" t="n">
        <f aca="false">O19*F19+Q19*I19+R19*J19</f>
        <v>53.4310172040753</v>
      </c>
      <c r="T19" s="37" t="n">
        <f aca="false">C19-S19</f>
        <v>263.231314409509</v>
      </c>
      <c r="U19" s="39" t="n">
        <f aca="false">IF(D19&lt;=0,"",(T19/D19)^(1/B19)-1)</f>
        <v>0.213577484735905</v>
      </c>
    </row>
    <row r="20" customFormat="false" ht="15" hidden="false" customHeight="false" outlineLevel="0" collapsed="false">
      <c r="A20" s="33" t="s">
        <v>188</v>
      </c>
      <c r="B20" s="34" t="n">
        <v>5</v>
      </c>
      <c r="C20" s="37" t="n">
        <f aca="false">$C$7+$B$62*((1+$B$63+-0.01)/(1+$B$63))^$B$64/($B$61+-0.0025)-$B$62/$B$61</f>
        <v>250.813551080612</v>
      </c>
      <c r="D20" s="35" t="n">
        <v>100</v>
      </c>
      <c r="E20" s="36" t="n">
        <v>0.08</v>
      </c>
      <c r="F20" s="36" t="n">
        <v>0.5</v>
      </c>
      <c r="G20" s="36" t="n">
        <v>0.2</v>
      </c>
      <c r="H20" s="36" t="n">
        <v>0.14</v>
      </c>
      <c r="I20" s="36" t="n">
        <v>0.2</v>
      </c>
      <c r="J20" s="36" t="n">
        <v>0.3</v>
      </c>
      <c r="K20" s="37" t="n">
        <f aca="false">D20*((1+E20)^B20-1)</f>
        <v>46.9328076800001</v>
      </c>
      <c r="L20" s="37" t="n">
        <f aca="false">IF(F20&gt;G20,G20*K20/(F20-G20),0)</f>
        <v>31.2885384533334</v>
      </c>
      <c r="M20" s="37" t="n">
        <f aca="false">D20*(1+H20)^B20</f>
        <v>192.54145824</v>
      </c>
      <c r="N20" s="37" t="n">
        <f aca="false">MAX(0,C20-D20-K20)</f>
        <v>103.880743400612</v>
      </c>
      <c r="O20" s="37" t="n">
        <f aca="false">MIN(N20,L20)</f>
        <v>31.2885384533334</v>
      </c>
      <c r="P20" s="37" t="n">
        <f aca="false">MIN(C20,D20)+MIN(MAX(0,C20-D20),K20)+O20*(1-F20)</f>
        <v>162.577076906667</v>
      </c>
      <c r="Q20" s="37" t="n">
        <f aca="false">MIN(N20-O20,MAX(0,(M20-P20)/(1-I20)))</f>
        <v>37.4554766666667</v>
      </c>
      <c r="R20" s="37" t="n">
        <f aca="false">N20-O20-Q20</f>
        <v>35.136728280612</v>
      </c>
      <c r="S20" s="38" t="n">
        <f aca="false">O20*F20+Q20*I20+R20*J20</f>
        <v>33.6763830441836</v>
      </c>
      <c r="T20" s="37" t="n">
        <f aca="false">C20-S20</f>
        <v>217.137168036428</v>
      </c>
      <c r="U20" s="39" t="n">
        <f aca="false">IF(D20&lt;=0,"",(T20/D20)^(1/B20)-1)</f>
        <v>0.167741820318496</v>
      </c>
    </row>
    <row r="21" customFormat="false" ht="15" hidden="false" customHeight="false" outlineLevel="0" collapsed="false">
      <c r="A21" s="33" t="s">
        <v>189</v>
      </c>
      <c r="B21" s="34" t="n">
        <v>5</v>
      </c>
      <c r="C21" s="37" t="n">
        <f aca="false">$C$7+$B$62*((1+$B$63+0)/(1+$B$63))^$B$64/($B$61+-0.0025)-$B$62/$B$61</f>
        <v>271.052631578947</v>
      </c>
      <c r="D21" s="35" t="n">
        <v>100</v>
      </c>
      <c r="E21" s="36" t="n">
        <v>0.08</v>
      </c>
      <c r="F21" s="36" t="n">
        <v>0.5</v>
      </c>
      <c r="G21" s="36" t="n">
        <v>0.2</v>
      </c>
      <c r="H21" s="36" t="n">
        <v>0.14</v>
      </c>
      <c r="I21" s="36" t="n">
        <v>0.2</v>
      </c>
      <c r="J21" s="36" t="n">
        <v>0.3</v>
      </c>
      <c r="K21" s="37" t="n">
        <f aca="false">D21*((1+E21)^B21-1)</f>
        <v>46.9328076800001</v>
      </c>
      <c r="L21" s="37" t="n">
        <f aca="false">IF(F21&gt;G21,G21*K21/(F21-G21),0)</f>
        <v>31.2885384533334</v>
      </c>
      <c r="M21" s="37" t="n">
        <f aca="false">D21*(1+H21)^B21</f>
        <v>192.54145824</v>
      </c>
      <c r="N21" s="37" t="n">
        <f aca="false">MAX(0,C21-D21-K21)</f>
        <v>124.119823898947</v>
      </c>
      <c r="O21" s="37" t="n">
        <f aca="false">MIN(N21,L21)</f>
        <v>31.2885384533334</v>
      </c>
      <c r="P21" s="37" t="n">
        <f aca="false">MIN(C21,D21)+MIN(MAX(0,C21-D21),K21)+O21*(1-F21)</f>
        <v>162.577076906667</v>
      </c>
      <c r="Q21" s="37" t="n">
        <f aca="false">MIN(N21-O21,MAX(0,(M21-P21)/(1-I21)))</f>
        <v>37.4554766666667</v>
      </c>
      <c r="R21" s="37" t="n">
        <f aca="false">N21-O21-Q21</f>
        <v>55.3758087789472</v>
      </c>
      <c r="S21" s="38" t="n">
        <f aca="false">O21*F21+Q21*I21+R21*J21</f>
        <v>39.7481071936842</v>
      </c>
      <c r="T21" s="37" t="n">
        <f aca="false">C21-S21</f>
        <v>231.304524385263</v>
      </c>
      <c r="U21" s="39" t="n">
        <f aca="false">IF(D21&lt;=0,"",(T21/D21)^(1/B21)-1)</f>
        <v>0.182597143247468</v>
      </c>
    </row>
    <row r="22" customFormat="false" ht="15" hidden="false" customHeight="false" outlineLevel="0" collapsed="false">
      <c r="A22" s="33" t="s">
        <v>190</v>
      </c>
      <c r="B22" s="34" t="n">
        <v>5</v>
      </c>
      <c r="C22" s="37" t="n">
        <f aca="false">$C$7+$B$62*((1+$B$63+0.01)/(1+$B$63))^$B$64/($B$61+-0.0025)-$B$62/$B$61</f>
        <v>292.101156265501</v>
      </c>
      <c r="D22" s="35" t="n">
        <v>100</v>
      </c>
      <c r="E22" s="36" t="n">
        <v>0.08</v>
      </c>
      <c r="F22" s="36" t="n">
        <v>0.5</v>
      </c>
      <c r="G22" s="36" t="n">
        <v>0.2</v>
      </c>
      <c r="H22" s="36" t="n">
        <v>0.14</v>
      </c>
      <c r="I22" s="36" t="n">
        <v>0.2</v>
      </c>
      <c r="J22" s="36" t="n">
        <v>0.3</v>
      </c>
      <c r="K22" s="37" t="n">
        <f aca="false">D22*((1+E22)^B22-1)</f>
        <v>46.9328076800001</v>
      </c>
      <c r="L22" s="37" t="n">
        <f aca="false">IF(F22&gt;G22,G22*K22/(F22-G22),0)</f>
        <v>31.2885384533334</v>
      </c>
      <c r="M22" s="37" t="n">
        <f aca="false">D22*(1+H22)^B22</f>
        <v>192.54145824</v>
      </c>
      <c r="N22" s="37" t="n">
        <f aca="false">MAX(0,C22-D22-K22)</f>
        <v>145.168348585501</v>
      </c>
      <c r="O22" s="37" t="n">
        <f aca="false">MIN(N22,L22)</f>
        <v>31.2885384533334</v>
      </c>
      <c r="P22" s="37" t="n">
        <f aca="false">MIN(C22,D22)+MIN(MAX(0,C22-D22),K22)+O22*(1-F22)</f>
        <v>162.577076906667</v>
      </c>
      <c r="Q22" s="37" t="n">
        <f aca="false">MIN(N22-O22,MAX(0,(M22-P22)/(1-I22)))</f>
        <v>37.4554766666667</v>
      </c>
      <c r="R22" s="37" t="n">
        <f aca="false">N22-O22-Q22</f>
        <v>76.4243334655009</v>
      </c>
      <c r="S22" s="38" t="n">
        <f aca="false">O22*F22+Q22*I22+R22*J22</f>
        <v>46.0626645996503</v>
      </c>
      <c r="T22" s="37" t="n">
        <f aca="false">C22-S22</f>
        <v>246.038491665851</v>
      </c>
      <c r="U22" s="39" t="n">
        <f aca="false">IF(D22&lt;=0,"",(T22/D22)^(1/B22)-1)</f>
        <v>0.197293462565207</v>
      </c>
    </row>
    <row r="23" customFormat="false" ht="15" hidden="false" customHeight="false" outlineLevel="0" collapsed="false">
      <c r="A23" s="33" t="s">
        <v>191</v>
      </c>
      <c r="B23" s="34" t="n">
        <v>5</v>
      </c>
      <c r="C23" s="37" t="n">
        <f aca="false">$C$7+$B$62*((1+$B$63+-0.01)/(1+$B$63))^$B$64/($B$61+0)-$B$62/$B$61</f>
        <v>230.772873526581</v>
      </c>
      <c r="D23" s="35" t="n">
        <v>100</v>
      </c>
      <c r="E23" s="36" t="n">
        <v>0.08</v>
      </c>
      <c r="F23" s="36" t="n">
        <v>0.5</v>
      </c>
      <c r="G23" s="36" t="n">
        <v>0.2</v>
      </c>
      <c r="H23" s="36" t="n">
        <v>0.14</v>
      </c>
      <c r="I23" s="36" t="n">
        <v>0.2</v>
      </c>
      <c r="J23" s="36" t="n">
        <v>0.3</v>
      </c>
      <c r="K23" s="37" t="n">
        <f aca="false">D23*((1+E23)^B23-1)</f>
        <v>46.9328076800001</v>
      </c>
      <c r="L23" s="37" t="n">
        <f aca="false">IF(F23&gt;G23,G23*K23/(F23-G23),0)</f>
        <v>31.2885384533334</v>
      </c>
      <c r="M23" s="37" t="n">
        <f aca="false">D23*(1+H23)^B23</f>
        <v>192.54145824</v>
      </c>
      <c r="N23" s="37" t="n">
        <f aca="false">MAX(0,C23-D23-K23)</f>
        <v>83.8400658465814</v>
      </c>
      <c r="O23" s="37" t="n">
        <f aca="false">MIN(N23,L23)</f>
        <v>31.2885384533334</v>
      </c>
      <c r="P23" s="37" t="n">
        <f aca="false">MIN(C23,D23)+MIN(MAX(0,C23-D23),K23)+O23*(1-F23)</f>
        <v>162.577076906667</v>
      </c>
      <c r="Q23" s="37" t="n">
        <f aca="false">MIN(N23-O23,MAX(0,(M23-P23)/(1-I23)))</f>
        <v>37.4554766666667</v>
      </c>
      <c r="R23" s="37" t="n">
        <f aca="false">N23-O23-Q23</f>
        <v>15.0960507265813</v>
      </c>
      <c r="S23" s="38" t="n">
        <f aca="false">O23*F23+Q23*I23+R23*J23</f>
        <v>27.6641797779744</v>
      </c>
      <c r="T23" s="37" t="n">
        <f aca="false">C23-S23</f>
        <v>203.108693748607</v>
      </c>
      <c r="U23" s="39" t="n">
        <f aca="false">IF(D23&lt;=0,"",(T23/D23)^(1/B23)-1)</f>
        <v>0.152247309234653</v>
      </c>
    </row>
    <row r="24" customFormat="false" ht="15" hidden="false" customHeight="false" outlineLevel="0" collapsed="false">
      <c r="A24" s="33" t="s">
        <v>192</v>
      </c>
      <c r="B24" s="34" t="n">
        <v>5</v>
      </c>
      <c r="C24" s="37" t="n">
        <f aca="false">$C$7+$B$62*((1+$B$63+0)/(1+$B$63))^$B$64/($B$61+0)-$B$62/$B$61</f>
        <v>250</v>
      </c>
      <c r="D24" s="35" t="n">
        <v>100</v>
      </c>
      <c r="E24" s="36" t="n">
        <v>0.08</v>
      </c>
      <c r="F24" s="36" t="n">
        <v>0.5</v>
      </c>
      <c r="G24" s="36" t="n">
        <v>0.2</v>
      </c>
      <c r="H24" s="36" t="n">
        <v>0.14</v>
      </c>
      <c r="I24" s="36" t="n">
        <v>0.2</v>
      </c>
      <c r="J24" s="36" t="n">
        <v>0.3</v>
      </c>
      <c r="K24" s="37" t="n">
        <f aca="false">D24*((1+E24)^B24-1)</f>
        <v>46.9328076800001</v>
      </c>
      <c r="L24" s="37" t="n">
        <f aca="false">IF(F24&gt;G24,G24*K24/(F24-G24),0)</f>
        <v>31.2885384533334</v>
      </c>
      <c r="M24" s="37" t="n">
        <f aca="false">D24*(1+H24)^B24</f>
        <v>192.54145824</v>
      </c>
      <c r="N24" s="37" t="n">
        <f aca="false">MAX(0,C24-D24-K24)</f>
        <v>103.06719232</v>
      </c>
      <c r="O24" s="37" t="n">
        <f aca="false">MIN(N24,L24)</f>
        <v>31.2885384533334</v>
      </c>
      <c r="P24" s="37" t="n">
        <f aca="false">MIN(C24,D24)+MIN(MAX(0,C24-D24),K24)+O24*(1-F24)</f>
        <v>162.577076906667</v>
      </c>
      <c r="Q24" s="37" t="n">
        <f aca="false">MIN(N24-O24,MAX(0,(M24-P24)/(1-I24)))</f>
        <v>37.4554766666667</v>
      </c>
      <c r="R24" s="37" t="n">
        <f aca="false">N24-O24-Q24</f>
        <v>34.3231771999999</v>
      </c>
      <c r="S24" s="38" t="n">
        <f aca="false">O24*F24+Q24*I24+R24*J24</f>
        <v>33.43231772</v>
      </c>
      <c r="T24" s="37" t="n">
        <f aca="false">C24-S24</f>
        <v>216.56768228</v>
      </c>
      <c r="U24" s="39" t="n">
        <f aca="false">IF(D24&lt;=0,"",(T24/D24)^(1/B24)-1)</f>
        <v>0.167128649306823</v>
      </c>
    </row>
    <row r="25" customFormat="false" ht="15" hidden="false" customHeight="false" outlineLevel="0" collapsed="false">
      <c r="A25" s="33" t="s">
        <v>193</v>
      </c>
      <c r="B25" s="34" t="n">
        <v>5</v>
      </c>
      <c r="C25" s="37" t="n">
        <f aca="false">$C$7+$B$62*((1+$B$63+0.01)/(1+$B$63))^$B$64/($B$61+0)-$B$62/$B$61</f>
        <v>269.996098452226</v>
      </c>
      <c r="D25" s="35" t="n">
        <v>100</v>
      </c>
      <c r="E25" s="36" t="n">
        <v>0.08</v>
      </c>
      <c r="F25" s="36" t="n">
        <v>0.5</v>
      </c>
      <c r="G25" s="36" t="n">
        <v>0.2</v>
      </c>
      <c r="H25" s="36" t="n">
        <v>0.14</v>
      </c>
      <c r="I25" s="36" t="n">
        <v>0.2</v>
      </c>
      <c r="J25" s="36" t="n">
        <v>0.3</v>
      </c>
      <c r="K25" s="37" t="n">
        <f aca="false">D25*((1+E25)^B25-1)</f>
        <v>46.9328076800001</v>
      </c>
      <c r="L25" s="37" t="n">
        <f aca="false">IF(F25&gt;G25,G25*K25/(F25-G25),0)</f>
        <v>31.2885384533334</v>
      </c>
      <c r="M25" s="37" t="n">
        <f aca="false">D25*(1+H25)^B25</f>
        <v>192.54145824</v>
      </c>
      <c r="N25" s="37" t="n">
        <f aca="false">MAX(0,C25-D25-K25)</f>
        <v>123.063290772226</v>
      </c>
      <c r="O25" s="37" t="n">
        <f aca="false">MIN(N25,L25)</f>
        <v>31.2885384533334</v>
      </c>
      <c r="P25" s="37" t="n">
        <f aca="false">MIN(C25,D25)+MIN(MAX(0,C25-D25),K25)+O25*(1-F25)</f>
        <v>162.577076906667</v>
      </c>
      <c r="Q25" s="37" t="n">
        <f aca="false">MIN(N25-O25,MAX(0,(M25-P25)/(1-I25)))</f>
        <v>37.4554766666667</v>
      </c>
      <c r="R25" s="37" t="n">
        <f aca="false">N25-O25-Q25</f>
        <v>54.3192756522258</v>
      </c>
      <c r="S25" s="38" t="n">
        <f aca="false">O25*F25+Q25*I25+R25*J25</f>
        <v>39.4311472556678</v>
      </c>
      <c r="T25" s="37" t="n">
        <f aca="false">C25-S25</f>
        <v>230.564951196558</v>
      </c>
      <c r="U25" s="39" t="n">
        <f aca="false">IF(D25&lt;=0,"",(T25/D25)^(1/B25)-1)</f>
        <v>0.181839926851648</v>
      </c>
    </row>
    <row r="26" customFormat="false" ht="15" hidden="false" customHeight="false" outlineLevel="0" collapsed="false">
      <c r="A26" s="33" t="s">
        <v>194</v>
      </c>
      <c r="B26" s="34" t="n">
        <v>5</v>
      </c>
      <c r="C26" s="37" t="n">
        <f aca="false">$C$7+$B$62*((1+$B$63+-0.01)/(1+$B$63))^$B$64/($B$61+0.0025)-$B$62/$B$61</f>
        <v>212.640831930078</v>
      </c>
      <c r="D26" s="35" t="n">
        <v>100</v>
      </c>
      <c r="E26" s="36" t="n">
        <v>0.08</v>
      </c>
      <c r="F26" s="36" t="n">
        <v>0.5</v>
      </c>
      <c r="G26" s="36" t="n">
        <v>0.2</v>
      </c>
      <c r="H26" s="36" t="n">
        <v>0.14</v>
      </c>
      <c r="I26" s="36" t="n">
        <v>0.2</v>
      </c>
      <c r="J26" s="36" t="n">
        <v>0.3</v>
      </c>
      <c r="K26" s="37" t="n">
        <f aca="false">D26*((1+E26)^B26-1)</f>
        <v>46.9328076800001</v>
      </c>
      <c r="L26" s="37" t="n">
        <f aca="false">IF(F26&gt;G26,G26*K26/(F26-G26),0)</f>
        <v>31.2885384533334</v>
      </c>
      <c r="M26" s="37" t="n">
        <f aca="false">D26*(1+H26)^B26</f>
        <v>192.54145824</v>
      </c>
      <c r="N26" s="37" t="n">
        <f aca="false">MAX(0,C26-D26-K26)</f>
        <v>65.7080242500775</v>
      </c>
      <c r="O26" s="37" t="n">
        <f aca="false">MIN(N26,L26)</f>
        <v>31.2885384533334</v>
      </c>
      <c r="P26" s="37" t="n">
        <f aca="false">MIN(C26,D26)+MIN(MAX(0,C26-D26),K26)+O26*(1-F26)</f>
        <v>162.577076906667</v>
      </c>
      <c r="Q26" s="37" t="n">
        <f aca="false">MIN(N26-O26,MAX(0,(M26-P26)/(1-I26)))</f>
        <v>34.4194857967441</v>
      </c>
      <c r="R26" s="37" t="n">
        <f aca="false">N26-O26-Q26</f>
        <v>0</v>
      </c>
      <c r="S26" s="38" t="n">
        <f aca="false">O26*F26+Q26*I26+R26*J26</f>
        <v>22.5281663860155</v>
      </c>
      <c r="T26" s="37" t="n">
        <f aca="false">C26-S26</f>
        <v>190.112665544062</v>
      </c>
      <c r="U26" s="39" t="n">
        <f aca="false">IF(D26&lt;=0,"",(T26/D26)^(1/B26)-1)</f>
        <v>0.137109296680205</v>
      </c>
    </row>
    <row r="27" customFormat="false" ht="15" hidden="false" customHeight="false" outlineLevel="0" collapsed="false">
      <c r="A27" s="33" t="s">
        <v>195</v>
      </c>
      <c r="B27" s="34" t="n">
        <v>5</v>
      </c>
      <c r="C27" s="37" t="n">
        <f aca="false">$C$7+$B$62*((1+$B$63+0)/(1+$B$63))^$B$64/($B$61+0.0025)-$B$62/$B$61</f>
        <v>230.952380952381</v>
      </c>
      <c r="D27" s="35" t="n">
        <v>100</v>
      </c>
      <c r="E27" s="36" t="n">
        <v>0.08</v>
      </c>
      <c r="F27" s="36" t="n">
        <v>0.5</v>
      </c>
      <c r="G27" s="36" t="n">
        <v>0.2</v>
      </c>
      <c r="H27" s="36" t="n">
        <v>0.14</v>
      </c>
      <c r="I27" s="36" t="n">
        <v>0.2</v>
      </c>
      <c r="J27" s="36" t="n">
        <v>0.3</v>
      </c>
      <c r="K27" s="37" t="n">
        <f aca="false">D27*((1+E27)^B27-1)</f>
        <v>46.9328076800001</v>
      </c>
      <c r="L27" s="37" t="n">
        <f aca="false">IF(F27&gt;G27,G27*K27/(F27-G27),0)</f>
        <v>31.2885384533334</v>
      </c>
      <c r="M27" s="37" t="n">
        <f aca="false">D27*(1+H27)^B27</f>
        <v>192.54145824</v>
      </c>
      <c r="N27" s="37" t="n">
        <f aca="false">MAX(0,C27-D27-K27)</f>
        <v>84.0195732723809</v>
      </c>
      <c r="O27" s="37" t="n">
        <f aca="false">MIN(N27,L27)</f>
        <v>31.2885384533334</v>
      </c>
      <c r="P27" s="37" t="n">
        <f aca="false">MIN(C27,D27)+MIN(MAX(0,C27-D27),K27)+O27*(1-F27)</f>
        <v>162.577076906667</v>
      </c>
      <c r="Q27" s="37" t="n">
        <f aca="false">MIN(N27-O27,MAX(0,(M27-P27)/(1-I27)))</f>
        <v>37.4554766666667</v>
      </c>
      <c r="R27" s="37" t="n">
        <f aca="false">N27-O27-Q27</f>
        <v>15.2755581523808</v>
      </c>
      <c r="S27" s="38" t="n">
        <f aca="false">O27*F27+Q27*I27+R27*J27</f>
        <v>27.7180320057143</v>
      </c>
      <c r="T27" s="37" t="n">
        <f aca="false">C27-S27</f>
        <v>203.234348946667</v>
      </c>
      <c r="U27" s="39" t="n">
        <f aca="false">IF(D27&lt;=0,"",(T27/D27)^(1/B27)-1)</f>
        <v>0.152389843800945</v>
      </c>
    </row>
    <row r="28" customFormat="false" ht="15" hidden="false" customHeight="false" outlineLevel="0" collapsed="false">
      <c r="A28" s="33" t="s">
        <v>196</v>
      </c>
      <c r="B28" s="34" t="n">
        <v>5</v>
      </c>
      <c r="C28" s="37" t="n">
        <f aca="false">$C$7+$B$62*((1+$B$63+0.01)/(1+$B$63))^$B$64/($B$61+0.0025)-$B$62/$B$61</f>
        <v>249.996284240215</v>
      </c>
      <c r="D28" s="35" t="n">
        <v>100</v>
      </c>
      <c r="E28" s="36" t="n">
        <v>0.08</v>
      </c>
      <c r="F28" s="36" t="n">
        <v>0.5</v>
      </c>
      <c r="G28" s="36" t="n">
        <v>0.2</v>
      </c>
      <c r="H28" s="36" t="n">
        <v>0.14</v>
      </c>
      <c r="I28" s="36" t="n">
        <v>0.2</v>
      </c>
      <c r="J28" s="36" t="n">
        <v>0.3</v>
      </c>
      <c r="K28" s="37" t="n">
        <f aca="false">D28*((1+E28)^B28-1)</f>
        <v>46.9328076800001</v>
      </c>
      <c r="L28" s="37" t="n">
        <f aca="false">IF(F28&gt;G28,G28*K28/(F28-G28),0)</f>
        <v>31.2885384533334</v>
      </c>
      <c r="M28" s="37" t="n">
        <f aca="false">D28*(1+H28)^B28</f>
        <v>192.54145824</v>
      </c>
      <c r="N28" s="37" t="n">
        <f aca="false">MAX(0,C28-D28-K28)</f>
        <v>103.063476560215</v>
      </c>
      <c r="O28" s="37" t="n">
        <f aca="false">MIN(N28,L28)</f>
        <v>31.2885384533334</v>
      </c>
      <c r="P28" s="37" t="n">
        <f aca="false">MIN(C28,D28)+MIN(MAX(0,C28-D28),K28)+O28*(1-F28)</f>
        <v>162.577076906667</v>
      </c>
      <c r="Q28" s="37" t="n">
        <f aca="false">MIN(N28-O28,MAX(0,(M28-P28)/(1-I28)))</f>
        <v>37.4554766666667</v>
      </c>
      <c r="R28" s="37" t="n">
        <f aca="false">N28-O28-Q28</f>
        <v>34.3194614402151</v>
      </c>
      <c r="S28" s="38" t="n">
        <f aca="false">O28*F28+Q28*I28+R28*J28</f>
        <v>33.4312029920646</v>
      </c>
      <c r="T28" s="37" t="n">
        <f aca="false">C28-S28</f>
        <v>216.565081248151</v>
      </c>
      <c r="U28" s="39" t="n">
        <f aca="false">IF(D28&lt;=0,"",(T28/D28)^(1/B28)-1)</f>
        <v>0.167125845792151</v>
      </c>
    </row>
    <row r="29" customFormat="false" ht="15" hidden="false" customHeight="false" outlineLevel="0" collapsed="false">
      <c r="A29" s="33" t="s">
        <v>197</v>
      </c>
      <c r="B29" s="34" t="n">
        <v>5</v>
      </c>
      <c r="C29" s="37" t="n">
        <f aca="false">$C$7+$B$62*((1+$B$63+-0.01)/(1+$B$63))^$B$64/($B$61+0.005)-$B$62/$B$61</f>
        <v>196.157157751438</v>
      </c>
      <c r="D29" s="35" t="n">
        <v>100</v>
      </c>
      <c r="E29" s="36" t="n">
        <v>0.08</v>
      </c>
      <c r="F29" s="36" t="n">
        <v>0.5</v>
      </c>
      <c r="G29" s="36" t="n">
        <v>0.2</v>
      </c>
      <c r="H29" s="36" t="n">
        <v>0.14</v>
      </c>
      <c r="I29" s="36" t="n">
        <v>0.2</v>
      </c>
      <c r="J29" s="36" t="n">
        <v>0.3</v>
      </c>
      <c r="K29" s="37" t="n">
        <f aca="false">D29*((1+E29)^B29-1)</f>
        <v>46.9328076800001</v>
      </c>
      <c r="L29" s="37" t="n">
        <f aca="false">IF(F29&gt;G29,G29*K29/(F29-G29),0)</f>
        <v>31.2885384533334</v>
      </c>
      <c r="M29" s="37" t="n">
        <f aca="false">D29*(1+H29)^B29</f>
        <v>192.54145824</v>
      </c>
      <c r="N29" s="37" t="n">
        <f aca="false">MAX(0,C29-D29-K29)</f>
        <v>49.2243500714376</v>
      </c>
      <c r="O29" s="37" t="n">
        <f aca="false">MIN(N29,L29)</f>
        <v>31.2885384533334</v>
      </c>
      <c r="P29" s="37" t="n">
        <f aca="false">MIN(C29,D29)+MIN(MAX(0,C29-D29),K29)+O29*(1-F29)</f>
        <v>162.577076906667</v>
      </c>
      <c r="Q29" s="37" t="n">
        <f aca="false">MIN(N29-O29,MAX(0,(M29-P29)/(1-I29)))</f>
        <v>17.9358116181043</v>
      </c>
      <c r="R29" s="37" t="n">
        <f aca="false">N29-O29-Q29</f>
        <v>0</v>
      </c>
      <c r="S29" s="38" t="n">
        <f aca="false">O29*F29+Q29*I29+R29*J29</f>
        <v>19.2314315502875</v>
      </c>
      <c r="T29" s="37" t="n">
        <f aca="false">C29-S29</f>
        <v>176.92572620115</v>
      </c>
      <c r="U29" s="39" t="n">
        <f aca="false">IF(D29&lt;=0,"",(T29/D29)^(1/B29)-1)</f>
        <v>0.12087761861041</v>
      </c>
    </row>
    <row r="30" customFormat="false" ht="15" hidden="false" customHeight="false" outlineLevel="0" collapsed="false">
      <c r="A30" s="33" t="s">
        <v>198</v>
      </c>
      <c r="B30" s="34" t="n">
        <v>5</v>
      </c>
      <c r="C30" s="37" t="n">
        <f aca="false">$C$7+$B$62*((1+$B$63+0)/(1+$B$63))^$B$64/($B$61+0.005)-$B$62/$B$61</f>
        <v>213.636363636364</v>
      </c>
      <c r="D30" s="35" t="n">
        <v>100</v>
      </c>
      <c r="E30" s="36" t="n">
        <v>0.08</v>
      </c>
      <c r="F30" s="36" t="n">
        <v>0.5</v>
      </c>
      <c r="G30" s="36" t="n">
        <v>0.2</v>
      </c>
      <c r="H30" s="36" t="n">
        <v>0.14</v>
      </c>
      <c r="I30" s="36" t="n">
        <v>0.2</v>
      </c>
      <c r="J30" s="36" t="n">
        <v>0.3</v>
      </c>
      <c r="K30" s="37" t="n">
        <f aca="false">D30*((1+E30)^B30-1)</f>
        <v>46.9328076800001</v>
      </c>
      <c r="L30" s="37" t="n">
        <f aca="false">IF(F30&gt;G30,G30*K30/(F30-G30),0)</f>
        <v>31.2885384533334</v>
      </c>
      <c r="M30" s="37" t="n">
        <f aca="false">D30*(1+H30)^B30</f>
        <v>192.54145824</v>
      </c>
      <c r="N30" s="37" t="n">
        <f aca="false">MAX(0,C30-D30-K30)</f>
        <v>66.7035559563636</v>
      </c>
      <c r="O30" s="37" t="n">
        <f aca="false">MIN(N30,L30)</f>
        <v>31.2885384533334</v>
      </c>
      <c r="P30" s="37" t="n">
        <f aca="false">MIN(C30,D30)+MIN(MAX(0,C30-D30),K30)+O30*(1-F30)</f>
        <v>162.577076906667</v>
      </c>
      <c r="Q30" s="37" t="n">
        <f aca="false">MIN(N30-O30,MAX(0,(M30-P30)/(1-I30)))</f>
        <v>35.4150175030302</v>
      </c>
      <c r="R30" s="37" t="n">
        <f aca="false">N30-O30-Q30</f>
        <v>0</v>
      </c>
      <c r="S30" s="38" t="n">
        <f aca="false">O30*F30+Q30*I30+R30*J30</f>
        <v>22.7272727272727</v>
      </c>
      <c r="T30" s="37" t="n">
        <f aca="false">C30-S30</f>
        <v>190.909090909091</v>
      </c>
      <c r="U30" s="39" t="n">
        <f aca="false">IF(D30&lt;=0,"",(T30/D30)^(1/B30)-1)</f>
        <v>0.138060426309854</v>
      </c>
    </row>
    <row r="31" customFormat="false" ht="15" hidden="false" customHeight="false" outlineLevel="0" collapsed="false">
      <c r="A31" s="33" t="s">
        <v>199</v>
      </c>
      <c r="B31" s="34" t="n">
        <v>5</v>
      </c>
      <c r="C31" s="37" t="n">
        <f aca="false">$C$7+$B$62*((1+$B$63+0.01)/(1+$B$63))^$B$64/($B$61+0.005)-$B$62/$B$61</f>
        <v>231.814634956569</v>
      </c>
      <c r="D31" s="35" t="n">
        <v>100</v>
      </c>
      <c r="E31" s="36" t="n">
        <v>0.08</v>
      </c>
      <c r="F31" s="36" t="n">
        <v>0.5</v>
      </c>
      <c r="G31" s="36" t="n">
        <v>0.2</v>
      </c>
      <c r="H31" s="36" t="n">
        <v>0.14</v>
      </c>
      <c r="I31" s="36" t="n">
        <v>0.2</v>
      </c>
      <c r="J31" s="36" t="n">
        <v>0.3</v>
      </c>
      <c r="K31" s="37" t="n">
        <f aca="false">D31*((1+E31)^B31-1)</f>
        <v>46.9328076800001</v>
      </c>
      <c r="L31" s="37" t="n">
        <f aca="false">IF(F31&gt;G31,G31*K31/(F31-G31),0)</f>
        <v>31.2885384533334</v>
      </c>
      <c r="M31" s="37" t="n">
        <f aca="false">D31*(1+H31)^B31</f>
        <v>192.54145824</v>
      </c>
      <c r="N31" s="37" t="n">
        <f aca="false">MAX(0,C31-D31-K31)</f>
        <v>84.881827276569</v>
      </c>
      <c r="O31" s="37" t="n">
        <f aca="false">MIN(N31,L31)</f>
        <v>31.2885384533334</v>
      </c>
      <c r="P31" s="37" t="n">
        <f aca="false">MIN(C31,D31)+MIN(MAX(0,C31-D31),K31)+O31*(1-F31)</f>
        <v>162.577076906667</v>
      </c>
      <c r="Q31" s="37" t="n">
        <f aca="false">MIN(N31-O31,MAX(0,(M31-P31)/(1-I31)))</f>
        <v>37.4554766666667</v>
      </c>
      <c r="R31" s="37" t="n">
        <f aca="false">N31-O31-Q31</f>
        <v>16.137812156569</v>
      </c>
      <c r="S31" s="38" t="n">
        <f aca="false">O31*F31+Q31*I31+R31*J31</f>
        <v>27.9767082069707</v>
      </c>
      <c r="T31" s="37" t="n">
        <f aca="false">C31-S31</f>
        <v>203.837926749598</v>
      </c>
      <c r="U31" s="39" t="n">
        <f aca="false">IF(D31&lt;=0,"",(T31/D31)^(1/B31)-1)</f>
        <v>0.153073519685407</v>
      </c>
    </row>
    <row r="60" customFormat="false" ht="15" hidden="false" customHeight="false" outlineLevel="0" collapsed="false">
      <c r="A60" s="7" t="s">
        <v>200</v>
      </c>
    </row>
    <row r="61" customFormat="false" ht="15" hidden="false" customHeight="false" outlineLevel="0" collapsed="false">
      <c r="A61" s="33" t="s">
        <v>201</v>
      </c>
      <c r="B61" s="40" t="n">
        <v>0.05</v>
      </c>
      <c r="C61" s="31" t="s">
        <v>202</v>
      </c>
    </row>
    <row r="62" customFormat="false" ht="15" hidden="false" customHeight="false" outlineLevel="0" collapsed="false">
      <c r="A62" s="33" t="s">
        <v>203</v>
      </c>
      <c r="B62" s="41" t="n">
        <v>20</v>
      </c>
    </row>
    <row r="63" customFormat="false" ht="15" hidden="false" customHeight="false" outlineLevel="0" collapsed="false">
      <c r="A63" s="33" t="s">
        <v>204</v>
      </c>
      <c r="B63" s="42" t="n">
        <v>0.02</v>
      </c>
    </row>
    <row r="64" customFormat="false" ht="15" hidden="false" customHeight="false" outlineLevel="0" collapsed="false">
      <c r="A64" s="33" t="s">
        <v>205</v>
      </c>
      <c r="B64" s="43" t="n">
        <v>5</v>
      </c>
    </row>
    <row r="66" customFormat="false" ht="23.85" hidden="false" customHeight="false" outlineLevel="0" collapsed="false">
      <c r="A66" s="32" t="s">
        <v>134</v>
      </c>
      <c r="B66" s="32" t="s">
        <v>206</v>
      </c>
      <c r="C66" s="32" t="s">
        <v>207</v>
      </c>
      <c r="D66" s="32" t="s">
        <v>208</v>
      </c>
      <c r="E66" s="32"/>
      <c r="F66" s="32" t="s">
        <v>209</v>
      </c>
      <c r="G66" s="32" t="s">
        <v>206</v>
      </c>
      <c r="H66" s="32" t="s">
        <v>207</v>
      </c>
      <c r="I66" s="32" t="s">
        <v>208</v>
      </c>
    </row>
    <row r="67" customFormat="false" ht="15" hidden="false" customHeight="false" outlineLevel="0" collapsed="false">
      <c r="A67" s="33" t="s">
        <v>210</v>
      </c>
      <c r="B67" s="37" t="n">
        <f aca="false">S17</f>
        <v>40.3566088955271</v>
      </c>
      <c r="C67" s="37" t="n">
        <f aca="false">S18</f>
        <v>46.7656510533333</v>
      </c>
      <c r="D67" s="37" t="n">
        <f aca="false">S19</f>
        <v>53.4310172040753</v>
      </c>
      <c r="F67" s="33" t="s">
        <v>210</v>
      </c>
      <c r="G67" s="39" t="n">
        <f aca="false">U17</f>
        <v>0.184045439934866</v>
      </c>
      <c r="H67" s="39" t="n">
        <f aca="false">U18</f>
        <v>0.198885657429202</v>
      </c>
      <c r="I67" s="39" t="n">
        <f aca="false">U19</f>
        <v>0.213577484735905</v>
      </c>
    </row>
    <row r="68" customFormat="false" ht="15" hidden="false" customHeight="false" outlineLevel="0" collapsed="false">
      <c r="A68" s="33" t="s">
        <v>211</v>
      </c>
      <c r="B68" s="37" t="n">
        <f aca="false">S20</f>
        <v>33.6763830441836</v>
      </c>
      <c r="C68" s="37" t="n">
        <f aca="false">S21</f>
        <v>39.7481071936842</v>
      </c>
      <c r="D68" s="37" t="n">
        <f aca="false">S22</f>
        <v>46.0626645996503</v>
      </c>
      <c r="F68" s="33" t="s">
        <v>211</v>
      </c>
      <c r="G68" s="39" t="n">
        <f aca="false">U20</f>
        <v>0.167741820318496</v>
      </c>
      <c r="H68" s="39" t="n">
        <f aca="false">U21</f>
        <v>0.182597143247468</v>
      </c>
      <c r="I68" s="39" t="n">
        <f aca="false">U22</f>
        <v>0.197293462565207</v>
      </c>
    </row>
    <row r="69" customFormat="false" ht="15" hidden="false" customHeight="false" outlineLevel="0" collapsed="false">
      <c r="A69" s="33" t="s">
        <v>212</v>
      </c>
      <c r="B69" s="37" t="n">
        <f aca="false">S23</f>
        <v>27.6641797779744</v>
      </c>
      <c r="C69" s="37" t="n">
        <f aca="false">S24</f>
        <v>33.43231772</v>
      </c>
      <c r="D69" s="37" t="n">
        <f aca="false">S25</f>
        <v>39.4311472556678</v>
      </c>
      <c r="F69" s="33" t="s">
        <v>212</v>
      </c>
      <c r="G69" s="39" t="n">
        <f aca="false">U23</f>
        <v>0.152247309234653</v>
      </c>
      <c r="H69" s="39" t="n">
        <f aca="false">U24</f>
        <v>0.167128649306823</v>
      </c>
      <c r="I69" s="39" t="n">
        <f aca="false">U25</f>
        <v>0.181839926851648</v>
      </c>
    </row>
    <row r="70" customFormat="false" ht="15" hidden="false" customHeight="false" outlineLevel="0" collapsed="false">
      <c r="A70" s="33" t="s">
        <v>213</v>
      </c>
      <c r="B70" s="37" t="n">
        <f aca="false">S26</f>
        <v>22.5281663860155</v>
      </c>
      <c r="C70" s="37" t="n">
        <f aca="false">S27</f>
        <v>27.7180320057143</v>
      </c>
      <c r="D70" s="37" t="n">
        <f aca="false">S28</f>
        <v>33.4312029920646</v>
      </c>
      <c r="F70" s="33" t="s">
        <v>213</v>
      </c>
      <c r="G70" s="39" t="n">
        <f aca="false">U26</f>
        <v>0.137109296680205</v>
      </c>
      <c r="H70" s="39" t="n">
        <f aca="false">U27</f>
        <v>0.152389843800945</v>
      </c>
      <c r="I70" s="39" t="n">
        <f aca="false">U28</f>
        <v>0.167125845792151</v>
      </c>
    </row>
    <row r="71" customFormat="false" ht="15" hidden="false" customHeight="false" outlineLevel="0" collapsed="false">
      <c r="A71" s="33" t="s">
        <v>214</v>
      </c>
      <c r="B71" s="37" t="n">
        <f aca="false">S29</f>
        <v>19.2314315502875</v>
      </c>
      <c r="C71" s="37" t="n">
        <f aca="false">S30</f>
        <v>22.7272727272727</v>
      </c>
      <c r="D71" s="37" t="n">
        <f aca="false">S31</f>
        <v>27.9767082069707</v>
      </c>
      <c r="F71" s="33" t="s">
        <v>214</v>
      </c>
      <c r="G71" s="39" t="n">
        <f aca="false">U29</f>
        <v>0.12087761861041</v>
      </c>
      <c r="H71" s="39" t="n">
        <f aca="false">U30</f>
        <v>0.138060426309854</v>
      </c>
      <c r="I71" s="39" t="n">
        <f aca="false">U31</f>
        <v>0.153073519685407</v>
      </c>
    </row>
    <row r="73" customFormat="false" ht="15" hidden="false" customHeight="false" outlineLevel="0" collapsed="false">
      <c r="A73" s="33" t="s">
        <v>215</v>
      </c>
      <c r="B73" s="44" t="n">
        <f aca="false">1-B71/C69</f>
        <v>0.424765231314404</v>
      </c>
    </row>
    <row r="74" customFormat="false" ht="15" hidden="false" customHeight="false" outlineLevel="0" collapsed="false">
      <c r="A74" s="33" t="s">
        <v>216</v>
      </c>
      <c r="B74" s="44" t="n">
        <f aca="false">1-G71/H69</f>
        <v>0.276739092239672</v>
      </c>
      <c r="C74" s="31" t="s">
        <v>217</v>
      </c>
    </row>
    <row r="75" customFormat="false" ht="15" hidden="false" customHeight="false" outlineLevel="0" collapsed="false">
      <c r="A75" s="33" t="s">
        <v>218</v>
      </c>
      <c r="B75" s="38" t="n">
        <f aca="false">S11</f>
        <v>33.43231772</v>
      </c>
      <c r="C75" s="31" t="s">
        <v>219</v>
      </c>
    </row>
    <row r="76" customFormat="false" ht="15" hidden="false" customHeight="false" outlineLevel="0" collapsed="false">
      <c r="A76" s="33" t="s">
        <v>220</v>
      </c>
      <c r="B76" s="38" t="n">
        <f aca="false">D7+(M7-D7)/(1-I7)</f>
        <v>215.6768228</v>
      </c>
    </row>
    <row r="77" customFormat="false" ht="15" hidden="false" customHeight="false" outlineLevel="0" collapsed="false">
      <c r="A77" s="33" t="s">
        <v>221</v>
      </c>
      <c r="B77" s="45" t="n">
        <f aca="false">(T7*0.9/90)^(1/4.5)-1</f>
        <v>0.187343465269932</v>
      </c>
    </row>
    <row r="78" customFormat="false" ht="15" hidden="false" customHeight="false" outlineLevel="0" collapsed="false">
      <c r="A78" s="33" t="s">
        <v>222</v>
      </c>
      <c r="B78" s="38" t="n">
        <f aca="false">0.005*20/(0.05+0.005)</f>
        <v>1.81818181818182</v>
      </c>
    </row>
    <row r="79" customFormat="false" ht="15" hidden="false" customHeight="false" outlineLevel="0" collapsed="false">
      <c r="A79" s="33" t="s">
        <v>223</v>
      </c>
      <c r="B79" s="38" t="n">
        <f aca="false">(20-B78)/0.05</f>
        <v>363.636363636364</v>
      </c>
    </row>
    <row r="81" customFormat="false" ht="15" hidden="false" customHeight="false" outlineLevel="0" collapsed="false">
      <c r="A81" s="7" t="s">
        <v>224</v>
      </c>
    </row>
    <row r="82" customFormat="false" ht="15" hidden="false" customHeight="false" outlineLevel="0" collapsed="false">
      <c r="A82" s="33" t="s">
        <v>225</v>
      </c>
      <c r="B82" s="41" t="n">
        <v>100</v>
      </c>
    </row>
    <row r="83" customFormat="false" ht="15" hidden="false" customHeight="false" outlineLevel="0" collapsed="false">
      <c r="A83" s="33" t="s">
        <v>226</v>
      </c>
      <c r="B83" s="41" t="n">
        <v>6</v>
      </c>
    </row>
    <row r="84" customFormat="false" ht="15" hidden="false" customHeight="false" outlineLevel="0" collapsed="false">
      <c r="A84" s="33" t="s">
        <v>227</v>
      </c>
      <c r="B84" s="43" t="n">
        <v>5</v>
      </c>
    </row>
    <row r="85" customFormat="false" ht="15" hidden="false" customHeight="false" outlineLevel="0" collapsed="false">
      <c r="A85" s="33" t="s">
        <v>125</v>
      </c>
      <c r="B85" s="41" t="n">
        <v>118</v>
      </c>
    </row>
    <row r="86" customFormat="false" ht="15" hidden="false" customHeight="false" outlineLevel="0" collapsed="false">
      <c r="A86" s="33" t="s">
        <v>228</v>
      </c>
      <c r="B86" s="42" t="n">
        <v>0.05</v>
      </c>
    </row>
    <row r="87" customFormat="false" ht="15" hidden="false" customHeight="false" outlineLevel="0" collapsed="false">
      <c r="A87" s="33" t="s">
        <v>229</v>
      </c>
      <c r="B87" s="42" t="n">
        <v>0.09</v>
      </c>
    </row>
    <row r="88" customFormat="false" ht="15" hidden="false" customHeight="false" outlineLevel="0" collapsed="false">
      <c r="A88" s="33" t="s">
        <v>230</v>
      </c>
      <c r="B88" s="42" t="n">
        <v>0.1</v>
      </c>
    </row>
    <row r="89" customFormat="false" ht="15" hidden="false" customHeight="false" outlineLevel="0" collapsed="false">
      <c r="A89" s="33" t="s">
        <v>231</v>
      </c>
      <c r="B89" s="42" t="n">
        <v>0.2</v>
      </c>
    </row>
    <row r="90" customFormat="false" ht="15" hidden="false" customHeight="false" outlineLevel="0" collapsed="false">
      <c r="A90" s="32" t="s">
        <v>126</v>
      </c>
      <c r="B90" s="32" t="s">
        <v>232</v>
      </c>
      <c r="C90" s="32" t="s">
        <v>233</v>
      </c>
    </row>
    <row r="91" customFormat="false" ht="15" hidden="false" customHeight="false" outlineLevel="0" collapsed="false">
      <c r="A91" s="33" t="s">
        <v>234</v>
      </c>
      <c r="B91" s="42" t="n">
        <v>0.4</v>
      </c>
      <c r="C91" s="42" t="n">
        <v>0.65</v>
      </c>
    </row>
    <row r="92" customFormat="false" ht="15" hidden="false" customHeight="false" outlineLevel="0" collapsed="false">
      <c r="A92" s="33" t="s">
        <v>235</v>
      </c>
      <c r="B92" s="37" t="n">
        <f aca="false">$B$82*B91</f>
        <v>40</v>
      </c>
      <c r="C92" s="37" t="n">
        <f aca="false">$B$82*C91</f>
        <v>65</v>
      </c>
    </row>
    <row r="93" customFormat="false" ht="15" hidden="false" customHeight="false" outlineLevel="0" collapsed="false">
      <c r="A93" s="33" t="s">
        <v>236</v>
      </c>
      <c r="B93" s="37" t="n">
        <f aca="false">$B$82-B92</f>
        <v>60</v>
      </c>
      <c r="C93" s="37" t="n">
        <f aca="false">$B$82-C92</f>
        <v>35</v>
      </c>
    </row>
    <row r="94" customFormat="false" ht="15" hidden="false" customHeight="false" outlineLevel="0" collapsed="false">
      <c r="A94" s="33" t="s">
        <v>237</v>
      </c>
      <c r="B94" s="37" t="n">
        <f aca="false">B93*$B$88</f>
        <v>6</v>
      </c>
      <c r="C94" s="37" t="n">
        <f aca="false">C93*$B$88</f>
        <v>3.5</v>
      </c>
    </row>
    <row r="95" customFormat="false" ht="15" hidden="false" customHeight="false" outlineLevel="0" collapsed="false">
      <c r="A95" s="33" t="s">
        <v>238</v>
      </c>
      <c r="B95" s="37" t="n">
        <f aca="false">($B$83-B92*$B$86)*$B$84</f>
        <v>20</v>
      </c>
      <c r="C95" s="37" t="n">
        <f aca="false">($B$83-C92*$B$86)*$B$84</f>
        <v>13.75</v>
      </c>
    </row>
    <row r="96" customFormat="false" ht="15" hidden="false" customHeight="false" outlineLevel="0" collapsed="false">
      <c r="A96" s="33" t="s">
        <v>239</v>
      </c>
      <c r="B96" s="37" t="n">
        <f aca="false">B93*$B$87*$B$84</f>
        <v>27</v>
      </c>
      <c r="C96" s="37" t="n">
        <f aca="false">C93*$B$87*$B$84</f>
        <v>15.75</v>
      </c>
    </row>
    <row r="97" customFormat="false" ht="15" hidden="false" customHeight="false" outlineLevel="0" collapsed="false">
      <c r="A97" s="33" t="s">
        <v>240</v>
      </c>
      <c r="B97" s="37" t="n">
        <f aca="false">MAX(0,B96-B95)</f>
        <v>7</v>
      </c>
      <c r="C97" s="37" t="n">
        <f aca="false">MAX(0,C96-C95)</f>
        <v>2</v>
      </c>
    </row>
    <row r="98" customFormat="false" ht="15" hidden="false" customHeight="false" outlineLevel="0" collapsed="false">
      <c r="A98" s="33" t="s">
        <v>241</v>
      </c>
      <c r="B98" s="37" t="n">
        <f aca="false">$B$85-B92</f>
        <v>78</v>
      </c>
      <c r="C98" s="37" t="n">
        <f aca="false">$B$85-C92</f>
        <v>53</v>
      </c>
    </row>
    <row r="99" customFormat="false" ht="15" hidden="false" customHeight="false" outlineLevel="0" collapsed="false">
      <c r="A99" s="33" t="s">
        <v>242</v>
      </c>
      <c r="B99" s="37" t="n">
        <f aca="false">MAX(0,B98-B97-B93)</f>
        <v>11</v>
      </c>
      <c r="C99" s="37" t="n">
        <f aca="false">MAX(0,C98-C97-C93)</f>
        <v>16</v>
      </c>
    </row>
    <row r="100" customFormat="false" ht="15" hidden="false" customHeight="false" outlineLevel="0" collapsed="false">
      <c r="A100" s="33" t="s">
        <v>134</v>
      </c>
      <c r="B100" s="38" t="n">
        <f aca="false">B99*$B$89</f>
        <v>2.2</v>
      </c>
      <c r="C100" s="38" t="n">
        <f aca="false">C99*$B$89</f>
        <v>3.2</v>
      </c>
    </row>
    <row r="101" customFormat="false" ht="15" hidden="false" customHeight="false" outlineLevel="0" collapsed="false">
      <c r="A101" s="33" t="s">
        <v>243</v>
      </c>
      <c r="B101" s="46" t="n">
        <f aca="false">B100/B94</f>
        <v>0.366666666666667</v>
      </c>
      <c r="C101" s="46" t="n">
        <f aca="false">C100/C94</f>
        <v>0.914285714285714</v>
      </c>
    </row>
    <row r="102" customFormat="false" ht="15" hidden="false" customHeight="false" outlineLevel="0" collapsed="false">
      <c r="A102" s="33" t="s">
        <v>244</v>
      </c>
      <c r="B102" s="47" t="n">
        <f aca="false">1/(1-B91)</f>
        <v>1.66666666666667</v>
      </c>
      <c r="C102" s="47" t="n">
        <f aca="false">1/(1-C91)</f>
        <v>2.85714285714286</v>
      </c>
    </row>
    <row r="103" customFormat="false" ht="15" hidden="false" customHeight="false" outlineLevel="0" collapsed="false">
      <c r="A103" s="33" t="s">
        <v>245</v>
      </c>
      <c r="B103" s="37" t="n">
        <f aca="false">90-C92</f>
        <v>25</v>
      </c>
    </row>
    <row r="105" customFormat="false" ht="15" hidden="false" customHeight="false" outlineLevel="0" collapsed="false">
      <c r="A105" s="7" t="s">
        <v>246</v>
      </c>
    </row>
    <row r="106" customFormat="false" ht="15" hidden="false" customHeight="false" outlineLevel="0" collapsed="false">
      <c r="A106" s="32" t="s">
        <v>247</v>
      </c>
      <c r="B106" s="32" t="s">
        <v>248</v>
      </c>
      <c r="C106" s="32" t="s">
        <v>249</v>
      </c>
      <c r="D106" s="32" t="s">
        <v>250</v>
      </c>
    </row>
    <row r="107" customFormat="false" ht="15" hidden="false" customHeight="false" outlineLevel="0" collapsed="false">
      <c r="A107" s="33" t="s">
        <v>251</v>
      </c>
      <c r="B107" s="35" t="n">
        <v>100</v>
      </c>
      <c r="C107" s="37" t="n">
        <f aca="false">B107*0.01</f>
        <v>1</v>
      </c>
      <c r="D107" s="39" t="n">
        <f aca="false">C107/$B$107</f>
        <v>0.01</v>
      </c>
    </row>
    <row r="108" customFormat="false" ht="15" hidden="false" customHeight="false" outlineLevel="0" collapsed="false">
      <c r="A108" s="33" t="s">
        <v>252</v>
      </c>
      <c r="B108" s="35" t="n">
        <v>120</v>
      </c>
      <c r="C108" s="37" t="n">
        <f aca="false">B108*0.01</f>
        <v>1.2</v>
      </c>
      <c r="D108" s="39" t="n">
        <f aca="false">C108/$B$107</f>
        <v>0.012</v>
      </c>
    </row>
    <row r="109" customFormat="false" ht="15" hidden="false" customHeight="false" outlineLevel="0" collapsed="false">
      <c r="A109" s="33" t="s">
        <v>253</v>
      </c>
      <c r="B109" s="35" t="n">
        <v>250</v>
      </c>
      <c r="C109" s="37" t="n">
        <f aca="false">B109*0.01</f>
        <v>2.5</v>
      </c>
      <c r="D109" s="39" t="n">
        <f aca="false">C109/$B$107</f>
        <v>0.025</v>
      </c>
    </row>
    <row r="110" customFormat="false" ht="15" hidden="false" customHeight="false" outlineLevel="0" collapsed="false">
      <c r="A110" s="33" t="s">
        <v>254</v>
      </c>
      <c r="B110" s="35" t="n">
        <v>350</v>
      </c>
      <c r="C110" s="37" t="n">
        <f aca="false">B110*0.01</f>
        <v>3.5</v>
      </c>
      <c r="D110" s="39" t="n">
        <f aca="false">C110/$B$107</f>
        <v>0.035</v>
      </c>
    </row>
    <row r="111" customFormat="false" ht="15" hidden="false" customHeight="false" outlineLevel="0" collapsed="false">
      <c r="A111" s="33" t="s">
        <v>255</v>
      </c>
      <c r="B111" s="37" t="n">
        <f aca="false">0.005*B110</f>
        <v>1.75</v>
      </c>
      <c r="C111" s="37" t="n">
        <f aca="false">0.015*B107</f>
        <v>1.5</v>
      </c>
    </row>
    <row r="113" customFormat="false" ht="23.85" hidden="false" customHeight="false" outlineLevel="0" collapsed="false">
      <c r="A113" s="32" t="s">
        <v>256</v>
      </c>
      <c r="B113" s="32" t="s">
        <v>257</v>
      </c>
      <c r="C113" s="32" t="s">
        <v>258</v>
      </c>
    </row>
    <row r="114" customFormat="false" ht="15" hidden="false" customHeight="false" outlineLevel="0" collapsed="false">
      <c r="A114" s="33" t="s">
        <v>259</v>
      </c>
      <c r="B114" s="35" t="n">
        <f aca="false">0.01*250</f>
        <v>2.5</v>
      </c>
      <c r="C114" s="35" t="n">
        <f aca="false">0.01*250</f>
        <v>2.5</v>
      </c>
    </row>
    <row r="115" customFormat="false" ht="15" hidden="false" customHeight="false" outlineLevel="0" collapsed="false">
      <c r="A115" s="33" t="s">
        <v>260</v>
      </c>
      <c r="B115" s="35" t="n">
        <f aca="false">0.01*100*5</f>
        <v>5</v>
      </c>
      <c r="C115" s="35" t="n">
        <f aca="false">0.01*100*5</f>
        <v>5</v>
      </c>
    </row>
    <row r="116" customFormat="false" ht="15" hidden="false" customHeight="false" outlineLevel="0" collapsed="false">
      <c r="A116" s="33" t="s">
        <v>261</v>
      </c>
      <c r="B116" s="35" t="n">
        <f aca="false">0.005*150</f>
        <v>0.75</v>
      </c>
      <c r="C116" s="35" t="n">
        <f aca="false">0.005*150</f>
        <v>0.75</v>
      </c>
    </row>
    <row r="117" customFormat="false" ht="15" hidden="false" customHeight="false" outlineLevel="0" collapsed="false">
      <c r="A117" s="33" t="s">
        <v>262</v>
      </c>
      <c r="B117" s="35" t="n">
        <f aca="false">0.04*20</f>
        <v>0.8</v>
      </c>
      <c r="C117" s="35" t="n">
        <f aca="false">0.04*20</f>
        <v>0.8</v>
      </c>
    </row>
    <row r="118" customFormat="false" ht="15" hidden="false" customHeight="false" outlineLevel="0" collapsed="false">
      <c r="A118" s="33" t="s">
        <v>263</v>
      </c>
      <c r="B118" s="35" t="n">
        <f aca="false">1.2</f>
        <v>1.2</v>
      </c>
      <c r="C118" s="35" t="n">
        <f aca="false">1.2</f>
        <v>1.2</v>
      </c>
    </row>
    <row r="119" customFormat="false" ht="15" hidden="false" customHeight="false" outlineLevel="0" collapsed="false">
      <c r="A119" s="33" t="s">
        <v>264</v>
      </c>
      <c r="B119" s="35" t="n">
        <f aca="false">0.03*20*5</f>
        <v>3</v>
      </c>
      <c r="C119" s="35" t="n">
        <f aca="false">0.03*20*5</f>
        <v>3</v>
      </c>
    </row>
    <row r="120" customFormat="false" ht="15" hidden="false" customHeight="false" outlineLevel="0" collapsed="false">
      <c r="A120" s="33" t="s">
        <v>265</v>
      </c>
      <c r="B120" s="35" t="n">
        <f aca="false">0.5</f>
        <v>0.5</v>
      </c>
      <c r="C120" s="35" t="n">
        <f aca="false">0.5</f>
        <v>0.5</v>
      </c>
    </row>
    <row r="121" customFormat="false" ht="15" hidden="false" customHeight="false" outlineLevel="0" collapsed="false">
      <c r="A121" s="33" t="s">
        <v>266</v>
      </c>
      <c r="B121" s="35" t="n">
        <f aca="false">0.005*400</f>
        <v>2</v>
      </c>
      <c r="C121" s="35" t="n">
        <f aca="false">0.005*300</f>
        <v>1.5</v>
      </c>
    </row>
    <row r="122" customFormat="false" ht="15" hidden="false" customHeight="false" outlineLevel="0" collapsed="false">
      <c r="A122" s="33" t="s">
        <v>267</v>
      </c>
      <c r="B122" s="37" t="n">
        <f aca="false">SUM(B114:B121)</f>
        <v>15.75</v>
      </c>
      <c r="C122" s="37" t="n">
        <f aca="false">SUM(C114:C121)</f>
        <v>15.25</v>
      </c>
    </row>
    <row r="123" customFormat="false" ht="15" hidden="false" customHeight="false" outlineLevel="0" collapsed="false">
      <c r="A123" s="33" t="s">
        <v>268</v>
      </c>
      <c r="B123" s="37" t="n">
        <f aca="false">400-4-150+4</f>
        <v>250</v>
      </c>
      <c r="C123" s="37" t="n">
        <f aca="false">300-3-150+3</f>
        <v>150</v>
      </c>
    </row>
    <row r="124" customFormat="false" ht="15" hidden="false" customHeight="false" outlineLevel="0" collapsed="false">
      <c r="A124" s="33" t="s">
        <v>134</v>
      </c>
      <c r="B124" s="37" t="n">
        <f aca="false">S7</f>
        <v>33.43231772</v>
      </c>
      <c r="C124" s="37" t="n">
        <f aca="false">S16</f>
        <v>1.53359615999997</v>
      </c>
    </row>
    <row r="125" customFormat="false" ht="15" hidden="false" customHeight="false" outlineLevel="0" collapsed="false">
      <c r="A125" s="33" t="s">
        <v>269</v>
      </c>
      <c r="B125" s="37" t="n">
        <f aca="false">0.1*T7-10</f>
        <v>11.656768228</v>
      </c>
      <c r="C125" s="37" t="n">
        <f aca="false">0.1*T16-10</f>
        <v>4.846640384</v>
      </c>
    </row>
    <row r="126" customFormat="false" ht="15" hidden="false" customHeight="false" outlineLevel="0" collapsed="false">
      <c r="A126" s="33" t="s">
        <v>270</v>
      </c>
      <c r="B126" s="38" t="n">
        <f aca="false">B122+B124+B125</f>
        <v>60.839085948</v>
      </c>
      <c r="C126" s="38" t="n">
        <f aca="false">C122+C124+C125</f>
        <v>21.630236544</v>
      </c>
    </row>
    <row r="127" customFormat="false" ht="15" hidden="false" customHeight="false" outlineLevel="0" collapsed="false">
      <c r="A127" s="33" t="s">
        <v>271</v>
      </c>
      <c r="B127" s="48" t="n">
        <f aca="false">B122/B126</f>
        <v>0.258879629017795</v>
      </c>
      <c r="C127" s="48" t="n">
        <f aca="false">C122/C126</f>
        <v>0.705031587101631</v>
      </c>
    </row>
    <row r="128" customFormat="false" ht="15" hidden="false" customHeight="false" outlineLevel="0" collapsed="false">
      <c r="A128" s="33" t="s">
        <v>39</v>
      </c>
      <c r="B128" s="48" t="n">
        <f aca="false">B124/B126</f>
        <v>0.549520381495788</v>
      </c>
      <c r="C128" s="48" t="n">
        <f aca="false">C124/C126</f>
        <v>0.0709005727644425</v>
      </c>
    </row>
    <row r="129" customFormat="false" ht="15" hidden="false" customHeight="false" outlineLevel="0" collapsed="false">
      <c r="A129" s="33" t="s">
        <v>272</v>
      </c>
      <c r="B129" s="48" t="n">
        <f aca="false">B125/B126</f>
        <v>0.191599989486417</v>
      </c>
      <c r="C129" s="48" t="n">
        <f aca="false">C125/C126</f>
        <v>0.224067840133927</v>
      </c>
    </row>
    <row r="130" customFormat="false" ht="15" hidden="false" customHeight="false" outlineLevel="0" collapsed="false">
      <c r="A130" s="33" t="s">
        <v>273</v>
      </c>
      <c r="B130" s="37" t="n">
        <f aca="false">0.9*T7</f>
        <v>194.910914052</v>
      </c>
      <c r="C130" s="37" t="n">
        <f aca="false">0.9*T16</f>
        <v>133.619763456</v>
      </c>
    </row>
    <row r="131" customFormat="false" ht="15" hidden="false" customHeight="false" outlineLevel="0" collapsed="false">
      <c r="A131" s="33" t="s">
        <v>209</v>
      </c>
      <c r="B131" s="39" t="n">
        <f aca="false">(B130/90)^(1/5)-1</f>
        <v>0.167128649306823</v>
      </c>
      <c r="C131" s="39" t="n">
        <f aca="false">(C130/90)^(1/5)-1</f>
        <v>0.0822451240833542</v>
      </c>
    </row>
    <row r="132" customFormat="false" ht="15" hidden="false" customHeight="false" outlineLevel="0" collapsed="false">
      <c r="A132" s="33" t="s">
        <v>274</v>
      </c>
      <c r="B132" s="48" t="n">
        <f aca="false">B122/(B130-90)</f>
        <v>0.150127373708644</v>
      </c>
      <c r="C132" s="48" t="n">
        <f aca="false">C122/(C130-90)</f>
        <v>0.349612166406701</v>
      </c>
    </row>
    <row r="133" customFormat="false" ht="15" hidden="false" customHeight="false" outlineLevel="0" collapsed="false">
      <c r="A133" s="33" t="s">
        <v>275</v>
      </c>
      <c r="B133" s="47" t="n">
        <f aca="false">B122/10</f>
        <v>1.575</v>
      </c>
      <c r="C133" s="47" t="n">
        <f aca="false">C122/10</f>
        <v>1.525</v>
      </c>
    </row>
    <row r="134" customFormat="false" ht="15" hidden="false" customHeight="false" outlineLevel="0" collapsed="false">
      <c r="A134" s="33" t="s">
        <v>276</v>
      </c>
      <c r="B134" s="46" t="n">
        <f aca="false">(10+B126)/10</f>
        <v>7.0839085948</v>
      </c>
      <c r="C134" s="46" t="n">
        <f aca="false">(10+C126)/10</f>
        <v>3.1630236544</v>
      </c>
      <c r="D134" s="31" t="s">
        <v>277</v>
      </c>
    </row>
    <row r="136" customFormat="false" ht="15" hidden="false" customHeight="false" outlineLevel="0" collapsed="false">
      <c r="A136" s="7" t="s">
        <v>278</v>
      </c>
    </row>
    <row r="137" customFormat="false" ht="15" hidden="false" customHeight="false" outlineLevel="0" collapsed="false">
      <c r="A137" s="33" t="s">
        <v>279</v>
      </c>
      <c r="B137" s="37" t="n">
        <f aca="false">S8-S9</f>
        <v>6.52550000000003</v>
      </c>
    </row>
    <row r="138" customFormat="false" ht="15" hidden="false" customHeight="false" outlineLevel="0" collapsed="false">
      <c r="A138" s="33" t="s">
        <v>280</v>
      </c>
      <c r="B138" s="37" t="n">
        <f aca="false">S8-S10</f>
        <v>1.6</v>
      </c>
    </row>
    <row r="139" customFormat="false" ht="15" hidden="false" customHeight="false" outlineLevel="0" collapsed="false">
      <c r="A139" s="33" t="s">
        <v>281</v>
      </c>
      <c r="B139" s="37" t="n">
        <f aca="false">0.9*T12</f>
        <v>160.7508018</v>
      </c>
    </row>
    <row r="140" customFormat="false" ht="15" hidden="false" customHeight="false" outlineLevel="0" collapsed="false">
      <c r="A140" s="33" t="s">
        <v>282</v>
      </c>
      <c r="B140" s="37" t="n">
        <f aca="false">0.1*T12+S12</f>
        <v>39.2491982</v>
      </c>
    </row>
    <row r="141" customFormat="false" ht="15" hidden="false" customHeight="false" outlineLevel="0" collapsed="false">
      <c r="A141" s="33" t="s">
        <v>283</v>
      </c>
      <c r="B141" s="37" t="n">
        <f aca="false">0.1*T13+S13</f>
        <v>26.7779968</v>
      </c>
    </row>
    <row r="142" customFormat="false" ht="15" hidden="false" customHeight="false" outlineLevel="0" collapsed="false">
      <c r="A142" s="33" t="s">
        <v>284</v>
      </c>
      <c r="B142" s="48" t="n">
        <f aca="false">1-B141/B140</f>
        <v>0.317744106171321</v>
      </c>
    </row>
    <row r="143" customFormat="false" ht="15" hidden="false" customHeight="false" outlineLevel="0" collapsed="false">
      <c r="A143" s="33" t="s">
        <v>285</v>
      </c>
      <c r="B143" s="37" t="n">
        <f aca="false">5*0.08</f>
        <v>0.4</v>
      </c>
    </row>
    <row r="144" customFormat="false" ht="15" hidden="false" customHeight="false" outlineLevel="0" collapsed="false">
      <c r="A144" s="33" t="s">
        <v>286</v>
      </c>
      <c r="B144" s="37" t="n">
        <f aca="false">20*1.12^3</f>
        <v>28.09856</v>
      </c>
    </row>
    <row r="145" customFormat="false" ht="15" hidden="false" customHeight="false" outlineLevel="0" collapsed="false">
      <c r="A145" s="33" t="s">
        <v>287</v>
      </c>
      <c r="B145" s="37" t="n">
        <f aca="false">MIN(MAX(0,200-B144-100-100*(1.08^5-1)),0.2*100*(1.08^5-1)/0.3)*0.5</f>
        <v>12.48431616</v>
      </c>
    </row>
    <row r="146" customFormat="false" ht="15" hidden="false" customHeight="false" outlineLevel="0" collapsed="false">
      <c r="A146" s="33" t="s">
        <v>288</v>
      </c>
      <c r="B146" s="37" t="n">
        <f aca="false">MIN(MAX(0,200-B144-100-100*(1.08^3-1)),0.2*100*(1.08^3-1)/0.3)*0.5+MAX(0,200-B144-100-100*(1.08^3-1)-0.2*100*(1.08^3-1)/0.3)*0.2</f>
        <v>14.380288</v>
      </c>
    </row>
    <row r="147" customFormat="false" ht="15" hidden="false" customHeight="false" outlineLevel="0" collapsed="false">
      <c r="A147" s="33" t="s">
        <v>289</v>
      </c>
      <c r="B147" s="37" t="n">
        <f aca="false">B146-B145</f>
        <v>1.89597184000003</v>
      </c>
    </row>
    <row r="148" customFormat="false" ht="15" hidden="false" customHeight="false" outlineLevel="0" collapsed="false">
      <c r="A148" s="33" t="s">
        <v>290</v>
      </c>
      <c r="B148" s="37" t="n">
        <f aca="false">100*(1.08^2-1)</f>
        <v>16.64</v>
      </c>
    </row>
    <row r="149" customFormat="false" ht="15" hidden="false" customHeight="false" outlineLevel="0" collapsed="false">
      <c r="A149" s="33" t="s">
        <v>291</v>
      </c>
      <c r="B149" s="37" t="n">
        <f aca="false">5*0.7</f>
        <v>3.5</v>
      </c>
    </row>
    <row r="150" customFormat="false" ht="15" hidden="false" customHeight="false" outlineLevel="0" collapsed="false">
      <c r="A150" s="33" t="s">
        <v>292</v>
      </c>
      <c r="B150" s="37" t="n">
        <f aca="false">5*0.3</f>
        <v>1.5</v>
      </c>
    </row>
    <row r="151" customFormat="false" ht="15" hidden="false" customHeight="false" outlineLevel="0" collapsed="false">
      <c r="A151" s="33" t="s">
        <v>293</v>
      </c>
      <c r="B151" s="37" t="n">
        <f aca="false">S14</f>
        <v>18</v>
      </c>
    </row>
    <row r="152" customFormat="false" ht="15" hidden="false" customHeight="false" outlineLevel="0" collapsed="false">
      <c r="A152" s="33" t="s">
        <v>294</v>
      </c>
      <c r="B152" s="37" t="n">
        <f aca="false">S15</f>
        <v>1.53359615999997</v>
      </c>
    </row>
    <row r="153" customFormat="false" ht="15" hidden="false" customHeight="false" outlineLevel="0" collapsed="false">
      <c r="A153" s="33" t="s">
        <v>295</v>
      </c>
      <c r="B153" s="37" t="n">
        <f aca="false">8-B152</f>
        <v>6.46640384000003</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H151"/>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pane xSplit="0" ySplit="4" topLeftCell="A5" activePane="bottomLeft" state="frozen"/>
      <selection pane="topLeft" activeCell="A1" activeCellId="0" sqref="A1"/>
      <selection pane="bottomLeft" activeCell="A1" activeCellId="0" sqref="A1"/>
    </sheetView>
  </sheetViews>
  <sheetFormatPr defaultColWidth="8.6796875" defaultRowHeight="15" zeroHeight="false" outlineLevelRow="0" outlineLevelCol="0"/>
  <cols>
    <col collapsed="false" customWidth="true" hidden="false" outlineLevel="0" max="1" min="1" style="1" width="13"/>
    <col collapsed="false" customWidth="true" hidden="false" outlineLevel="0" max="2" min="2" style="1" width="52"/>
    <col collapsed="false" customWidth="true" hidden="false" outlineLevel="0" max="4" min="3" style="1" width="14"/>
    <col collapsed="false" customWidth="true" hidden="false" outlineLevel="0" max="5" min="5" style="1" width="12"/>
    <col collapsed="false" customWidth="true" hidden="false" outlineLevel="0" max="6" min="6" style="1" width="13"/>
    <col collapsed="false" customWidth="true" hidden="false" outlineLevel="0" max="7" min="7" style="1" width="3"/>
    <col collapsed="false" customWidth="true" hidden="false" outlineLevel="0" max="8" min="8" style="1" width="44"/>
  </cols>
  <sheetData>
    <row r="1" customFormat="false" ht="17.25" hidden="false" customHeight="true" outlineLevel="0" collapsed="false">
      <c r="A1" s="8" t="s">
        <v>296</v>
      </c>
    </row>
    <row r="2" customFormat="false" ht="15" hidden="false" customHeight="true" outlineLevel="0" collapsed="false">
      <c r="A2" s="4" t="s">
        <v>297</v>
      </c>
    </row>
    <row r="4" customFormat="false" ht="27.75" hidden="false" customHeight="true" outlineLevel="0" collapsed="false">
      <c r="A4" s="17" t="s">
        <v>298</v>
      </c>
      <c r="B4" s="18" t="s">
        <v>299</v>
      </c>
      <c r="C4" s="18" t="s">
        <v>300</v>
      </c>
      <c r="D4" s="18" t="s">
        <v>301</v>
      </c>
      <c r="E4" s="18" t="s">
        <v>302</v>
      </c>
      <c r="F4" s="18" t="s">
        <v>303</v>
      </c>
      <c r="H4" s="5" t="s">
        <v>304</v>
      </c>
    </row>
    <row r="5" customFormat="false" ht="15" hidden="false" customHeight="true" outlineLevel="0" collapsed="false">
      <c r="A5" s="49" t="s">
        <v>305</v>
      </c>
      <c r="B5" s="50" t="s">
        <v>306</v>
      </c>
      <c r="C5" s="51" t="n">
        <v>46.93</v>
      </c>
      <c r="D5" s="52" t="n">
        <f aca="false">100*(1.08^5-1)</f>
        <v>46.9328076800001</v>
      </c>
      <c r="E5" s="52" t="n">
        <f aca="false">D5-C5</f>
        <v>0.00280768000005338</v>
      </c>
      <c r="F5" s="53" t="str">
        <f aca="false">IF(ABS(E5)&lt;0.005,"reproduced",IF(ABS(E5)&lt;0.011,"rounding","CHECK"))</f>
        <v>reproduced</v>
      </c>
      <c r="H5" s="11" t="s">
        <v>307</v>
      </c>
    </row>
    <row r="6" customFormat="false" ht="15" hidden="false" customHeight="true" outlineLevel="0" collapsed="false">
      <c r="A6" s="54" t="s">
        <v>305</v>
      </c>
      <c r="B6" s="55" t="s">
        <v>308</v>
      </c>
      <c r="C6" s="56" t="n">
        <v>31.29</v>
      </c>
      <c r="D6" s="57" t="n">
        <f aca="false">0.2*(100*(1.08^5-1))/0.3</f>
        <v>31.2885384533334</v>
      </c>
      <c r="E6" s="57" t="n">
        <f aca="false">D6-C6</f>
        <v>-0.00146154666662923</v>
      </c>
      <c r="F6" s="58" t="str">
        <f aca="false">IF(ABS(E6)&lt;0.005,"reproduced",IF(ABS(E6)&lt;0.011,"rounding","CHECK"))</f>
        <v>reproduced</v>
      </c>
      <c r="H6" s="11"/>
    </row>
    <row r="7" customFormat="false" ht="15" hidden="false" customHeight="true" outlineLevel="0" collapsed="false">
      <c r="A7" s="49" t="s">
        <v>305</v>
      </c>
      <c r="B7" s="50" t="s">
        <v>309</v>
      </c>
      <c r="C7" s="51" t="n">
        <v>15.64</v>
      </c>
      <c r="D7" s="52" t="n">
        <f aca="false">MIN(MAX(0,250-100-(100*((1+0.08)^5-1))),(0.2*(100*((1+0.08)^5-1))/0.3))*0.5</f>
        <v>15.6442692266667</v>
      </c>
      <c r="E7" s="52" t="n">
        <f aca="false">D7-C7</f>
        <v>0.00426922666668439</v>
      </c>
      <c r="F7" s="53" t="str">
        <f aca="false">IF(ABS(E7)&lt;0.005,"reproduced",IF(ABS(E7)&lt;0.011,"rounding","CHECK"))</f>
        <v>reproduced</v>
      </c>
      <c r="H7" s="11"/>
    </row>
    <row r="8" customFormat="false" ht="15" hidden="false" customHeight="true" outlineLevel="0" collapsed="false">
      <c r="A8" s="54" t="s">
        <v>305</v>
      </c>
      <c r="B8" s="55" t="s">
        <v>310</v>
      </c>
      <c r="C8" s="56" t="n">
        <v>37.46</v>
      </c>
      <c r="D8" s="57" t="n">
        <f aca="false">MIN(MAX(0,250-100-(100*((1+0.08)^5-1))-(0.2*(100*((1+0.08)^5-1))/0.3)),MAX(0,((100*(1+0.14)^5)-(MIN(250,100)+MIN(MAX(0,250-100),(100*((1+0.08)^5-1)))+MIN(MAX(0,250-100-(100*((1+0.08)^5-1))),(0.2*(100*((1+0.08)^5-1))/0.3))*(1-0.5)))/(1-0.2)))</f>
        <v>37.4554766666667</v>
      </c>
      <c r="E8" s="57" t="n">
        <f aca="false">D8-C8</f>
        <v>-0.00452333333329591</v>
      </c>
      <c r="F8" s="58" t="str">
        <f aca="false">IF(ABS(E8)&lt;0.005,"reproduced",IF(ABS(E8)&lt;0.011,"rounding","CHECK"))</f>
        <v>reproduced</v>
      </c>
      <c r="H8" s="11"/>
    </row>
    <row r="9" customFormat="false" ht="15" hidden="false" customHeight="true" outlineLevel="0" collapsed="false">
      <c r="A9" s="49" t="s">
        <v>305</v>
      </c>
      <c r="B9" s="50" t="s">
        <v>311</v>
      </c>
      <c r="C9" s="51" t="n">
        <v>29.96</v>
      </c>
      <c r="D9" s="52" t="n">
        <f aca="false">(MIN(MAX(0,250-100-(100*((1+0.08)^5-1))-(0.2*(100*((1+0.08)^5-1))/0.3)),MAX(0,((100*(1+0.14)^5)-(MIN(250,100)+MIN(MAX(0,250-100),(100*((1+0.08)^5-1)))+MIN(MAX(0,250-100-(100*((1+0.08)^5-1))),(0.2*(100*((1+0.08)^5-1))/0.3))*(1-0.5)))/(1-0.2)))*(1-0.2))</f>
        <v>29.9643813333334</v>
      </c>
      <c r="E9" s="52" t="n">
        <f aca="false">D9-C9</f>
        <v>0.0043813333333631</v>
      </c>
      <c r="F9" s="53" t="str">
        <f aca="false">IF(ABS(E9)&lt;0.005,"reproduced",IF(ABS(E9)&lt;0.011,"rounding","CHECK"))</f>
        <v>reproduced</v>
      </c>
      <c r="H9" s="11"/>
    </row>
    <row r="10" customFormat="false" ht="15" hidden="false" customHeight="true" outlineLevel="0" collapsed="false">
      <c r="A10" s="54" t="s">
        <v>305</v>
      </c>
      <c r="B10" s="55" t="s">
        <v>312</v>
      </c>
      <c r="C10" s="56" t="n">
        <v>34.32</v>
      </c>
      <c r="D10" s="57" t="n">
        <f aca="false">MAX(0,250-100-(100*((1+0.08)^5-1))-(0.2*(100*((1+0.08)^5-1))/0.3)-MIN(MAX(0,250-100-(100*((1+0.08)^5-1))-(0.2*(100*((1+0.08)^5-1))/0.3)),MAX(0,((100*(1+0.14)^5)-(MIN(250,100)+MIN(MAX(0,250-100),(100*((1+0.08)^5-1)))+MIN(MAX(0,250-100-(100*((1+0.08)^5-1))),(0.2*(100*((1+0.08)^5-1))/0.3))*(1-0.5)))/(1-0.2))))</f>
        <v>34.3231771999999</v>
      </c>
      <c r="E10" s="57" t="n">
        <f aca="false">D10-C10</f>
        <v>0.00317719999986821</v>
      </c>
      <c r="F10" s="58" t="str">
        <f aca="false">IF(ABS(E10)&lt;0.005,"reproduced",IF(ABS(E10)&lt;0.011,"rounding","CHECK"))</f>
        <v>reproduced</v>
      </c>
      <c r="H10" s="11"/>
    </row>
    <row r="11" customFormat="false" ht="15" hidden="false" customHeight="true" outlineLevel="0" collapsed="false">
      <c r="A11" s="49" t="s">
        <v>305</v>
      </c>
      <c r="B11" s="50" t="s">
        <v>313</v>
      </c>
      <c r="C11" s="51" t="n">
        <v>216.57</v>
      </c>
      <c r="D11" s="52" t="n">
        <f aca="false">(250-(MIN(MAX(0,250-100-(100*((1+0.08)^5-1))),(0.2*(100*((1+0.08)^5-1))/0.3))*0.5+MIN(MAX(0,250-100-(100*((1+0.08)^5-1))-(0.2*(100*((1+0.08)^5-1))/0.3)),MAX(0,((100*(1+0.14)^5)-(MIN(250,100)+MIN(MAX(0,250-100),(100*((1+0.08)^5-1)))+MIN(MAX(0,250-100-(100*((1+0.08)^5-1))),(0.2*(100*((1+0.08)^5-1))/0.3))*(1-0.5)))/(1-0.2)))*0.2+MAX(0,250-100-(100*((1+0.08)^5-1))-(0.2*(100*((1+0.08)^5-1))/0.3)-MIN(MAX(0,250-100-(100*((1+0.08)^5-1))-(0.2*(100*((1+0.08)^5-1))/0.3)),MAX(0,((100*(1+0.14)^5)-(MIN(250,100)+MIN(MAX(0,250-100),(100*((1+0.08)^5-1)))+MIN(MAX(0,250-100-(100*((1+0.08)^5-1))),(0.2*(100*((1+0.08)^5-1))/0.3))*(1-0.5)))/(1-0.2))))*0.3))</f>
        <v>216.56768228</v>
      </c>
      <c r="E11" s="52" t="n">
        <f aca="false">D11-C11</f>
        <v>-0.00231771999997932</v>
      </c>
      <c r="F11" s="53" t="str">
        <f aca="false">IF(ABS(E11)&lt;0.005,"reproduced",IF(ABS(E11)&lt;0.011,"rounding","CHECK"))</f>
        <v>reproduced</v>
      </c>
      <c r="H11" s="11"/>
    </row>
    <row r="12" customFormat="false" ht="15" hidden="false" customHeight="true" outlineLevel="0" collapsed="false">
      <c r="A12" s="54" t="s">
        <v>305</v>
      </c>
      <c r="B12" s="55" t="s">
        <v>314</v>
      </c>
      <c r="C12" s="56" t="n">
        <v>33.43</v>
      </c>
      <c r="D12" s="57" t="n">
        <f aca="false">(MIN(MAX(0,250-100-(100*((1+0.08)^5-1))),(0.2*(100*((1+0.08)^5-1))/0.3))*0.5+MIN(MAX(0,250-100-(100*((1+0.08)^5-1))-(0.2*(100*((1+0.08)^5-1))/0.3)),MAX(0,((100*(1+0.14)^5)-(MIN(250,100)+MIN(MAX(0,250-100),(100*((1+0.08)^5-1)))+MIN(MAX(0,250-100-(100*((1+0.08)^5-1))),(0.2*(100*((1+0.08)^5-1))/0.3))*(1-0.5)))/(1-0.2)))*0.2+MAX(0,250-100-(100*((1+0.08)^5-1))-(0.2*(100*((1+0.08)^5-1))/0.3)-MIN(MAX(0,250-100-(100*((1+0.08)^5-1))-(0.2*(100*((1+0.08)^5-1))/0.3)),MAX(0,((100*(1+0.14)^5)-(MIN(250,100)+MIN(MAX(0,250-100),(100*((1+0.08)^5-1)))+MIN(MAX(0,250-100-(100*((1+0.08)^5-1))),(0.2*(100*((1+0.08)^5-1))/0.3))*(1-0.5)))/(1-0.2))))*0.3)</f>
        <v>33.43231772</v>
      </c>
      <c r="E12" s="57" t="n">
        <f aca="false">D12-C12</f>
        <v>0.00231771999998642</v>
      </c>
      <c r="F12" s="58" t="str">
        <f aca="false">IF(ABS(E12)&lt;0.005,"reproduced",IF(ABS(E12)&lt;0.011,"rounding","CHECK"))</f>
        <v>reproduced</v>
      </c>
      <c r="H12" s="11"/>
    </row>
    <row r="13" customFormat="false" ht="15" hidden="false" customHeight="true" outlineLevel="0" collapsed="false">
      <c r="A13" s="49" t="s">
        <v>305</v>
      </c>
      <c r="B13" s="50" t="s">
        <v>315</v>
      </c>
      <c r="C13" s="51" t="n">
        <v>194.91</v>
      </c>
      <c r="D13" s="52" t="n">
        <f aca="false">(250-(MIN(MAX(0,250-100-(100*((1+0.08)^5-1))),(0.2*(100*((1+0.08)^5-1))/0.3))*0.5+MIN(MAX(0,250-100-(100*((1+0.08)^5-1))-(0.2*(100*((1+0.08)^5-1))/0.3)),MAX(0,((100*(1+0.14)^5)-(MIN(250,100)+MIN(MAX(0,250-100),(100*((1+0.08)^5-1)))+MIN(MAX(0,250-100-(100*((1+0.08)^5-1))),(0.2*(100*((1+0.08)^5-1))/0.3))*(1-0.5)))/(1-0.2)))*0.2+MAX(0,250-100-(100*((1+0.08)^5-1))-(0.2*(100*((1+0.08)^5-1))/0.3)-MIN(MAX(0,250-100-(100*((1+0.08)^5-1))-(0.2*(100*((1+0.08)^5-1))/0.3)),MAX(0,((100*(1+0.14)^5)-(MIN(250,100)+MIN(MAX(0,250-100),(100*((1+0.08)^5-1)))+MIN(MAX(0,250-100-(100*((1+0.08)^5-1))),(0.2*(100*((1+0.08)^5-1))/0.3))*(1-0.5)))/(1-0.2))))*0.3))*0.9</f>
        <v>194.910914052</v>
      </c>
      <c r="E13" s="52" t="n">
        <f aca="false">D13-C13</f>
        <v>0.000914052000013044</v>
      </c>
      <c r="F13" s="53" t="str">
        <f aca="false">IF(ABS(E13)&lt;0.005,"reproduced",IF(ABS(E13)&lt;0.011,"rounding","CHECK"))</f>
        <v>reproduced</v>
      </c>
      <c r="H13" s="11"/>
    </row>
    <row r="14" customFormat="false" ht="15" hidden="false" customHeight="true" outlineLevel="0" collapsed="false">
      <c r="A14" s="54" t="s">
        <v>305</v>
      </c>
      <c r="B14" s="55" t="s">
        <v>316</v>
      </c>
      <c r="C14" s="56" t="n">
        <v>21.66</v>
      </c>
      <c r="D14" s="57" t="n">
        <f aca="false">(250-(MIN(MAX(0,250-100-(100*((1+0.08)^5-1))),(0.2*(100*((1+0.08)^5-1))/0.3))*0.5+MIN(MAX(0,250-100-(100*((1+0.08)^5-1))-(0.2*(100*((1+0.08)^5-1))/0.3)),MAX(0,((100*(1+0.14)^5)-(MIN(250,100)+MIN(MAX(0,250-100),(100*((1+0.08)^5-1)))+MIN(MAX(0,250-100-(100*((1+0.08)^5-1))),(0.2*(100*((1+0.08)^5-1))/0.3))*(1-0.5)))/(1-0.2)))*0.2+MAX(0,250-100-(100*((1+0.08)^5-1))-(0.2*(100*((1+0.08)^5-1))/0.3)-MIN(MAX(0,250-100-(100*((1+0.08)^5-1))-(0.2*(100*((1+0.08)^5-1))/0.3)),MAX(0,((100*(1+0.14)^5)-(MIN(250,100)+MIN(MAX(0,250-100),(100*((1+0.08)^5-1)))+MIN(MAX(0,250-100-(100*((1+0.08)^5-1))),(0.2*(100*((1+0.08)^5-1))/0.3))*(1-0.5)))/(1-0.2))))*0.3))*0.1</f>
        <v>21.656768228</v>
      </c>
      <c r="E14" s="57" t="n">
        <f aca="false">D14-C14</f>
        <v>-0.00323177199999591</v>
      </c>
      <c r="F14" s="58" t="str">
        <f aca="false">IF(ABS(E14)&lt;0.005,"reproduced",IF(ABS(E14)&lt;0.011,"rounding","CHECK"))</f>
        <v>reproduced</v>
      </c>
      <c r="H14" s="11"/>
    </row>
    <row r="15" customFormat="false" ht="15" hidden="false" customHeight="true" outlineLevel="0" collapsed="false">
      <c r="A15" s="49" t="s">
        <v>305</v>
      </c>
      <c r="B15" s="50" t="s">
        <v>317</v>
      </c>
      <c r="C15" s="51" t="n">
        <v>55.09</v>
      </c>
      <c r="D15" s="52" t="n">
        <f aca="false">(250-(MIN(MAX(0,250-100-(100*((1+0.08)^5-1))),(0.2*(100*((1+0.08)^5-1))/0.3))*0.5+MIN(MAX(0,250-100-(100*((1+0.08)^5-1))-(0.2*(100*((1+0.08)^5-1))/0.3)),MAX(0,((100*(1+0.14)^5)-(MIN(250,100)+MIN(MAX(0,250-100),(100*((1+0.08)^5-1)))+MIN(MAX(0,250-100-(100*((1+0.08)^5-1))),(0.2*(100*((1+0.08)^5-1))/0.3))*(1-0.5)))/(1-0.2)))*0.2+MAX(0,250-100-(100*((1+0.08)^5-1))-(0.2*(100*((1+0.08)^5-1))/0.3)-MIN(MAX(0,250-100-(100*((1+0.08)^5-1))-(0.2*(100*((1+0.08)^5-1))/0.3)),MAX(0,((100*(1+0.14)^5)-(MIN(250,100)+MIN(MAX(0,250-100),(100*((1+0.08)^5-1)))+MIN(MAX(0,250-100-(100*((1+0.08)^5-1))),(0.2*(100*((1+0.08)^5-1))/0.3))*(1-0.5)))/(1-0.2))))*0.3))*0.1+(MIN(MAX(0,250-100-(100*((1+0.08)^5-1))),(0.2*(100*((1+0.08)^5-1))/0.3))*0.5+MIN(MAX(0,250-100-(100*((1+0.08)^5-1))-(0.2*(100*((1+0.08)^5-1))/0.3)),MAX(0,((100*(1+0.14)^5)-(MIN(250,100)+MIN(MAX(0,250-100),(100*((1+0.08)^5-1)))+MIN(MAX(0,250-100-(100*((1+0.08)^5-1))),(0.2*(100*((1+0.08)^5-1))/0.3))*(1-0.5)))/(1-0.2)))*0.2+MAX(0,250-100-(100*((1+0.08)^5-1))-(0.2*(100*((1+0.08)^5-1))/0.3)-MIN(MAX(0,250-100-(100*((1+0.08)^5-1))-(0.2*(100*((1+0.08)^5-1))/0.3)),MAX(0,((100*(1+0.14)^5)-(MIN(250,100)+MIN(MAX(0,250-100),(100*((1+0.08)^5-1)))+MIN(MAX(0,250-100-(100*((1+0.08)^5-1))),(0.2*(100*((1+0.08)^5-1))/0.3))*(1-0.5)))/(1-0.2))))*0.3)</f>
        <v>55.089085948</v>
      </c>
      <c r="E15" s="52" t="n">
        <f aca="false">D15-C15</f>
        <v>-0.000914052000013044</v>
      </c>
      <c r="F15" s="53" t="str">
        <f aca="false">IF(ABS(E15)&lt;0.005,"reproduced",IF(ABS(E15)&lt;0.011,"rounding","CHECK"))</f>
        <v>reproduced</v>
      </c>
      <c r="H15" s="11"/>
    </row>
    <row r="16" customFormat="false" ht="15" hidden="false" customHeight="true" outlineLevel="0" collapsed="false">
      <c r="A16" s="54" t="s">
        <v>305</v>
      </c>
      <c r="B16" s="55" t="s">
        <v>318</v>
      </c>
      <c r="C16" s="59" t="n">
        <v>5.51</v>
      </c>
      <c r="D16" s="60" t="n">
        <f aca="false">((250-(MIN(MAX(0,250-100-(100*((1+0.08)^5-1))),(0.2*(100*((1+0.08)^5-1))/0.3))*0.5+MIN(MAX(0,250-100-(100*((1+0.08)^5-1))-(0.2*(100*((1+0.08)^5-1))/0.3)),MAX(0,((100*(1+0.14)^5)-(MIN(250,100)+MIN(MAX(0,250-100),(100*((1+0.08)^5-1)))+MIN(MAX(0,250-100-(100*((1+0.08)^5-1))),(0.2*(100*((1+0.08)^5-1))/0.3))*(1-0.5)))/(1-0.2)))*0.2+MAX(0,250-100-(100*((1+0.08)^5-1))-(0.2*(100*((1+0.08)^5-1))/0.3)-MIN(MAX(0,250-100-(100*((1+0.08)^5-1))-(0.2*(100*((1+0.08)^5-1))/0.3)),MAX(0,((100*(1+0.14)^5)-(MIN(250,100)+MIN(MAX(0,250-100),(100*((1+0.08)^5-1)))+MIN(MAX(0,250-100-(100*((1+0.08)^5-1))),(0.2*(100*((1+0.08)^5-1))/0.3))*(1-0.5)))/(1-0.2))))*0.3))*0.1+(MIN(MAX(0,250-100-(100*((1+0.08)^5-1))),(0.2*(100*((1+0.08)^5-1))/0.3))*0.5+MIN(MAX(0,250-100-(100*((1+0.08)^5-1))-(0.2*(100*((1+0.08)^5-1))/0.3)),MAX(0,((100*(1+0.14)^5)-(MIN(250,100)+MIN(MAX(0,250-100),(100*((1+0.08)^5-1)))+MIN(MAX(0,250-100-(100*((1+0.08)^5-1))),(0.2*(100*((1+0.08)^5-1))/0.3))*(1-0.5)))/(1-0.2)))*0.2+MAX(0,250-100-(100*((1+0.08)^5-1))-(0.2*(100*((1+0.08)^5-1))/0.3)-MIN(MAX(0,250-100-(100*((1+0.08)^5-1))-(0.2*(100*((1+0.08)^5-1))/0.3)),MAX(0,((100*(1+0.14)^5)-(MIN(250,100)+MIN(MAX(0,250-100),(100*((1+0.08)^5-1)))+MIN(MAX(0,250-100-(100*((1+0.08)^5-1))),(0.2*(100*((1+0.08)^5-1))/0.3))*(1-0.5)))/(1-0.2))))*0.3))/10</f>
        <v>5.5089085948</v>
      </c>
      <c r="E16" s="60" t="n">
        <f aca="false">D16-C16</f>
        <v>-0.00109140520000039</v>
      </c>
      <c r="F16" s="58" t="str">
        <f aca="false">IF(ABS(E16)&lt;0.005,"reproduced",IF(ABS(E16)&lt;0.011,"rounding","CHECK"))</f>
        <v>reproduced</v>
      </c>
      <c r="H16" s="11"/>
    </row>
    <row r="17" customFormat="false" ht="15" hidden="false" customHeight="true" outlineLevel="0" collapsed="false">
      <c r="A17" s="49" t="s">
        <v>305</v>
      </c>
      <c r="B17" s="50" t="s">
        <v>319</v>
      </c>
      <c r="C17" s="61" t="n">
        <v>2.17</v>
      </c>
      <c r="D17" s="62" t="n">
        <f aca="false">(250-(MIN(MAX(0,250-100-(100*((1+0.08)^5-1))),(0.2*(100*((1+0.08)^5-1))/0.3))*0.5+MIN(MAX(0,250-100-(100*((1+0.08)^5-1))-(0.2*(100*((1+0.08)^5-1))/0.3)),MAX(0,((100*(1+0.14)^5)-(MIN(250,100)+MIN(MAX(0,250-100),(100*((1+0.08)^5-1)))+MIN(MAX(0,250-100-(100*((1+0.08)^5-1))),(0.2*(100*((1+0.08)^5-1))/0.3))*(1-0.5)))/(1-0.2)))*0.2+MAX(0,250-100-(100*((1+0.08)^5-1))-(0.2*(100*((1+0.08)^5-1))/0.3)-MIN(MAX(0,250-100-(100*((1+0.08)^5-1))-(0.2*(100*((1+0.08)^5-1))/0.3)),MAX(0,((100*(1+0.14)^5)-(MIN(250,100)+MIN(MAX(0,250-100),(100*((1+0.08)^5-1)))+MIN(MAX(0,250-100-(100*((1+0.08)^5-1))),(0.2*(100*((1+0.08)^5-1))/0.3))*(1-0.5)))/(1-0.2))))*0.3))*0.9/90</f>
        <v>2.1656768228</v>
      </c>
      <c r="E17" s="62" t="n">
        <f aca="false">D17-C17</f>
        <v>-0.00432317719999986</v>
      </c>
      <c r="F17" s="53" t="str">
        <f aca="false">IF(ABS(E17)&lt;0.005,"reproduced",IF(ABS(E17)&lt;0.011,"rounding","CHECK"))</f>
        <v>reproduced</v>
      </c>
      <c r="H17" s="11"/>
    </row>
    <row r="18" customFormat="false" ht="15" hidden="false" customHeight="true" outlineLevel="0" collapsed="false">
      <c r="A18" s="54" t="s">
        <v>305</v>
      </c>
      <c r="B18" s="55" t="s">
        <v>320</v>
      </c>
      <c r="C18" s="59" t="n">
        <v>2.5</v>
      </c>
      <c r="D18" s="60" t="n">
        <f aca="false">250/100</f>
        <v>2.5</v>
      </c>
      <c r="E18" s="60" t="n">
        <f aca="false">D18-C18</f>
        <v>0</v>
      </c>
      <c r="F18" s="58" t="str">
        <f aca="false">IF(ABS(E18)&lt;0.005,"reproduced",IF(ABS(E18)&lt;0.011,"rounding","CHECK"))</f>
        <v>reproduced</v>
      </c>
      <c r="H18" s="11"/>
    </row>
    <row r="19" customFormat="false" ht="15" hidden="false" customHeight="true" outlineLevel="0" collapsed="false">
      <c r="A19" s="49" t="s">
        <v>305</v>
      </c>
      <c r="B19" s="50" t="s">
        <v>321</v>
      </c>
      <c r="C19" s="63" t="n">
        <v>0.2011</v>
      </c>
      <c r="D19" s="64" t="n">
        <f aca="false">(250/100)^(1/5)-1</f>
        <v>0.201124433981431</v>
      </c>
      <c r="E19" s="64" t="n">
        <f aca="false">D19-C19</f>
        <v>2.44339814313155E-005</v>
      </c>
      <c r="F19" s="53" t="str">
        <f aca="false">IF(ABS(E19)&lt;0.005,"reproduced",IF(ABS(E19)&lt;0.011,"rounding","CHECK"))</f>
        <v>reproduced</v>
      </c>
      <c r="H19" s="11"/>
    </row>
    <row r="20" customFormat="false" ht="15" hidden="false" customHeight="true" outlineLevel="0" collapsed="false">
      <c r="A20" s="54" t="s">
        <v>305</v>
      </c>
      <c r="B20" s="55" t="s">
        <v>322</v>
      </c>
      <c r="C20" s="65" t="n">
        <v>0.1671</v>
      </c>
      <c r="D20" s="66" t="n">
        <f aca="false">((250-(MIN(MAX(0,250-100-(100*((1+0.08)^5-1))),(0.2*(100*((1+0.08)^5-1))/0.3))*0.5+MIN(MAX(0,250-100-(100*((1+0.08)^5-1))-(0.2*(100*((1+0.08)^5-1))/0.3)),MAX(0,((100*(1+0.14)^5)-(MIN(250,100)+MIN(MAX(0,250-100),(100*((1+0.08)^5-1)))+MIN(MAX(0,250-100-(100*((1+0.08)^5-1))),(0.2*(100*((1+0.08)^5-1))/0.3))*(1-0.5)))/(1-0.2)))*0.2+MAX(0,250-100-(100*((1+0.08)^5-1))-(0.2*(100*((1+0.08)^5-1))/0.3)-MIN(MAX(0,250-100-(100*((1+0.08)^5-1))-(0.2*(100*((1+0.08)^5-1))/0.3)),MAX(0,((100*(1+0.14)^5)-(MIN(250,100)+MIN(MAX(0,250-100),(100*((1+0.08)^5-1)))+MIN(MAX(0,250-100-(100*((1+0.08)^5-1))),(0.2*(100*((1+0.08)^5-1))/0.3))*(1-0.5)))/(1-0.2))))*0.3))*0.9/90)^(1/5)-1</f>
        <v>0.167128649306823</v>
      </c>
      <c r="E20" s="66" t="n">
        <f aca="false">D20-C20</f>
        <v>2.86493068226978E-005</v>
      </c>
      <c r="F20" s="58" t="str">
        <f aca="false">IF(ABS(E20)&lt;0.005,"reproduced",IF(ABS(E20)&lt;0.011,"rounding","CHECK"))</f>
        <v>reproduced</v>
      </c>
      <c r="H20" s="11"/>
    </row>
    <row r="21" customFormat="false" ht="15" hidden="false" customHeight="true" outlineLevel="0" collapsed="false">
      <c r="A21" s="49" t="s">
        <v>305</v>
      </c>
      <c r="B21" s="50" t="s">
        <v>323</v>
      </c>
      <c r="C21" s="51" t="n">
        <v>58.69</v>
      </c>
      <c r="D21" s="52" t="n">
        <f aca="false">100*(1.08^6-1)</f>
        <v>58.6874322944001</v>
      </c>
      <c r="E21" s="52" t="n">
        <f aca="false">D21-C21</f>
        <v>-0.00256770559994379</v>
      </c>
      <c r="F21" s="53" t="str">
        <f aca="false">IF(ABS(E21)&lt;0.005,"reproduced",IF(ABS(E21)&lt;0.011,"rounding","CHECK"))</f>
        <v>reproduced</v>
      </c>
      <c r="H21" s="11"/>
    </row>
    <row r="22" customFormat="false" ht="15" hidden="false" customHeight="true" outlineLevel="0" collapsed="false">
      <c r="A22" s="54" t="s">
        <v>305</v>
      </c>
      <c r="B22" s="55" t="s">
        <v>324</v>
      </c>
      <c r="C22" s="56" t="n">
        <v>39.12</v>
      </c>
      <c r="D22" s="57" t="n">
        <f aca="false">0.2*(100*(1.08^6-1))/0.3</f>
        <v>39.1249548629334</v>
      </c>
      <c r="E22" s="57" t="n">
        <f aca="false">D22-C22</f>
        <v>0.00495486293337422</v>
      </c>
      <c r="F22" s="58" t="str">
        <f aca="false">IF(ABS(E22)&lt;0.005,"reproduced",IF(ABS(E22)&lt;0.011,"rounding","CHECK"))</f>
        <v>reproduced</v>
      </c>
      <c r="H22" s="11"/>
    </row>
    <row r="23" customFormat="false" ht="15" hidden="false" customHeight="true" outlineLevel="0" collapsed="false">
      <c r="A23" s="49" t="s">
        <v>305</v>
      </c>
      <c r="B23" s="50" t="s">
        <v>325</v>
      </c>
      <c r="C23" s="51" t="n">
        <v>219.5</v>
      </c>
      <c r="D23" s="52" t="n">
        <f aca="false">100*1.14^6</f>
        <v>219.4972623936</v>
      </c>
      <c r="E23" s="52" t="n">
        <f aca="false">D23-C23</f>
        <v>-0.00273760640013165</v>
      </c>
      <c r="F23" s="53" t="str">
        <f aca="false">IF(ABS(E23)&lt;0.005,"reproduced",IF(ABS(E23)&lt;0.011,"rounding","CHECK"))</f>
        <v>reproduced</v>
      </c>
    </row>
    <row r="24" customFormat="false" ht="15" hidden="false" customHeight="true" outlineLevel="0" collapsed="false">
      <c r="A24" s="54" t="s">
        <v>305</v>
      </c>
      <c r="B24" s="55" t="s">
        <v>326</v>
      </c>
      <c r="C24" s="56" t="n">
        <v>30.06</v>
      </c>
      <c r="D24" s="57" t="n">
        <f aca="false">(MIN(MAX(0,250-100-(100*((1+0.08)^6-1))),(0.2*(100*((1+0.08)^6-1))/0.3))*0.5+MIN(MAX(0,250-100-(100*((1+0.08)^6-1))-(0.2*(100*((1+0.08)^6-1))/0.3)),MAX(0,((100*(1+0.14)^6)-(MIN(250,100)+MIN(MAX(0,250-100),(100*((1+0.08)^6-1)))+MIN(MAX(0,250-100-(100*((1+0.08)^6-1))),(0.2*(100*((1+0.08)^6-1))/0.3))*(1-0.5)))/(1-0.2)))*0.2+MAX(0,250-100-(100*((1+0.08)^6-1))-(0.2*(100*((1+0.08)^6-1))/0.3)-MIN(MAX(0,250-100-(100*((1+0.08)^6-1))-(0.2*(100*((1+0.08)^6-1))/0.3)),MAX(0,((100*(1+0.14)^6)-(MIN(250,100)+MIN(MAX(0,250-100),(100*((1+0.08)^6-1)))+MIN(MAX(0,250-100-(100*((1+0.08)^6-1))),(0.2*(100*((1+0.08)^6-1))/0.3))*(1-0.5)))/(1-0.2))))*0.3)</f>
        <v>30.0628422008</v>
      </c>
      <c r="E24" s="57" t="n">
        <f aca="false">D24-C24</f>
        <v>0.00284220079998221</v>
      </c>
      <c r="F24" s="58" t="str">
        <f aca="false">IF(ABS(E24)&lt;0.005,"reproduced",IF(ABS(E24)&lt;0.011,"rounding","CHECK"))</f>
        <v>reproduced</v>
      </c>
    </row>
    <row r="25" customFormat="false" ht="15" hidden="false" customHeight="true" outlineLevel="0" collapsed="false">
      <c r="A25" s="49" t="s">
        <v>305</v>
      </c>
      <c r="B25" s="50" t="s">
        <v>327</v>
      </c>
      <c r="C25" s="63" t="n">
        <v>0.14</v>
      </c>
      <c r="D25" s="64" t="n">
        <f aca="false">((250-(MIN(MAX(0,250-100-(100*((1+0.08)^6-1))),(0.2*(100*((1+0.08)^6-1))/0.3))*0.5+MIN(MAX(0,250-100-(100*((1+0.08)^6-1))-(0.2*(100*((1+0.08)^6-1))/0.3)),MAX(0,((100*(1+0.14)^6)-(MIN(250,100)+MIN(MAX(0,250-100),(100*((1+0.08)^6-1)))+MIN(MAX(0,250-100-(100*((1+0.08)^6-1))),(0.2*(100*((1+0.08)^6-1))/0.3))*(1-0.5)))/(1-0.2)))*0.2+MAX(0,250-100-(100*((1+0.08)^6-1))-(0.2*(100*((1+0.08)^6-1))/0.3)-MIN(MAX(0,250-100-(100*((1+0.08)^6-1))-(0.2*(100*((1+0.08)^6-1))/0.3)),MAX(0,((100*(1+0.14)^6)-(MIN(250,100)+MIN(MAX(0,250-100),(100*((1+0.08)^6-1)))+MIN(MAX(0,250-100-(100*((1+0.08)^6-1))),(0.2*(100*((1+0.08)^6-1))/0.3))*(1-0.5)))/(1-0.2))))*0.3))*0.9/90)^(1/6)-1</f>
        <v>0.140380462236621</v>
      </c>
      <c r="E25" s="64" t="n">
        <f aca="false">D25-C25</f>
        <v>0.000380462236620915</v>
      </c>
      <c r="F25" s="53" t="str">
        <f aca="false">IF(ABS(E25)&lt;0.005,"reproduced",IF(ABS(E25)&lt;0.011,"rounding","CHECK"))</f>
        <v>reproduced</v>
      </c>
    </row>
    <row r="26" customFormat="false" ht="15" hidden="false" customHeight="true" outlineLevel="0" collapsed="false">
      <c r="A26" s="54" t="s">
        <v>305</v>
      </c>
      <c r="B26" s="55" t="s">
        <v>328</v>
      </c>
      <c r="C26" s="56" t="n">
        <v>40.36</v>
      </c>
      <c r="D26" s="57" t="n">
        <f aca="false">MIN(MAX(0,250-100),(150-100)/0.8)*0.2+MIN(MAX(0,250-100-(150-100)/0.8),(200-(100+(150-100)/0.8*0.8))/0.7)*0.3+MAX(0,250-100-(150-100)/0.8-(200-(100+(150-100)/0.8*0.8))/0.7)*0.4</f>
        <v>40.3571428571429</v>
      </c>
      <c r="E26" s="57" t="n">
        <f aca="false">D26-C26</f>
        <v>-0.00285714285713823</v>
      </c>
      <c r="F26" s="58" t="str">
        <f aca="false">IF(ABS(E26)&lt;0.005,"reproduced",IF(ABS(E26)&lt;0.011,"rounding","CHECK"))</f>
        <v>reproduced</v>
      </c>
    </row>
    <row r="27" customFormat="false" ht="15" hidden="false" customHeight="true" outlineLevel="0" collapsed="false">
      <c r="A27" s="49" t="s">
        <v>329</v>
      </c>
      <c r="B27" s="50" t="s">
        <v>330</v>
      </c>
      <c r="C27" s="51" t="n">
        <v>148.46</v>
      </c>
      <c r="D27" s="52" t="n">
        <f aca="false">(150-(MIN(MAX(0,150-100-(100*((1+0.08)^5-1))),(0.2*(100*((1+0.08)^5-1))/0.3))*0.5+MIN(MAX(0,150-100-(100*((1+0.08)^5-1))-(0.2*(100*((1+0.08)^5-1))/0.3)),MAX(0,((100*(1+0.14)^5)-(MIN(150,100)+MIN(MAX(0,150-100),(100*((1+0.08)^5-1)))+MIN(MAX(0,150-100-(100*((1+0.08)^5-1))),(0.2*(100*((1+0.08)^5-1))/0.3))*(1-0.5)))/(1-0.2)))*0.2+MAX(0,150-100-(100*((1+0.08)^5-1))-(0.2*(100*((1+0.08)^5-1))/0.3)-MIN(MAX(0,150-100-(100*((1+0.08)^5-1))-(0.2*(100*((1+0.08)^5-1))/0.3)),MAX(0,((100*(1+0.14)^5)-(MIN(150,100)+MIN(MAX(0,150-100),(100*((1+0.08)^5-1)))+MIN(MAX(0,150-100-(100*((1+0.08)^5-1))),(0.2*(100*((1+0.08)^5-1))/0.3))*(1-0.5)))/(1-0.2))))*0.3))</f>
        <v>148.46640384</v>
      </c>
      <c r="E27" s="52" t="n">
        <f aca="false">D27-C27</f>
        <v>0.00640384000001859</v>
      </c>
      <c r="F27" s="53" t="str">
        <f aca="false">IF(ABS(E27)&lt;0.005,"reproduced",IF(ABS(E27)&lt;0.011,"rounding","CHECK"))</f>
        <v>rounding</v>
      </c>
    </row>
    <row r="28" customFormat="false" ht="15" hidden="false" customHeight="true" outlineLevel="0" collapsed="false">
      <c r="A28" s="54" t="s">
        <v>329</v>
      </c>
      <c r="B28" s="55" t="s">
        <v>331</v>
      </c>
      <c r="C28" s="56" t="n">
        <v>1.54</v>
      </c>
      <c r="D28" s="57" t="n">
        <f aca="false">(MIN(MAX(0,150-100-(100*((1+0.08)^5-1))),(0.2*(100*((1+0.08)^5-1))/0.3))*0.5+MIN(MAX(0,150-100-(100*((1+0.08)^5-1))-(0.2*(100*((1+0.08)^5-1))/0.3)),MAX(0,((100*(1+0.14)^5)-(MIN(150,100)+MIN(MAX(0,150-100),(100*((1+0.08)^5-1)))+MIN(MAX(0,150-100-(100*((1+0.08)^5-1))),(0.2*(100*((1+0.08)^5-1))/0.3))*(1-0.5)))/(1-0.2)))*0.2+MAX(0,150-100-(100*((1+0.08)^5-1))-(0.2*(100*((1+0.08)^5-1))/0.3)-MIN(MAX(0,150-100-(100*((1+0.08)^5-1))-(0.2*(100*((1+0.08)^5-1))/0.3)),MAX(0,((100*(1+0.14)^5)-(MIN(150,100)+MIN(MAX(0,150-100),(100*((1+0.08)^5-1)))+MIN(MAX(0,150-100-(100*((1+0.08)^5-1))),(0.2*(100*((1+0.08)^5-1))/0.3))*(1-0.5)))/(1-0.2))))*0.3)</f>
        <v>1.53359615999997</v>
      </c>
      <c r="E28" s="57" t="n">
        <f aca="false">D28-C28</f>
        <v>-0.00640384000002658</v>
      </c>
      <c r="F28" s="58" t="str">
        <f aca="false">IF(ABS(E28)&lt;0.005,"reproduced",IF(ABS(E28)&lt;0.011,"rounding","CHECK"))</f>
        <v>rounding</v>
      </c>
    </row>
    <row r="29" customFormat="false" ht="15" hidden="false" customHeight="true" outlineLevel="0" collapsed="false">
      <c r="A29" s="49" t="s">
        <v>329</v>
      </c>
      <c r="B29" s="50" t="s">
        <v>332</v>
      </c>
      <c r="C29" s="51" t="n">
        <v>164</v>
      </c>
      <c r="D29" s="52" t="n">
        <f aca="false">(180-(MIN(MAX(0,180-100-(100*((1+0.08)^5-1))),(0.2*(100*((1+0.08)^5-1))/0.3))*0.5+MIN(MAX(0,180-100-(100*((1+0.08)^5-1))-(0.2*(100*((1+0.08)^5-1))/0.3)),MAX(0,((100*(1+0.14)^5)-(MIN(180,100)+MIN(MAX(0,180-100),(100*((1+0.08)^5-1)))+MIN(MAX(0,180-100-(100*((1+0.08)^5-1))),(0.2*(100*((1+0.08)^5-1))/0.3))*(1-0.5)))/(1-0.2)))*0.2+MAX(0,180-100-(100*((1+0.08)^5-1))-(0.2*(100*((1+0.08)^5-1))/0.3)-MIN(MAX(0,180-100-(100*((1+0.08)^5-1))-(0.2*(100*((1+0.08)^5-1))/0.3)),MAX(0,((100*(1+0.14)^5)-(MIN(180,100)+MIN(MAX(0,180-100),(100*((1+0.08)^5-1)))+MIN(MAX(0,180-100-(100*((1+0.08)^5-1))),(0.2*(100*((1+0.08)^5-1))/0.3))*(1-0.5)))/(1-0.2))))*0.3))</f>
        <v>164</v>
      </c>
      <c r="E29" s="52" t="n">
        <f aca="false">D29-C29</f>
        <v>0</v>
      </c>
      <c r="F29" s="53" t="str">
        <f aca="false">IF(ABS(E29)&lt;0.005,"reproduced",IF(ABS(E29)&lt;0.011,"rounding","CHECK"))</f>
        <v>reproduced</v>
      </c>
    </row>
    <row r="30" customFormat="false" ht="15" hidden="false" customHeight="true" outlineLevel="0" collapsed="false">
      <c r="A30" s="54" t="s">
        <v>329</v>
      </c>
      <c r="B30" s="55" t="s">
        <v>333</v>
      </c>
      <c r="C30" s="56" t="n">
        <v>16</v>
      </c>
      <c r="D30" s="57" t="n">
        <f aca="false">(MIN(MAX(0,180-100-(100*((1+0.08)^5-1))),(0.2*(100*((1+0.08)^5-1))/0.3))*0.5+MIN(MAX(0,180-100-(100*((1+0.08)^5-1))-(0.2*(100*((1+0.08)^5-1))/0.3)),MAX(0,((100*(1+0.14)^5)-(MIN(180,100)+MIN(MAX(0,180-100),(100*((1+0.08)^5-1)))+MIN(MAX(0,180-100-(100*((1+0.08)^5-1))),(0.2*(100*((1+0.08)^5-1))/0.3))*(1-0.5)))/(1-0.2)))*0.2+MAX(0,180-100-(100*((1+0.08)^5-1))-(0.2*(100*((1+0.08)^5-1))/0.3)-MIN(MAX(0,180-100-(100*((1+0.08)^5-1))-(0.2*(100*((1+0.08)^5-1))/0.3)),MAX(0,((100*(1+0.14)^5)-(MIN(180,100)+MIN(MAX(0,180-100),(100*((1+0.08)^5-1)))+MIN(MAX(0,180-100-(100*((1+0.08)^5-1))),(0.2*(100*((1+0.08)^5-1))/0.3))*(1-0.5)))/(1-0.2))))*0.3)</f>
        <v>16</v>
      </c>
      <c r="E30" s="57" t="n">
        <f aca="false">D30-C30</f>
        <v>0</v>
      </c>
      <c r="F30" s="58" t="str">
        <f aca="false">IF(ABS(E30)&lt;0.005,"reproduced",IF(ABS(E30)&lt;0.011,"rounding","CHECK"))</f>
        <v>reproduced</v>
      </c>
    </row>
    <row r="31" customFormat="false" ht="15" hidden="false" customHeight="true" outlineLevel="0" collapsed="false">
      <c r="A31" s="49" t="s">
        <v>329</v>
      </c>
      <c r="B31" s="50" t="s">
        <v>334</v>
      </c>
      <c r="C31" s="51" t="n">
        <v>265.57</v>
      </c>
      <c r="D31" s="52" t="n">
        <f aca="false">(320-(MIN(MAX(0,320-100-(100*((1+0.08)^5-1))),(0.2*(100*((1+0.08)^5-1))/0.3))*0.5+MIN(MAX(0,320-100-(100*((1+0.08)^5-1))-(0.2*(100*((1+0.08)^5-1))/0.3)),MAX(0,((100*(1+0.14)^5)-(MIN(320,100)+MIN(MAX(0,320-100),(100*((1+0.08)^5-1)))+MIN(MAX(0,320-100-(100*((1+0.08)^5-1))),(0.2*(100*((1+0.08)^5-1))/0.3))*(1-0.5)))/(1-0.2)))*0.2+MAX(0,320-100-(100*((1+0.08)^5-1))-(0.2*(100*((1+0.08)^5-1))/0.3)-MIN(MAX(0,320-100-(100*((1+0.08)^5-1))-(0.2*(100*((1+0.08)^5-1))/0.3)),MAX(0,((100*(1+0.14)^5)-(MIN(320,100)+MIN(MAX(0,320-100),(100*((1+0.08)^5-1)))+MIN(MAX(0,320-100-(100*((1+0.08)^5-1))),(0.2*(100*((1+0.08)^5-1))/0.3))*(1-0.5)))/(1-0.2))))*0.3))</f>
        <v>265.56768228</v>
      </c>
      <c r="E31" s="52" t="n">
        <f aca="false">D31-C31</f>
        <v>-0.00231772000000774</v>
      </c>
      <c r="F31" s="53" t="str">
        <f aca="false">IF(ABS(E31)&lt;0.005,"reproduced",IF(ABS(E31)&lt;0.011,"rounding","CHECK"))</f>
        <v>reproduced</v>
      </c>
    </row>
    <row r="32" customFormat="false" ht="15" hidden="false" customHeight="true" outlineLevel="0" collapsed="false">
      <c r="A32" s="54" t="s">
        <v>329</v>
      </c>
      <c r="B32" s="55" t="s">
        <v>335</v>
      </c>
      <c r="C32" s="56" t="n">
        <v>54.43</v>
      </c>
      <c r="D32" s="57" t="n">
        <f aca="false">(MIN(MAX(0,320-100-(100*((1+0.08)^5-1))),(0.2*(100*((1+0.08)^5-1))/0.3))*0.5+MIN(MAX(0,320-100-(100*((1+0.08)^5-1))-(0.2*(100*((1+0.08)^5-1))/0.3)),MAX(0,((100*(1+0.14)^5)-(MIN(320,100)+MIN(MAX(0,320-100),(100*((1+0.08)^5-1)))+MIN(MAX(0,320-100-(100*((1+0.08)^5-1))),(0.2*(100*((1+0.08)^5-1))/0.3))*(1-0.5)))/(1-0.2)))*0.2+MAX(0,320-100-(100*((1+0.08)^5-1))-(0.2*(100*((1+0.08)^5-1))/0.3)-MIN(MAX(0,320-100-(100*((1+0.08)^5-1))-(0.2*(100*((1+0.08)^5-1))/0.3)),MAX(0,((100*(1+0.14)^5)-(MIN(320,100)+MIN(MAX(0,320-100),(100*((1+0.08)^5-1)))+MIN(MAX(0,320-100-(100*((1+0.08)^5-1))),(0.2*(100*((1+0.08)^5-1))/0.3))*(1-0.5)))/(1-0.2))))*0.3)</f>
        <v>54.43231772</v>
      </c>
      <c r="E32" s="57" t="n">
        <f aca="false">D32-C32</f>
        <v>0.00231771999999353</v>
      </c>
      <c r="F32" s="58" t="str">
        <f aca="false">IF(ABS(E32)&lt;0.005,"reproduced",IF(ABS(E32)&lt;0.011,"rounding","CHECK"))</f>
        <v>reproduced</v>
      </c>
    </row>
    <row r="33" customFormat="false" ht="15" hidden="false" customHeight="true" outlineLevel="0" collapsed="false">
      <c r="A33" s="49" t="s">
        <v>329</v>
      </c>
      <c r="B33" s="50" t="s">
        <v>336</v>
      </c>
      <c r="C33" s="63" t="n">
        <v>0.249</v>
      </c>
      <c r="D33" s="64" t="n">
        <f aca="false">((MIN(MAX(0,250-100-(100*((1+0.08)^5-1))),(0.2*(100*((1+0.08)^5-1))/0.3))*0.5+MIN(MAX(0,250-100-(100*((1+0.08)^5-1))-(0.2*(100*((1+0.08)^5-1))/0.3)),MAX(0,((100*(1+0.14)^5)-(MIN(250,100)+MIN(MAX(0,250-100),(100*((1+0.08)^5-1)))+MIN(MAX(0,250-100-(100*((1+0.08)^5-1))),(0.2*(100*((1+0.08)^5-1))/0.3))*(1-0.5)))/(1-0.2)))*0.2+MAX(0,250-100-(100*((1+0.08)^5-1))-(0.2*(100*((1+0.08)^5-1))/0.3)-MIN(MAX(0,250-100-(100*((1+0.08)^5-1))-(0.2*(100*((1+0.08)^5-1))/0.3)),MAX(0,((100*(1+0.14)^5)-(MIN(250,100)+MIN(MAX(0,250-100),(100*((1+0.08)^5-1)))+MIN(MAX(0,250-100-(100*((1+0.08)^5-1))),(0.2*(100*((1+0.08)^5-1))/0.3))*(1-0.5)))/(1-0.2))))*0.3)-(MIN(MAX(0,180-100-(100*((1+0.08)^5-1))),(0.2*(100*((1+0.08)^5-1))/0.3))*0.5+MIN(MAX(0,180-100-(100*((1+0.08)^5-1))-(0.2*(100*((1+0.08)^5-1))/0.3)),MAX(0,((100*(1+0.14)^5)-(MIN(180,100)+MIN(MAX(0,180-100),(100*((1+0.08)^5-1)))+MIN(MAX(0,180-100-(100*((1+0.08)^5-1))),(0.2*(100*((1+0.08)^5-1))/0.3))*(1-0.5)))/(1-0.2)))*0.2+MAX(0,180-100-(100*((1+0.08)^5-1))-(0.2*(100*((1+0.08)^5-1))/0.3)-MIN(MAX(0,180-100-(100*((1+0.08)^5-1))-(0.2*(100*((1+0.08)^5-1))/0.3)),MAX(0,((100*(1+0.14)^5)-(MIN(180,100)+MIN(MAX(0,180-100),(100*((1+0.08)^5-1)))+MIN(MAX(0,180-100-(100*((1+0.08)^5-1))),(0.2*(100*((1+0.08)^5-1))/0.3))*(1-0.5)))/(1-0.2))))*0.3))/70</f>
        <v>0.249033110285714</v>
      </c>
      <c r="E33" s="64" t="n">
        <f aca="false">D33-C33</f>
        <v>3.31102857140941E-005</v>
      </c>
      <c r="F33" s="53" t="str">
        <f aca="false">IF(ABS(E33)&lt;0.005,"reproduced",IF(ABS(E33)&lt;0.011,"rounding","CHECK"))</f>
        <v>reproduced</v>
      </c>
    </row>
    <row r="34" customFormat="false" ht="15" hidden="false" customHeight="true" outlineLevel="0" collapsed="false">
      <c r="A34" s="54" t="s">
        <v>329</v>
      </c>
      <c r="B34" s="55" t="s">
        <v>337</v>
      </c>
      <c r="C34" s="65" t="n">
        <v>0.3</v>
      </c>
      <c r="D34" s="66" t="n">
        <f aca="false">((MIN(MAX(0,320-100-(100*((1+0.08)^5-1))),(0.2*(100*((1+0.08)^5-1))/0.3))*0.5+MIN(MAX(0,320-100-(100*((1+0.08)^5-1))-(0.2*(100*((1+0.08)^5-1))/0.3)),MAX(0,((100*(1+0.14)^5)-(MIN(320,100)+MIN(MAX(0,320-100),(100*((1+0.08)^5-1)))+MIN(MAX(0,320-100-(100*((1+0.08)^5-1))),(0.2*(100*((1+0.08)^5-1))/0.3))*(1-0.5)))/(1-0.2)))*0.2+MAX(0,320-100-(100*((1+0.08)^5-1))-(0.2*(100*((1+0.08)^5-1))/0.3)-MIN(MAX(0,320-100-(100*((1+0.08)^5-1))-(0.2*(100*((1+0.08)^5-1))/0.3)),MAX(0,((100*(1+0.14)^5)-(MIN(320,100)+MIN(MAX(0,320-100),(100*((1+0.08)^5-1)))+MIN(MAX(0,320-100-(100*((1+0.08)^5-1))),(0.2*(100*((1+0.08)^5-1))/0.3))*(1-0.5)))/(1-0.2))))*0.3)-(MIN(MAX(0,250-100-(100*((1+0.08)^5-1))),(0.2*(100*((1+0.08)^5-1))/0.3))*0.5+MIN(MAX(0,250-100-(100*((1+0.08)^5-1))-(0.2*(100*((1+0.08)^5-1))/0.3)),MAX(0,((100*(1+0.14)^5)-(MIN(250,100)+MIN(MAX(0,250-100),(100*((1+0.08)^5-1)))+MIN(MAX(0,250-100-(100*((1+0.08)^5-1))),(0.2*(100*((1+0.08)^5-1))/0.3))*(1-0.5)))/(1-0.2)))*0.2+MAX(0,250-100-(100*((1+0.08)^5-1))-(0.2*(100*((1+0.08)^5-1))/0.3)-MIN(MAX(0,250-100-(100*((1+0.08)^5-1))-(0.2*(100*((1+0.08)^5-1))/0.3)),MAX(0,((100*(1+0.14)^5)-(MIN(250,100)+MIN(MAX(0,250-100),(100*((1+0.08)^5-1)))+MIN(MAX(0,250-100-(100*((1+0.08)^5-1))),(0.2*(100*((1+0.08)^5-1))/0.3))*(1-0.5)))/(1-0.2))))*0.3))/70</f>
        <v>0.3</v>
      </c>
      <c r="E34" s="66" t="n">
        <f aca="false">D34-C34</f>
        <v>0</v>
      </c>
      <c r="F34" s="58" t="str">
        <f aca="false">IF(ABS(E34)&lt;0.005,"reproduced",IF(ABS(E34)&lt;0.011,"rounding","CHECK"))</f>
        <v>reproduced</v>
      </c>
    </row>
    <row r="35" customFormat="false" ht="15" hidden="false" customHeight="true" outlineLevel="0" collapsed="false">
      <c r="A35" s="49" t="s">
        <v>329</v>
      </c>
      <c r="B35" s="50" t="s">
        <v>338</v>
      </c>
      <c r="C35" s="63" t="n">
        <v>0.0845</v>
      </c>
      <c r="D35" s="64" t="n">
        <f aca="false">(150*0.9/90)^(1/5)-1</f>
        <v>0.0844717711976986</v>
      </c>
      <c r="E35" s="64" t="n">
        <f aca="false">D35-C35</f>
        <v>-2.82288023014526E-005</v>
      </c>
      <c r="F35" s="53" t="str">
        <f aca="false">IF(ABS(E35)&lt;0.005,"reproduced",IF(ABS(E35)&lt;0.011,"rounding","CHECK"))</f>
        <v>reproduced</v>
      </c>
    </row>
    <row r="36" customFormat="false" ht="15" hidden="false" customHeight="true" outlineLevel="0" collapsed="false">
      <c r="A36" s="54" t="s">
        <v>329</v>
      </c>
      <c r="B36" s="55" t="s">
        <v>339</v>
      </c>
      <c r="C36" s="65" t="n">
        <v>0.0822</v>
      </c>
      <c r="D36" s="66" t="n">
        <f aca="false">((150-(MIN(MAX(0,150-100-(100*((1+0.08)^5-1))),(0.2*(100*((1+0.08)^5-1))/0.3))*0.5+MIN(MAX(0,150-100-(100*((1+0.08)^5-1))-(0.2*(100*((1+0.08)^5-1))/0.3)),MAX(0,((100*(1+0.14)^5)-(MIN(150,100)+MIN(MAX(0,150-100),(100*((1+0.08)^5-1)))+MIN(MAX(0,150-100-(100*((1+0.08)^5-1))),(0.2*(100*((1+0.08)^5-1))/0.3))*(1-0.5)))/(1-0.2)))*0.2+MAX(0,150-100-(100*((1+0.08)^5-1))-(0.2*(100*((1+0.08)^5-1))/0.3)-MIN(MAX(0,150-100-(100*((1+0.08)^5-1))-(0.2*(100*((1+0.08)^5-1))/0.3)),MAX(0,((100*(1+0.14)^5)-(MIN(150,100)+MIN(MAX(0,150-100),(100*((1+0.08)^5-1)))+MIN(MAX(0,150-100-(100*((1+0.08)^5-1))),(0.2*(100*((1+0.08)^5-1))/0.3))*(1-0.5)))/(1-0.2))))*0.3))*0.9/90)^(1/5)-1</f>
        <v>0.0822451240833542</v>
      </c>
      <c r="E36" s="66" t="n">
        <f aca="false">D36-C36</f>
        <v>4.51240833541644E-005</v>
      </c>
      <c r="F36" s="58" t="str">
        <f aca="false">IF(ABS(E36)&lt;0.005,"reproduced",IF(ABS(E36)&lt;0.011,"rounding","CHECK"))</f>
        <v>reproduced</v>
      </c>
    </row>
    <row r="37" customFormat="false" ht="15" hidden="false" customHeight="true" outlineLevel="0" collapsed="false">
      <c r="A37" s="49" t="s">
        <v>329</v>
      </c>
      <c r="B37" s="50" t="s">
        <v>340</v>
      </c>
      <c r="C37" s="63" t="n">
        <v>0.1247</v>
      </c>
      <c r="D37" s="64" t="n">
        <f aca="false">(180*0.9/90)^(1/5)-1</f>
        <v>0.124746113142095</v>
      </c>
      <c r="E37" s="64" t="n">
        <f aca="false">D37-C37</f>
        <v>4.61131420948224E-005</v>
      </c>
      <c r="F37" s="53" t="str">
        <f aca="false">IF(ABS(E37)&lt;0.005,"reproduced",IF(ABS(E37)&lt;0.011,"rounding","CHECK"))</f>
        <v>reproduced</v>
      </c>
    </row>
    <row r="38" customFormat="false" ht="15" hidden="false" customHeight="true" outlineLevel="0" collapsed="false">
      <c r="A38" s="54" t="s">
        <v>329</v>
      </c>
      <c r="B38" s="55" t="s">
        <v>341</v>
      </c>
      <c r="C38" s="65" t="n">
        <v>0.104</v>
      </c>
      <c r="D38" s="66" t="n">
        <f aca="false">((180-(MIN(MAX(0,180-100-(100*((1+0.08)^5-1))),(0.2*(100*((1+0.08)^5-1))/0.3))*0.5+MIN(MAX(0,180-100-(100*((1+0.08)^5-1))-(0.2*(100*((1+0.08)^5-1))/0.3)),MAX(0,((100*(1+0.14)^5)-(MIN(180,100)+MIN(MAX(0,180-100),(100*((1+0.08)^5-1)))+MIN(MAX(0,180-100-(100*((1+0.08)^5-1))),(0.2*(100*((1+0.08)^5-1))/0.3))*(1-0.5)))/(1-0.2)))*0.2+MAX(0,180-100-(100*((1+0.08)^5-1))-(0.2*(100*((1+0.08)^5-1))/0.3)-MIN(MAX(0,180-100-(100*((1+0.08)^5-1))-(0.2*(100*((1+0.08)^5-1))/0.3)),MAX(0,((100*(1+0.14)^5)-(MIN(180,100)+MIN(MAX(0,180-100),(100*((1+0.08)^5-1)))+MIN(MAX(0,180-100-(100*((1+0.08)^5-1))),(0.2*(100*((1+0.08)^5-1))/0.3))*(1-0.5)))/(1-0.2))))*0.3))*0.9/90)^(1/5)-1</f>
        <v>0.103999227765869</v>
      </c>
      <c r="E38" s="66" t="n">
        <f aca="false">D38-C38</f>
        <v>-7.72234130988481E-007</v>
      </c>
      <c r="F38" s="58" t="str">
        <f aca="false">IF(ABS(E38)&lt;0.005,"reproduced",IF(ABS(E38)&lt;0.011,"rounding","CHECK"))</f>
        <v>reproduced</v>
      </c>
    </row>
    <row r="39" customFormat="false" ht="15" hidden="false" customHeight="true" outlineLevel="0" collapsed="false">
      <c r="A39" s="49" t="s">
        <v>329</v>
      </c>
      <c r="B39" s="50" t="s">
        <v>342</v>
      </c>
      <c r="C39" s="63" t="n">
        <v>0.2619</v>
      </c>
      <c r="D39" s="64" t="n">
        <f aca="false">(320*0.9/90)^(1/5)-1</f>
        <v>0.261914688960387</v>
      </c>
      <c r="E39" s="64" t="n">
        <f aca="false">D39-C39</f>
        <v>1.46889603864775E-005</v>
      </c>
      <c r="F39" s="53" t="str">
        <f aca="false">IF(ABS(E39)&lt;0.005,"reproduced",IF(ABS(E39)&lt;0.011,"rounding","CHECK"))</f>
        <v>reproduced</v>
      </c>
    </row>
    <row r="40" customFormat="false" ht="15" hidden="false" customHeight="true" outlineLevel="0" collapsed="false">
      <c r="A40" s="54" t="s">
        <v>329</v>
      </c>
      <c r="B40" s="55" t="s">
        <v>343</v>
      </c>
      <c r="C40" s="65" t="n">
        <v>0.2157</v>
      </c>
      <c r="D40" s="66" t="n">
        <f aca="false">((320-(MIN(MAX(0,320-100-(100*((1+0.08)^5-1))),(0.2*(100*((1+0.08)^5-1))/0.3))*0.5+MIN(MAX(0,320-100-(100*((1+0.08)^5-1))-(0.2*(100*((1+0.08)^5-1))/0.3)),MAX(0,((100*(1+0.14)^5)-(MIN(320,100)+MIN(MAX(0,320-100),(100*((1+0.08)^5-1)))+MIN(MAX(0,320-100-(100*((1+0.08)^5-1))),(0.2*(100*((1+0.08)^5-1))/0.3))*(1-0.5)))/(1-0.2)))*0.2+MAX(0,320-100-(100*((1+0.08)^5-1))-(0.2*(100*((1+0.08)^5-1))/0.3)-MIN(MAX(0,320-100-(100*((1+0.08)^5-1))-(0.2*(100*((1+0.08)^5-1))/0.3)),MAX(0,((100*(1+0.14)^5)-(MIN(320,100)+MIN(MAX(0,320-100),(100*((1+0.08)^5-1)))+MIN(MAX(0,320-100-(100*((1+0.08)^5-1))),(0.2*(100*((1+0.08)^5-1))/0.3))*(1-0.5)))/(1-0.2))))*0.3))*0.9/90)^(1/5)-1</f>
        <v>0.215724152102023</v>
      </c>
      <c r="E40" s="66" t="n">
        <f aca="false">D40-C40</f>
        <v>2.41521020232227E-005</v>
      </c>
      <c r="F40" s="58" t="str">
        <f aca="false">IF(ABS(E40)&lt;0.005,"reproduced",IF(ABS(E40)&lt;0.011,"rounding","CHECK"))</f>
        <v>reproduced</v>
      </c>
    </row>
    <row r="41" customFormat="false" ht="15" hidden="false" customHeight="true" outlineLevel="0" collapsed="false">
      <c r="A41" s="49" t="s">
        <v>329</v>
      </c>
      <c r="B41" s="50" t="s">
        <v>344</v>
      </c>
      <c r="C41" s="63" t="n">
        <v>0.0462</v>
      </c>
      <c r="D41" s="64" t="n">
        <f aca="false">(320*0.9/90)^(1/5)-((320-(MIN(MAX(0,320-100-(100*((1+0.08)^5-1))),(0.2*(100*((1+0.08)^5-1))/0.3))*0.5+MIN(MAX(0,320-100-(100*((1+0.08)^5-1))-(0.2*(100*((1+0.08)^5-1))/0.3)),MAX(0,((100*(1+0.14)^5)-(MIN(320,100)+MIN(MAX(0,320-100),(100*((1+0.08)^5-1)))+MIN(MAX(0,320-100-(100*((1+0.08)^5-1))),(0.2*(100*((1+0.08)^5-1))/0.3))*(1-0.5)))/(1-0.2)))*0.2+MAX(0,320-100-(100*((1+0.08)^5-1))-(0.2*(100*((1+0.08)^5-1))/0.3)-MIN(MAX(0,320-100-(100*((1+0.08)^5-1))-(0.2*(100*((1+0.08)^5-1))/0.3)),MAX(0,((100*(1+0.14)^5)-(MIN(320,100)+MIN(MAX(0,320-100),(100*((1+0.08)^5-1)))+MIN(MAX(0,320-100-(100*((1+0.08)^5-1))),(0.2*(100*((1+0.08)^5-1))/0.3))*(1-0.5)))/(1-0.2))))*0.3))*0.9/90)^(1/5)</f>
        <v>0.0461905368583633</v>
      </c>
      <c r="E41" s="64" t="n">
        <f aca="false">D41-C41</f>
        <v>-9.4631416367244E-006</v>
      </c>
      <c r="F41" s="53" t="str">
        <f aca="false">IF(ABS(E41)&lt;0.005,"reproduced",IF(ABS(E41)&lt;0.011,"rounding","CHECK"))</f>
        <v>reproduced</v>
      </c>
    </row>
    <row r="42" customFormat="false" ht="15" hidden="false" customHeight="true" outlineLevel="0" collapsed="false">
      <c r="A42" s="54" t="s">
        <v>329</v>
      </c>
      <c r="B42" s="55" t="s">
        <v>345</v>
      </c>
      <c r="C42" s="56" t="n">
        <v>100</v>
      </c>
      <c r="D42" s="57" t="n">
        <f aca="false">250-250*0.6</f>
        <v>100</v>
      </c>
      <c r="E42" s="57" t="n">
        <f aca="false">D42-C42</f>
        <v>0</v>
      </c>
      <c r="F42" s="58" t="str">
        <f aca="false">IF(ABS(E42)&lt;0.005,"reproduced",IF(ABS(E42)&lt;0.011,"rounding","CHECK"))</f>
        <v>reproduced</v>
      </c>
    </row>
    <row r="43" customFormat="false" ht="15" hidden="false" customHeight="true" outlineLevel="0" collapsed="false">
      <c r="A43" s="49" t="s">
        <v>329</v>
      </c>
      <c r="B43" s="50" t="s">
        <v>346</v>
      </c>
      <c r="C43" s="51" t="n">
        <v>162.5</v>
      </c>
      <c r="D43" s="52" t="n">
        <f aca="false">312.5-250*0.6</f>
        <v>162.5</v>
      </c>
      <c r="E43" s="52" t="n">
        <f aca="false">D43-C43</f>
        <v>0</v>
      </c>
      <c r="F43" s="53" t="str">
        <f aca="false">IF(ABS(E43)&lt;0.005,"reproduced",IF(ABS(E43)&lt;0.011,"rounding","CHECK"))</f>
        <v>reproduced</v>
      </c>
    </row>
    <row r="44" customFormat="false" ht="15" hidden="false" customHeight="true" outlineLevel="0" collapsed="false">
      <c r="A44" s="54" t="s">
        <v>329</v>
      </c>
      <c r="B44" s="55" t="s">
        <v>347</v>
      </c>
      <c r="C44" s="56" t="n">
        <v>7.79</v>
      </c>
      <c r="D44" s="57" t="n">
        <f aca="false">(MIN(MAX(0,(312.5-250*0.6)-(250-250*0.6)-((250-250*0.6)*((1+0.08)^5-1))),(0.2*((250-250*0.6)*((1+0.08)^5-1))/0.3))*0.5+MIN(MAX(0,(312.5-250*0.6)-(250-250*0.6)-((250-250*0.6)*((1+0.08)^5-1))-(0.2*((250-250*0.6)*((1+0.08)^5-1))/0.3)),MAX(0,(((250-250*0.6)*(1+0.14)^5)-(MIN((312.5-250*0.6),(250-250*0.6))+MIN(MAX(0,(312.5-250*0.6)-(250-250*0.6)),((250-250*0.6)*((1+0.08)^5-1)))+MIN(MAX(0,(312.5-250*0.6)-(250-250*0.6)-((250-250*0.6)*((1+0.08)^5-1))),(0.2*((250-250*0.6)*((1+0.08)^5-1))/0.3))*(1-0.5)))/(1-0.2)))*0.2+MAX(0,(312.5-250*0.6)-(250-250*0.6)-((250-250*0.6)*((1+0.08)^5-1))-(0.2*((250-250*0.6)*((1+0.08)^5-1))/0.3)-MIN(MAX(0,(312.5-250*0.6)-(250-250*0.6)-((250-250*0.6)*((1+0.08)^5-1))-(0.2*((250-250*0.6)*((1+0.08)^5-1))/0.3)),MAX(0,(((250-250*0.6)*(1+0.14)^5)-(MIN((312.5-250*0.6),(250-250*0.6))+MIN(MAX(0,(312.5-250*0.6)-(250-250*0.6)),((250-250*0.6)*((1+0.08)^5-1)))+MIN(MAX(0,(312.5-250*0.6)-(250-250*0.6)-((250-250*0.6)*((1+0.08)^5-1))),(0.2*((250-250*0.6)*((1+0.08)^5-1))/0.3))*(1-0.5)))/(1-0.2))))*0.3)</f>
        <v>7.78359615999997</v>
      </c>
      <c r="E44" s="57" t="n">
        <f aca="false">D44-C44</f>
        <v>-0.00640384000002658</v>
      </c>
      <c r="F44" s="58" t="str">
        <f aca="false">IF(ABS(E44)&lt;0.005,"reproduced",IF(ABS(E44)&lt;0.011,"rounding","CHECK"))</f>
        <v>rounding</v>
      </c>
    </row>
    <row r="45" customFormat="false" ht="15" hidden="false" customHeight="true" outlineLevel="0" collapsed="false">
      <c r="A45" s="49" t="s">
        <v>329</v>
      </c>
      <c r="B45" s="50" t="s">
        <v>348</v>
      </c>
      <c r="C45" s="51" t="n">
        <v>62.5</v>
      </c>
      <c r="D45" s="52" t="n">
        <f aca="false">250-250*0.75</f>
        <v>62.5</v>
      </c>
      <c r="E45" s="52" t="n">
        <f aca="false">D45-C45</f>
        <v>0</v>
      </c>
      <c r="F45" s="53" t="str">
        <f aca="false">IF(ABS(E45)&lt;0.005,"reproduced",IF(ABS(E45)&lt;0.011,"rounding","CHECK"))</f>
        <v>reproduced</v>
      </c>
    </row>
    <row r="46" customFormat="false" ht="15" hidden="false" customHeight="true" outlineLevel="0" collapsed="false">
      <c r="A46" s="54" t="s">
        <v>329</v>
      </c>
      <c r="B46" s="55" t="s">
        <v>349</v>
      </c>
      <c r="C46" s="56" t="n">
        <v>125</v>
      </c>
      <c r="D46" s="57" t="n">
        <f aca="false">312.5-250*0.75</f>
        <v>125</v>
      </c>
      <c r="E46" s="57" t="n">
        <f aca="false">D46-C46</f>
        <v>0</v>
      </c>
      <c r="F46" s="58" t="str">
        <f aca="false">IF(ABS(E46)&lt;0.005,"reproduced",IF(ABS(E46)&lt;0.011,"rounding","CHECK"))</f>
        <v>reproduced</v>
      </c>
    </row>
    <row r="47" customFormat="false" ht="15" hidden="false" customHeight="true" outlineLevel="0" collapsed="false">
      <c r="A47" s="49" t="s">
        <v>329</v>
      </c>
      <c r="B47" s="50" t="s">
        <v>350</v>
      </c>
      <c r="C47" s="51" t="n">
        <v>12.5</v>
      </c>
      <c r="D47" s="52" t="n">
        <f aca="false">(MIN(MAX(0,(312.5-250*0.75)-(250-250*0.75)-((250-250*0.75)*((1+0.08)^5-1))),(0.2*((250-250*0.75)*((1+0.08)^5-1))/0.3))*0.5+MIN(MAX(0,(312.5-250*0.75)-(250-250*0.75)-((250-250*0.75)*((1+0.08)^5-1))-(0.2*((250-250*0.75)*((1+0.08)^5-1))/0.3)),MAX(0,(((250-250*0.75)*(1+0.14)^5)-(MIN((312.5-250*0.75),(250-250*0.75))+MIN(MAX(0,(312.5-250*0.75)-(250-250*0.75)),((250-250*0.75)*((1+0.08)^5-1)))+MIN(MAX(0,(312.5-250*0.75)-(250-250*0.75)-((250-250*0.75)*((1+0.08)^5-1))),(0.2*((250-250*0.75)*((1+0.08)^5-1))/0.3))*(1-0.5)))/(1-0.2)))*0.2+MAX(0,(312.5-250*0.75)-(250-250*0.75)-((250-250*0.75)*((1+0.08)^5-1))-(0.2*((250-250*0.75)*((1+0.08)^5-1))/0.3)-MIN(MAX(0,(312.5-250*0.75)-(250-250*0.75)-((250-250*0.75)*((1+0.08)^5-1))-(0.2*((250-250*0.75)*((1+0.08)^5-1))/0.3)),MAX(0,(((250-250*0.75)*(1+0.14)^5)-(MIN((312.5-250*0.75),(250-250*0.75))+MIN(MAX(0,(312.5-250*0.75)-(250-250*0.75)),((250-250*0.75)*((1+0.08)^5-1)))+MIN(MAX(0,(312.5-250*0.75)-(250-250*0.75)-((250-250*0.75)*((1+0.08)^5-1))),(0.2*((250-250*0.75)*((1+0.08)^5-1))/0.3))*(1-0.5)))/(1-0.2))))*0.3)</f>
        <v>12.5</v>
      </c>
      <c r="E47" s="52" t="n">
        <f aca="false">D47-C47</f>
        <v>0</v>
      </c>
      <c r="F47" s="53" t="str">
        <f aca="false">IF(ABS(E47)&lt;0.005,"reproduced",IF(ABS(E47)&lt;0.011,"rounding","CHECK"))</f>
        <v>reproduced</v>
      </c>
    </row>
    <row r="48" customFormat="false" ht="15" hidden="false" customHeight="true" outlineLevel="0" collapsed="false">
      <c r="A48" s="54" t="s">
        <v>329</v>
      </c>
      <c r="B48" s="55" t="s">
        <v>351</v>
      </c>
      <c r="C48" s="59" t="n">
        <v>1.8</v>
      </c>
      <c r="D48" s="60" t="n">
        <f aca="false">((312.5-250*0.75)-(MIN(MAX(0,(312.5-250*0.75)-(250-250*0.75)-((250-250*0.75)*((1+0.08)^5-1))),(0.2*((250-250*0.75)*((1+0.08)^5-1))/0.3))*0.5+MIN(MAX(0,(312.5-250*0.75)-(250-250*0.75)-((250-250*0.75)*((1+0.08)^5-1))-(0.2*((250-250*0.75)*((1+0.08)^5-1))/0.3)),MAX(0,(((250-250*0.75)*(1+0.14)^5)-(MIN((312.5-250*0.75),(250-250*0.75))+MIN(MAX(0,(312.5-250*0.75)-(250-250*0.75)),((250-250*0.75)*((1+0.08)^5-1)))+MIN(MAX(0,(312.5-250*0.75)-(250-250*0.75)-((250-250*0.75)*((1+0.08)^5-1))),(0.2*((250-250*0.75)*((1+0.08)^5-1))/0.3))*(1-0.5)))/(1-0.2)))*0.2+MAX(0,(312.5-250*0.75)-(250-250*0.75)-((250-250*0.75)*((1+0.08)^5-1))-(0.2*((250-250*0.75)*((1+0.08)^5-1))/0.3)-MIN(MAX(0,(312.5-250*0.75)-(250-250*0.75)-((250-250*0.75)*((1+0.08)^5-1))-(0.2*((250-250*0.75)*((1+0.08)^5-1))/0.3)),MAX(0,(((250-250*0.75)*(1+0.14)^5)-(MIN((312.5-250*0.75),(250-250*0.75))+MIN(MAX(0,(312.5-250*0.75)-(250-250*0.75)),((250-250*0.75)*((1+0.08)^5-1)))+MIN(MAX(0,(312.5-250*0.75)-(250-250*0.75)-((250-250*0.75)*((1+0.08)^5-1))),(0.2*((250-250*0.75)*((1+0.08)^5-1))/0.3))*(1-0.5)))/(1-0.2))))*0.3))/(250-250*0.75)</f>
        <v>1.8</v>
      </c>
      <c r="E48" s="60" t="n">
        <f aca="false">D48-C48</f>
        <v>0</v>
      </c>
      <c r="F48" s="58" t="str">
        <f aca="false">IF(ABS(E48)&lt;0.005,"reproduced",IF(ABS(E48)&lt;0.011,"rounding","CHECK"))</f>
        <v>reproduced</v>
      </c>
    </row>
    <row r="49" customFormat="false" ht="15" hidden="false" customHeight="true" outlineLevel="0" collapsed="false">
      <c r="A49" s="49" t="s">
        <v>352</v>
      </c>
      <c r="B49" s="50" t="s">
        <v>353</v>
      </c>
      <c r="C49" s="51" t="n">
        <v>103.07</v>
      </c>
      <c r="D49" s="52" t="n">
        <f aca="false">MAX(0,250-100-(100*((1+0.08)^5-1)))</f>
        <v>103.06719232</v>
      </c>
      <c r="E49" s="52" t="n">
        <f aca="false">D49-C49</f>
        <v>-0.00280768000004628</v>
      </c>
      <c r="F49" s="53" t="str">
        <f aca="false">IF(ABS(E49)&lt;0.005,"reproduced",IF(ABS(E49)&lt;0.011,"rounding","CHECK"))</f>
        <v>reproduced</v>
      </c>
    </row>
    <row r="50" customFormat="false" ht="15" hidden="false" customHeight="true" outlineLevel="0" collapsed="false">
      <c r="A50" s="54" t="s">
        <v>352</v>
      </c>
      <c r="B50" s="55" t="s">
        <v>354</v>
      </c>
      <c r="C50" s="56" t="n">
        <v>229.39</v>
      </c>
      <c r="D50" s="57" t="n">
        <f aca="false">(250-MAX(0,250-100-(100*((1+0.08)^5-1)))*0.2)</f>
        <v>229.386561536</v>
      </c>
      <c r="E50" s="57" t="n">
        <f aca="false">D50-C50</f>
        <v>-0.00343846399997005</v>
      </c>
      <c r="F50" s="58" t="str">
        <f aca="false">IF(ABS(E50)&lt;0.005,"reproduced",IF(ABS(E50)&lt;0.011,"rounding","CHECK"))</f>
        <v>reproduced</v>
      </c>
    </row>
    <row r="51" customFormat="false" ht="15" hidden="false" customHeight="true" outlineLevel="0" collapsed="false">
      <c r="A51" s="49" t="s">
        <v>352</v>
      </c>
      <c r="B51" s="50" t="s">
        <v>355</v>
      </c>
      <c r="C51" s="51" t="n">
        <v>20.61</v>
      </c>
      <c r="D51" s="52" t="n">
        <f aca="false">(MAX(0,250-100-(100*((1+0.08)^5-1)))*0.2)</f>
        <v>20.613438464</v>
      </c>
      <c r="E51" s="52" t="n">
        <f aca="false">D51-C51</f>
        <v>0.00343846399999137</v>
      </c>
      <c r="F51" s="53" t="str">
        <f aca="false">IF(ABS(E51)&lt;0.005,"reproduced",IF(ABS(E51)&lt;0.011,"rounding","CHECK"))</f>
        <v>reproduced</v>
      </c>
    </row>
    <row r="52" customFormat="false" ht="15" hidden="false" customHeight="true" outlineLevel="0" collapsed="false">
      <c r="A52" s="54" t="s">
        <v>352</v>
      </c>
      <c r="B52" s="55" t="s">
        <v>356</v>
      </c>
      <c r="C52" s="65" t="n">
        <v>0.137</v>
      </c>
      <c r="D52" s="66" t="n">
        <f aca="false">(MAX(0,250-100-(100*((1+0.08)^5-1)))*0.2)/150</f>
        <v>0.137422923093333</v>
      </c>
      <c r="E52" s="66" t="n">
        <f aca="false">D52-C52</f>
        <v>0.00042292309333325</v>
      </c>
      <c r="F52" s="58" t="str">
        <f aca="false">IF(ABS(E52)&lt;0.005,"reproduced",IF(ABS(E52)&lt;0.011,"rounding","CHECK"))</f>
        <v>reproduced</v>
      </c>
    </row>
    <row r="53" customFormat="false" ht="15" hidden="false" customHeight="true" outlineLevel="0" collapsed="false">
      <c r="A53" s="49" t="s">
        <v>352</v>
      </c>
      <c r="B53" s="50" t="s">
        <v>357</v>
      </c>
      <c r="C53" s="51" t="n">
        <v>14.03</v>
      </c>
      <c r="D53" s="52" t="n">
        <f aca="false">(MIN(MAX(0,175-100-(100*((1+0.08)^5-1))),(0.2*(100*((1+0.08)^5-1))/0.3))*0.5+MIN(MAX(0,175-100-(100*((1+0.08)^5-1))-(0.2*(100*((1+0.08)^5-1))/0.3)),MAX(0,((100*(1+0.14)^5)-(MIN(175,100)+MIN(MAX(0,175-100),(100*((1+0.08)^5-1)))+MIN(MAX(0,175-100-(100*((1+0.08)^5-1))),(0.2*(100*((1+0.08)^5-1))/0.3))*(1-0.5)))/(1-0.2)))*0.2+MAX(0,175-100-(100*((1+0.08)^5-1))-(0.2*(100*((1+0.08)^5-1))/0.3)-MIN(MAX(0,175-100-(100*((1+0.08)^5-1))-(0.2*(100*((1+0.08)^5-1))/0.3)),MAX(0,((100*(1+0.14)^5)-(MIN(175,100)+MIN(MAX(0,175-100),(100*((1+0.08)^5-1)))+MIN(MAX(0,175-100-(100*((1+0.08)^5-1))),(0.2*(100*((1+0.08)^5-1))/0.3))*(1-0.5)))/(1-0.2))))*0.3)</f>
        <v>14.03359616</v>
      </c>
      <c r="E53" s="52" t="n">
        <f aca="false">D53-C53</f>
        <v>0.00359615999997409</v>
      </c>
      <c r="F53" s="53" t="str">
        <f aca="false">IF(ABS(E53)&lt;0.005,"reproduced",IF(ABS(E53)&lt;0.011,"rounding","CHECK"))</f>
        <v>reproduced</v>
      </c>
    </row>
    <row r="54" customFormat="false" ht="15" hidden="false" customHeight="true" outlineLevel="0" collapsed="false">
      <c r="A54" s="54" t="s">
        <v>352</v>
      </c>
      <c r="B54" s="55" t="s">
        <v>358</v>
      </c>
      <c r="C54" s="59" t="n">
        <v>1.61</v>
      </c>
      <c r="D54" s="60" t="n">
        <f aca="false">(175-(MIN(MAX(0,175-100-(100*((1+0.08)^5-1))),(0.2*(100*((1+0.08)^5-1))/0.3))*0.5+MIN(MAX(0,175-100-(100*((1+0.08)^5-1))-(0.2*(100*((1+0.08)^5-1))/0.3)),MAX(0,((100*(1+0.14)^5)-(MIN(175,100)+MIN(MAX(0,175-100),(100*((1+0.08)^5-1)))+MIN(MAX(0,175-100-(100*((1+0.08)^5-1))),(0.2*(100*((1+0.08)^5-1))/0.3))*(1-0.5)))/(1-0.2)))*0.2+MAX(0,175-100-(100*((1+0.08)^5-1))-(0.2*(100*((1+0.08)^5-1))/0.3)-MIN(MAX(0,175-100-(100*((1+0.08)^5-1))-(0.2*(100*((1+0.08)^5-1))/0.3)),MAX(0,((100*(1+0.14)^5)-(MIN(175,100)+MIN(MAX(0,175-100),(100*((1+0.08)^5-1)))+MIN(MAX(0,175-100-(100*((1+0.08)^5-1))),(0.2*(100*((1+0.08)^5-1))/0.3))*(1-0.5)))/(1-0.2))))*0.3))/100</f>
        <v>1.6096640384</v>
      </c>
      <c r="E54" s="60" t="n">
        <f aca="false">D54-C54</f>
        <v>-0.000335961599999823</v>
      </c>
      <c r="F54" s="58" t="str">
        <f aca="false">IF(ABS(E54)&lt;0.005,"reproduced",IF(ABS(E54)&lt;0.011,"rounding","CHECK"))</f>
        <v>reproduced</v>
      </c>
    </row>
    <row r="55" customFormat="false" ht="15" hidden="false" customHeight="true" outlineLevel="0" collapsed="false">
      <c r="A55" s="49" t="s">
        <v>352</v>
      </c>
      <c r="B55" s="50" t="s">
        <v>359</v>
      </c>
      <c r="C55" s="51" t="n">
        <v>20</v>
      </c>
      <c r="D55" s="52" t="n">
        <f aca="false">(MIN(MAX(0,200-100-(100*((1+0.08)^5-1))),(0.2*(100*((1+0.08)^5-1))/0.3))*0.5+MIN(MAX(0,200-100-(100*((1+0.08)^5-1))-(0.2*(100*((1+0.08)^5-1))/0.3)),MAX(0,((100*(1+0.14)^5)-(MIN(200,100)+MIN(MAX(0,200-100),(100*((1+0.08)^5-1)))+MIN(MAX(0,200-100-(100*((1+0.08)^5-1))),(0.2*(100*((1+0.08)^5-1))/0.3))*(1-0.5)))/(1-0.2)))*0.2+MAX(0,200-100-(100*((1+0.08)^5-1))-(0.2*(100*((1+0.08)^5-1))/0.3)-MIN(MAX(0,200-100-(100*((1+0.08)^5-1))-(0.2*(100*((1+0.08)^5-1))/0.3)),MAX(0,((100*(1+0.14)^5)-(MIN(200,100)+MIN(MAX(0,200-100),(100*((1+0.08)^5-1)))+MIN(MAX(0,200-100-(100*((1+0.08)^5-1))),(0.2*(100*((1+0.08)^5-1))/0.3))*(1-0.5)))/(1-0.2))))*0.3)</f>
        <v>20</v>
      </c>
      <c r="E55" s="52" t="n">
        <f aca="false">D55-C55</f>
        <v>0</v>
      </c>
      <c r="F55" s="53" t="str">
        <f aca="false">IF(ABS(E55)&lt;0.005,"reproduced",IF(ABS(E55)&lt;0.011,"rounding","CHECK"))</f>
        <v>reproduced</v>
      </c>
    </row>
    <row r="56" customFormat="false" ht="15" hidden="false" customHeight="true" outlineLevel="0" collapsed="false">
      <c r="A56" s="54" t="s">
        <v>352</v>
      </c>
      <c r="B56" s="55" t="s">
        <v>360</v>
      </c>
      <c r="C56" s="56" t="n">
        <v>48.43</v>
      </c>
      <c r="D56" s="57" t="n">
        <f aca="false">(MIN(MAX(0,300-100-(100*((1+0.08)^5-1))),(0.2*(100*((1+0.08)^5-1))/0.3))*0.5+MIN(MAX(0,300-100-(100*((1+0.08)^5-1))-(0.2*(100*((1+0.08)^5-1))/0.3)),MAX(0,((100*(1+0.14)^5)-(MIN(300,100)+MIN(MAX(0,300-100),(100*((1+0.08)^5-1)))+MIN(MAX(0,300-100-(100*((1+0.08)^5-1))),(0.2*(100*((1+0.08)^5-1))/0.3))*(1-0.5)))/(1-0.2)))*0.2+MAX(0,300-100-(100*((1+0.08)^5-1))-(0.2*(100*((1+0.08)^5-1))/0.3)-MIN(MAX(0,300-100-(100*((1+0.08)^5-1))-(0.2*(100*((1+0.08)^5-1))/0.3)),MAX(0,((100*(1+0.14)^5)-(MIN(300,100)+MIN(MAX(0,300-100),(100*((1+0.08)^5-1)))+MIN(MAX(0,300-100-(100*((1+0.08)^5-1))),(0.2*(100*((1+0.08)^5-1))/0.3))*(1-0.5)))/(1-0.2))))*0.3)</f>
        <v>48.43231772</v>
      </c>
      <c r="E56" s="57" t="n">
        <f aca="false">D56-C56</f>
        <v>0.00231771999998642</v>
      </c>
      <c r="F56" s="58" t="str">
        <f aca="false">IF(ABS(E56)&lt;0.005,"reproduced",IF(ABS(E56)&lt;0.011,"rounding","CHECK"))</f>
        <v>reproduced</v>
      </c>
    </row>
    <row r="57" customFormat="false" ht="15" hidden="false" customHeight="true" outlineLevel="0" collapsed="false">
      <c r="A57" s="49" t="s">
        <v>352</v>
      </c>
      <c r="B57" s="50" t="s">
        <v>361</v>
      </c>
      <c r="C57" s="61" t="n">
        <v>2.52</v>
      </c>
      <c r="D57" s="62" t="n">
        <f aca="false">(300-(MIN(MAX(0,300-100-(100*((1+0.08)^5-1))),(0.2*(100*((1+0.08)^5-1))/0.3))*0.5+MIN(MAX(0,300-100-(100*((1+0.08)^5-1))-(0.2*(100*((1+0.08)^5-1))/0.3)),MAX(0,((100*(1+0.14)^5)-(MIN(300,100)+MIN(MAX(0,300-100),(100*((1+0.08)^5-1)))+MIN(MAX(0,300-100-(100*((1+0.08)^5-1))),(0.2*(100*((1+0.08)^5-1))/0.3))*(1-0.5)))/(1-0.2)))*0.2+MAX(0,300-100-(100*((1+0.08)^5-1))-(0.2*(100*((1+0.08)^5-1))/0.3)-MIN(MAX(0,300-100-(100*((1+0.08)^5-1))-(0.2*(100*((1+0.08)^5-1))/0.3)),MAX(0,((100*(1+0.14)^5)-(MIN(300,100)+MIN(MAX(0,300-100),(100*((1+0.08)^5-1)))+MIN(MAX(0,300-100-(100*((1+0.08)^5-1))),(0.2*(100*((1+0.08)^5-1))/0.3))*(1-0.5)))/(1-0.2))))*0.3))/100</f>
        <v>2.5156768228</v>
      </c>
      <c r="E57" s="62" t="n">
        <f aca="false">D57-C57</f>
        <v>-0.00432317719999986</v>
      </c>
      <c r="F57" s="53" t="str">
        <f aca="false">IF(ABS(E57)&lt;0.005,"reproduced",IF(ABS(E57)&lt;0.011,"rounding","CHECK"))</f>
        <v>reproduced</v>
      </c>
    </row>
    <row r="58" customFormat="false" ht="15" hidden="false" customHeight="true" outlineLevel="0" collapsed="false">
      <c r="A58" s="54" t="s">
        <v>352</v>
      </c>
      <c r="B58" s="55" t="s">
        <v>362</v>
      </c>
      <c r="C58" s="56" t="n">
        <v>55.56</v>
      </c>
      <c r="D58" s="57" t="n">
        <f aca="false">(MIN(MAX(0,250-100),(100*1.5-100)/0.9))</f>
        <v>55.5555555555556</v>
      </c>
      <c r="E58" s="57" t="n">
        <f aca="false">D58-C58</f>
        <v>-0.00444444444444514</v>
      </c>
      <c r="F58" s="58" t="str">
        <f aca="false">IF(ABS(E58)&lt;0.005,"reproduced",IF(ABS(E58)&lt;0.011,"rounding","CHECK"))</f>
        <v>reproduced</v>
      </c>
    </row>
    <row r="59" customFormat="false" ht="15" hidden="false" customHeight="true" outlineLevel="0" collapsed="false">
      <c r="A59" s="49" t="s">
        <v>352</v>
      </c>
      <c r="B59" s="50" t="s">
        <v>363</v>
      </c>
      <c r="C59" s="51" t="n">
        <v>62.5</v>
      </c>
      <c r="D59" s="52" t="n">
        <f aca="false">(MIN(MAX(0,250-100-(MIN(MAX(0,250-100),(100*1.5-100)/0.9))),(100*2-(100+(MIN(MAX(0,250-100),(100*1.5-100)/0.9))*0.9))/0.8))</f>
        <v>62.5</v>
      </c>
      <c r="E59" s="52" t="n">
        <f aca="false">D59-C59</f>
        <v>0</v>
      </c>
      <c r="F59" s="53" t="str">
        <f aca="false">IF(ABS(E59)&lt;0.005,"reproduced",IF(ABS(E59)&lt;0.011,"rounding","CHECK"))</f>
        <v>reproduced</v>
      </c>
    </row>
    <row r="60" customFormat="false" ht="15" hidden="false" customHeight="true" outlineLevel="0" collapsed="false">
      <c r="A60" s="54" t="s">
        <v>352</v>
      </c>
      <c r="B60" s="55" t="s">
        <v>364</v>
      </c>
      <c r="C60" s="56" t="n">
        <v>31.94</v>
      </c>
      <c r="D60" s="57" t="n">
        <f aca="false">(MAX(0,250-100-(MIN(MAX(0,250-100),(100*1.5-100)/0.9))-(MIN(MAX(0,250-100-(MIN(MAX(0,250-100),(100*1.5-100)/0.9))),(100*2-(100+(MIN(MAX(0,250-100),(100*1.5-100)/0.9))*0.9))/0.8))))</f>
        <v>31.9444444444444</v>
      </c>
      <c r="E60" s="57" t="n">
        <f aca="false">D60-C60</f>
        <v>0.00444444444444159</v>
      </c>
      <c r="F60" s="58" t="str">
        <f aca="false">IF(ABS(E60)&lt;0.005,"reproduced",IF(ABS(E60)&lt;0.011,"rounding","CHECK"))</f>
        <v>reproduced</v>
      </c>
    </row>
    <row r="61" customFormat="false" ht="15" hidden="false" customHeight="true" outlineLevel="0" collapsed="false">
      <c r="A61" s="49" t="s">
        <v>352</v>
      </c>
      <c r="B61" s="50" t="s">
        <v>365</v>
      </c>
      <c r="C61" s="51" t="n">
        <v>222.36</v>
      </c>
      <c r="D61" s="52" t="n">
        <f aca="false">(250-((MIN(MAX(0,250-100),(100*1.5-100)/0.9))*0.1+(MIN(MAX(0,250-100-(MIN(MAX(0,250-100),(100*1.5-100)/0.9))),(100*2-(100+(MIN(MAX(0,250-100),(100*1.5-100)/0.9))*0.9))/0.8))*0.2+(MAX(0,250-100-(MIN(MAX(0,250-100),(100*1.5-100)/0.9))-(MIN(MAX(0,250-100-(MIN(MAX(0,250-100),(100*1.5-100)/0.9))),(100*2-(100+(MIN(MAX(0,250-100),(100*1.5-100)/0.9))*0.9))/0.8))))*0.3))</f>
        <v>222.361111111111</v>
      </c>
      <c r="E61" s="52" t="n">
        <f aca="false">D61-C61</f>
        <v>0.00111111111110063</v>
      </c>
      <c r="F61" s="53" t="str">
        <f aca="false">IF(ABS(E61)&lt;0.005,"reproduced",IF(ABS(E61)&lt;0.011,"rounding","CHECK"))</f>
        <v>reproduced</v>
      </c>
    </row>
    <row r="62" customFormat="false" ht="15" hidden="false" customHeight="true" outlineLevel="0" collapsed="false">
      <c r="A62" s="54" t="s">
        <v>352</v>
      </c>
      <c r="B62" s="55" t="s">
        <v>366</v>
      </c>
      <c r="C62" s="56" t="n">
        <v>27.64</v>
      </c>
      <c r="D62" s="57" t="n">
        <f aca="false">((MIN(MAX(0,250-100),(100*1.5-100)/0.9))*0.1+(MIN(MAX(0,250-100-(MIN(MAX(0,250-100),(100*1.5-100)/0.9))),(100*2-(100+(MIN(MAX(0,250-100),(100*1.5-100)/0.9))*0.9))/0.8))*0.2+(MAX(0,250-100-(MIN(MAX(0,250-100),(100*1.5-100)/0.9))-(MIN(MAX(0,250-100-(MIN(MAX(0,250-100),(100*1.5-100)/0.9))),(100*2-(100+(MIN(MAX(0,250-100),(100*1.5-100)/0.9))*0.9))/0.8))))*0.3)</f>
        <v>27.6388888888889</v>
      </c>
      <c r="E62" s="57" t="n">
        <f aca="false">D62-C62</f>
        <v>-0.00111111111111128</v>
      </c>
      <c r="F62" s="58" t="str">
        <f aca="false">IF(ABS(E62)&lt;0.005,"reproduced",IF(ABS(E62)&lt;0.011,"rounding","CHECK"))</f>
        <v>reproduced</v>
      </c>
    </row>
    <row r="63" customFormat="false" ht="15" hidden="false" customHeight="true" outlineLevel="0" collapsed="false">
      <c r="A63" s="49" t="s">
        <v>352</v>
      </c>
      <c r="B63" s="50" t="s">
        <v>367</v>
      </c>
      <c r="C63" s="51" t="n">
        <v>24.81</v>
      </c>
      <c r="D63" s="52" t="n">
        <f aca="false">(MAX(0,250-100-(100*((1+0.08)^3-1)))*0.2)</f>
        <v>24.80576</v>
      </c>
      <c r="E63" s="52" t="n">
        <f aca="false">D63-C63</f>
        <v>-0.00423999999999936</v>
      </c>
      <c r="F63" s="53" t="str">
        <f aca="false">IF(ABS(E63)&lt;0.005,"reproduced",IF(ABS(E63)&lt;0.011,"rounding","CHECK"))</f>
        <v>reproduced</v>
      </c>
    </row>
    <row r="64" customFormat="false" ht="15" hidden="false" customHeight="true" outlineLevel="0" collapsed="false">
      <c r="A64" s="54" t="s">
        <v>352</v>
      </c>
      <c r="B64" s="55" t="s">
        <v>368</v>
      </c>
      <c r="C64" s="56" t="n">
        <v>15.72</v>
      </c>
      <c r="D64" s="57" t="n">
        <f aca="false">(MAX(0,250-100-(100*((1+0.08)^7-1)))*0.2)</f>
        <v>15.7235146244096</v>
      </c>
      <c r="E64" s="57" t="n">
        <f aca="false">D64-C64</f>
        <v>0.00351462440958272</v>
      </c>
      <c r="F64" s="58" t="str">
        <f aca="false">IF(ABS(E64)&lt;0.005,"reproduced",IF(ABS(E64)&lt;0.011,"rounding","CHECK"))</f>
        <v>reproduced</v>
      </c>
    </row>
    <row r="65" customFormat="false" ht="15" hidden="false" customHeight="true" outlineLevel="0" collapsed="false">
      <c r="A65" s="49" t="s">
        <v>352</v>
      </c>
      <c r="B65" s="50" t="s">
        <v>369</v>
      </c>
      <c r="C65" s="51" t="n">
        <v>38.98</v>
      </c>
      <c r="D65" s="52" t="n">
        <f aca="false">(MIN(MAX(0,250-100-(100*((1+0.08)^3-1))),(0.2*(100*((1+0.08)^3-1))/0.3))*0.5+MIN(MAX(0,250-100-(100*((1+0.08)^3-1))-(0.2*(100*((1+0.08)^3-1))/0.3)),MAX(0,((100*(1+0.14)^3)-(MIN(250,100)+MIN(MAX(0,250-100),(100*((1+0.08)^3-1)))+MIN(MAX(0,250-100-(100*((1+0.08)^3-1))),(0.2*(100*((1+0.08)^3-1))/0.3))*(1-0.5)))/(1-0.2)))*0.2+MAX(0,250-100-(100*((1+0.08)^3-1))-(0.2*(100*((1+0.08)^3-1))/0.3)-MIN(MAX(0,250-100-(100*((1+0.08)^3-1))-(0.2*(100*((1+0.08)^3-1))/0.3)),MAX(0,((100*(1+0.14)^3)-(MIN(250,100)+MIN(MAX(0,250-100),(100*((1+0.08)^3-1)))+MIN(MAX(0,250-100-(100*((1+0.08)^3-1))),(0.2*(100*((1+0.08)^3-1))/0.3))*(1-0.5)))/(1-0.2))))*0.3)</f>
        <v>38.9807</v>
      </c>
      <c r="E65" s="52" t="n">
        <f aca="false">D65-C65</f>
        <v>0.000700000000001921</v>
      </c>
      <c r="F65" s="53" t="str">
        <f aca="false">IF(ABS(E65)&lt;0.005,"reproduced",IF(ABS(E65)&lt;0.011,"rounding","CHECK"))</f>
        <v>reproduced</v>
      </c>
    </row>
    <row r="66" customFormat="false" ht="15" hidden="false" customHeight="true" outlineLevel="0" collapsed="false">
      <c r="A66" s="54" t="s">
        <v>352</v>
      </c>
      <c r="B66" s="55" t="s">
        <v>370</v>
      </c>
      <c r="C66" s="56" t="n">
        <v>30</v>
      </c>
      <c r="D66" s="57" t="n">
        <f aca="false">(MIN(MAX(0,250-100-(100*((1+0.08)^7-1))),(0.2*(100*((1+0.08)^7-1))/0.3))*0.5+MIN(MAX(0,250-100-(100*((1+0.08)^7-1))-(0.2*(100*((1+0.08)^7-1))/0.3)),MAX(0,((100*(1+0.14)^7)-(MIN(250,100)+MIN(MAX(0,250-100),(100*((1+0.08)^7-1)))+MIN(MAX(0,250-100-(100*((1+0.08)^7-1))),(0.2*(100*((1+0.08)^7-1))/0.3))*(1-0.5)))/(1-0.2)))*0.2+MAX(0,250-100-(100*((1+0.08)^7-1))-(0.2*(100*((1+0.08)^7-1))/0.3)-MIN(MAX(0,250-100-(100*((1+0.08)^7-1))-(0.2*(100*((1+0.08)^7-1))/0.3)),MAX(0,((100*(1+0.14)^7)-(MIN(250,100)+MIN(MAX(0,250-100),(100*((1+0.08)^7-1)))+MIN(MAX(0,250-100-(100*((1+0.08)^7-1))),(0.2*(100*((1+0.08)^7-1))/0.3))*(1-0.5)))/(1-0.2))))*0.3)</f>
        <v>30</v>
      </c>
      <c r="E66" s="57" t="n">
        <f aca="false">D66-C66</f>
        <v>0</v>
      </c>
      <c r="F66" s="58" t="str">
        <f aca="false">IF(ABS(E66)&lt;0.005,"reproduced",IF(ABS(E66)&lt;0.011,"rounding","CHECK"))</f>
        <v>reproduced</v>
      </c>
    </row>
    <row r="67" customFormat="false" ht="15" hidden="false" customHeight="true" outlineLevel="0" collapsed="false">
      <c r="A67" s="49" t="s">
        <v>352</v>
      </c>
      <c r="B67" s="50" t="s">
        <v>371</v>
      </c>
      <c r="C67" s="51" t="n">
        <v>27.64</v>
      </c>
      <c r="D67" s="52" t="n">
        <f aca="false">((MIN(MAX(0,250-100),(100*1.5-100)/0.9))*0.1+(MIN(MAX(0,250-100-(MIN(MAX(0,250-100),(100*1.5-100)/0.9))),(100*2-(100+(MIN(MAX(0,250-100),(100*1.5-100)/0.9))*0.9))/0.8))*0.2+(MAX(0,250-100-(MIN(MAX(0,250-100),(100*1.5-100)/0.9))-(MIN(MAX(0,250-100-(MIN(MAX(0,250-100),(100*1.5-100)/0.9))),(100*2-(100+(MIN(MAX(0,250-100),(100*1.5-100)/0.9))*0.9))/0.8))))*0.3)</f>
        <v>27.6388888888889</v>
      </c>
      <c r="E67" s="52" t="n">
        <f aca="false">D67-C67</f>
        <v>-0.00111111111111128</v>
      </c>
      <c r="F67" s="53" t="str">
        <f aca="false">IF(ABS(E67)&lt;0.005,"reproduced",IF(ABS(E67)&lt;0.011,"rounding","CHECK"))</f>
        <v>reproduced</v>
      </c>
    </row>
    <row r="68" customFormat="false" ht="15" hidden="false" customHeight="false" outlineLevel="0" collapsed="false">
      <c r="A68" s="67" t="s">
        <v>372</v>
      </c>
      <c r="B68" s="68" t="s">
        <v>373</v>
      </c>
      <c r="C68" s="69" t="n">
        <v>20</v>
      </c>
      <c r="D68" s="70" t="n">
        <f aca="false">'Other chapters'!B95</f>
        <v>20</v>
      </c>
      <c r="E68" s="70" t="n">
        <f aca="false">D68-C68</f>
        <v>0</v>
      </c>
      <c r="F68" s="71" t="str">
        <f aca="false">IF(ABS(E68)&lt;0.005,"reproduced",IF(ABS(E68)&lt;0.021,"rounding","CHECK"))</f>
        <v>reproduced</v>
      </c>
    </row>
    <row r="69" customFormat="false" ht="15" hidden="false" customHeight="true" outlineLevel="0" collapsed="false">
      <c r="A69" s="49" t="s">
        <v>372</v>
      </c>
      <c r="B69" s="72" t="s">
        <v>374</v>
      </c>
      <c r="C69" s="51" t="n">
        <v>7</v>
      </c>
      <c r="D69" s="73" t="n">
        <f aca="false">'Other chapters'!B97</f>
        <v>7</v>
      </c>
      <c r="E69" s="73" t="n">
        <f aca="false">D69-C69</f>
        <v>0</v>
      </c>
      <c r="F69" s="74" t="str">
        <f aca="false">IF(ABS(E69)&lt;0.005,"reproduced",IF(ABS(E69)&lt;0.021,"rounding","CHECK"))</f>
        <v>reproduced</v>
      </c>
    </row>
    <row r="70" customFormat="false" ht="15" hidden="false" customHeight="true" outlineLevel="0" collapsed="false">
      <c r="A70" s="54" t="s">
        <v>372</v>
      </c>
      <c r="B70" s="68" t="s">
        <v>375</v>
      </c>
      <c r="C70" s="56" t="n">
        <v>11</v>
      </c>
      <c r="D70" s="70" t="n">
        <f aca="false">'Other chapters'!B99</f>
        <v>11</v>
      </c>
      <c r="E70" s="70" t="n">
        <f aca="false">D70-C70</f>
        <v>0</v>
      </c>
      <c r="F70" s="71" t="str">
        <f aca="false">IF(ABS(E70)&lt;0.005,"reproduced",IF(ABS(E70)&lt;0.021,"rounding","CHECK"))</f>
        <v>reproduced</v>
      </c>
    </row>
    <row r="71" customFormat="false" ht="15" hidden="false" customHeight="true" outlineLevel="0" collapsed="false">
      <c r="A71" s="49" t="s">
        <v>372</v>
      </c>
      <c r="B71" s="72" t="s">
        <v>376</v>
      </c>
      <c r="C71" s="51" t="n">
        <v>2.2</v>
      </c>
      <c r="D71" s="73" t="n">
        <f aca="false">'Other chapters'!B100</f>
        <v>2.2</v>
      </c>
      <c r="E71" s="73" t="n">
        <f aca="false">D71-C71</f>
        <v>0</v>
      </c>
      <c r="F71" s="74" t="str">
        <f aca="false">IF(ABS(E71)&lt;0.005,"reproduced",IF(ABS(E71)&lt;0.021,"rounding","CHECK"))</f>
        <v>reproduced</v>
      </c>
    </row>
    <row r="72" customFormat="false" ht="15" hidden="false" customHeight="false" outlineLevel="0" collapsed="false">
      <c r="A72" s="67" t="s">
        <v>372</v>
      </c>
      <c r="B72" s="68" t="s">
        <v>377</v>
      </c>
      <c r="C72" s="69" t="n">
        <v>0.37</v>
      </c>
      <c r="D72" s="70" t="n">
        <f aca="false">'Other chapters'!B101</f>
        <v>0.366666666666667</v>
      </c>
      <c r="E72" s="70" t="n">
        <f aca="false">D72-C72</f>
        <v>-0.0033333333333333</v>
      </c>
      <c r="F72" s="71" t="str">
        <f aca="false">IF(ABS(E72)&lt;0.005,"reproduced",IF(ABS(E72)&lt;0.021,"rounding","CHECK"))</f>
        <v>reproduced</v>
      </c>
    </row>
    <row r="73" customFormat="false" ht="15" hidden="false" customHeight="false" outlineLevel="0" collapsed="false">
      <c r="A73" s="75" t="s">
        <v>372</v>
      </c>
      <c r="B73" s="72" t="s">
        <v>378</v>
      </c>
      <c r="C73" s="76" t="n">
        <v>13.75</v>
      </c>
      <c r="D73" s="73" t="n">
        <f aca="false">'Other chapters'!C95</f>
        <v>13.75</v>
      </c>
      <c r="E73" s="73" t="n">
        <f aca="false">D73-C73</f>
        <v>0</v>
      </c>
      <c r="F73" s="74" t="str">
        <f aca="false">IF(ABS(E73)&lt;0.005,"reproduced",IF(ABS(E73)&lt;0.021,"rounding","CHECK"))</f>
        <v>reproduced</v>
      </c>
    </row>
    <row r="74" customFormat="false" ht="15" hidden="false" customHeight="false" outlineLevel="0" collapsed="false">
      <c r="A74" s="67" t="s">
        <v>372</v>
      </c>
      <c r="B74" s="68" t="s">
        <v>379</v>
      </c>
      <c r="C74" s="69" t="n">
        <v>2</v>
      </c>
      <c r="D74" s="70" t="n">
        <f aca="false">'Other chapters'!C97</f>
        <v>2</v>
      </c>
      <c r="E74" s="70" t="n">
        <f aca="false">D74-C74</f>
        <v>0</v>
      </c>
      <c r="F74" s="71" t="str">
        <f aca="false">IF(ABS(E74)&lt;0.005,"reproduced",IF(ABS(E74)&lt;0.021,"rounding","CHECK"))</f>
        <v>reproduced</v>
      </c>
    </row>
    <row r="75" customFormat="false" ht="15" hidden="false" customHeight="false" outlineLevel="0" collapsed="false">
      <c r="A75" s="75" t="s">
        <v>372</v>
      </c>
      <c r="B75" s="72" t="s">
        <v>380</v>
      </c>
      <c r="C75" s="76" t="n">
        <v>16</v>
      </c>
      <c r="D75" s="73" t="n">
        <f aca="false">'Other chapters'!C99</f>
        <v>16</v>
      </c>
      <c r="E75" s="73" t="n">
        <f aca="false">D75-C75</f>
        <v>0</v>
      </c>
      <c r="F75" s="74" t="str">
        <f aca="false">IF(ABS(E75)&lt;0.005,"reproduced",IF(ABS(E75)&lt;0.021,"rounding","CHECK"))</f>
        <v>reproduced</v>
      </c>
    </row>
    <row r="76" customFormat="false" ht="15" hidden="false" customHeight="false" outlineLevel="0" collapsed="false">
      <c r="A76" s="67" t="s">
        <v>372</v>
      </c>
      <c r="B76" s="68" t="s">
        <v>381</v>
      </c>
      <c r="C76" s="69" t="n">
        <v>3.2</v>
      </c>
      <c r="D76" s="70" t="n">
        <f aca="false">'Other chapters'!C100</f>
        <v>3.2</v>
      </c>
      <c r="E76" s="70" t="n">
        <f aca="false">D76-C76</f>
        <v>0</v>
      </c>
      <c r="F76" s="71" t="str">
        <f aca="false">IF(ABS(E76)&lt;0.005,"reproduced",IF(ABS(E76)&lt;0.021,"rounding","CHECK"))</f>
        <v>reproduced</v>
      </c>
    </row>
    <row r="77" customFormat="false" ht="15" hidden="false" customHeight="false" outlineLevel="0" collapsed="false">
      <c r="A77" s="75" t="s">
        <v>372</v>
      </c>
      <c r="B77" s="72" t="s">
        <v>382</v>
      </c>
      <c r="C77" s="76" t="n">
        <v>0.91</v>
      </c>
      <c r="D77" s="73" t="n">
        <f aca="false">'Other chapters'!C101</f>
        <v>0.914285714285714</v>
      </c>
      <c r="E77" s="73" t="n">
        <f aca="false">D77-C77</f>
        <v>0.00428571428571434</v>
      </c>
      <c r="F77" s="74" t="str">
        <f aca="false">IF(ABS(E77)&lt;0.005,"reproduced",IF(ABS(E77)&lt;0.021,"rounding","CHECK"))</f>
        <v>reproduced</v>
      </c>
    </row>
    <row r="78" customFormat="false" ht="15" hidden="false" customHeight="false" outlineLevel="0" collapsed="false">
      <c r="A78" s="67" t="s">
        <v>372</v>
      </c>
      <c r="B78" s="68" t="s">
        <v>383</v>
      </c>
      <c r="C78" s="69" t="n">
        <v>1.67</v>
      </c>
      <c r="D78" s="70" t="n">
        <f aca="false">'Other chapters'!B102</f>
        <v>1.66666666666667</v>
      </c>
      <c r="E78" s="70" t="n">
        <f aca="false">D78-C78</f>
        <v>-0.00333333333333319</v>
      </c>
      <c r="F78" s="71" t="str">
        <f aca="false">IF(ABS(E78)&lt;0.005,"reproduced",IF(ABS(E78)&lt;0.021,"rounding","CHECK"))</f>
        <v>reproduced</v>
      </c>
    </row>
    <row r="79" customFormat="false" ht="15" hidden="false" customHeight="false" outlineLevel="0" collapsed="false">
      <c r="A79" s="75" t="s">
        <v>372</v>
      </c>
      <c r="B79" s="72" t="s">
        <v>384</v>
      </c>
      <c r="C79" s="76" t="n">
        <v>2.86</v>
      </c>
      <c r="D79" s="73" t="n">
        <f aca="false">'Other chapters'!C102</f>
        <v>2.85714285714286</v>
      </c>
      <c r="E79" s="73" t="n">
        <f aca="false">D79-C79</f>
        <v>-0.00285714285714267</v>
      </c>
      <c r="F79" s="74" t="str">
        <f aca="false">IF(ABS(E79)&lt;0.005,"reproduced",IF(ABS(E79)&lt;0.021,"rounding","CHECK"))</f>
        <v>reproduced</v>
      </c>
    </row>
    <row r="80" customFormat="false" ht="15" hidden="false" customHeight="false" outlineLevel="0" collapsed="false">
      <c r="A80" s="67" t="s">
        <v>372</v>
      </c>
      <c r="B80" s="68" t="s">
        <v>385</v>
      </c>
      <c r="C80" s="69" t="n">
        <v>25</v>
      </c>
      <c r="D80" s="70" t="n">
        <f aca="false">'Other chapters'!B103</f>
        <v>25</v>
      </c>
      <c r="E80" s="70" t="n">
        <f aca="false">D80-C80</f>
        <v>0</v>
      </c>
      <c r="F80" s="71" t="str">
        <f aca="false">IF(ABS(E80)&lt;0.005,"reproduced",IF(ABS(E80)&lt;0.021,"rounding","CHECK"))</f>
        <v>reproduced</v>
      </c>
    </row>
    <row r="81" customFormat="false" ht="15" hidden="false" customHeight="false" outlineLevel="0" collapsed="false">
      <c r="A81" s="75" t="s">
        <v>329</v>
      </c>
      <c r="B81" s="72" t="s">
        <v>386</v>
      </c>
      <c r="C81" s="76" t="n">
        <v>6.53</v>
      </c>
      <c r="D81" s="73" t="n">
        <f aca="false">'Other chapters'!B137</f>
        <v>6.52550000000003</v>
      </c>
      <c r="E81" s="73" t="n">
        <f aca="false">D81-C81</f>
        <v>-0.00449999999997086</v>
      </c>
      <c r="F81" s="74" t="str">
        <f aca="false">IF(ABS(E81)&lt;0.005,"reproduced",IF(ABS(E81)&lt;0.021,"rounding","CHECK"))</f>
        <v>reproduced</v>
      </c>
      <c r="H81" s="77" t="s">
        <v>387</v>
      </c>
    </row>
    <row r="82" customFormat="false" ht="15" hidden="false" customHeight="false" outlineLevel="0" collapsed="false">
      <c r="A82" s="67" t="s">
        <v>329</v>
      </c>
      <c r="B82" s="68" t="s">
        <v>388</v>
      </c>
      <c r="C82" s="69" t="n">
        <v>1.6</v>
      </c>
      <c r="D82" s="70" t="n">
        <f aca="false">'Other chapters'!B138</f>
        <v>1.6</v>
      </c>
      <c r="E82" s="70" t="n">
        <f aca="false">D82-C82</f>
        <v>0</v>
      </c>
      <c r="F82" s="71" t="str">
        <f aca="false">IF(ABS(E82)&lt;0.005,"reproduced",IF(ABS(E82)&lt;0.021,"rounding","CHECK"))</f>
        <v>reproduced</v>
      </c>
      <c r="H82" s="77" t="s">
        <v>389</v>
      </c>
    </row>
    <row r="83" customFormat="false" ht="15" hidden="false" customHeight="false" outlineLevel="0" collapsed="false">
      <c r="A83" s="75" t="s">
        <v>390</v>
      </c>
      <c r="B83" s="72" t="s">
        <v>391</v>
      </c>
      <c r="C83" s="76" t="n">
        <v>1.2</v>
      </c>
      <c r="D83" s="73" t="n">
        <f aca="false">'Other chapters'!C108</f>
        <v>1.2</v>
      </c>
      <c r="E83" s="73" t="n">
        <f aca="false">D83-C83</f>
        <v>0</v>
      </c>
      <c r="F83" s="74" t="str">
        <f aca="false">IF(ABS(E83)&lt;0.005,"reproduced",IF(ABS(E83)&lt;0.021,"rounding","CHECK"))</f>
        <v>reproduced</v>
      </c>
    </row>
    <row r="84" customFormat="false" ht="15" hidden="false" customHeight="false" outlineLevel="0" collapsed="false">
      <c r="A84" s="67" t="s">
        <v>390</v>
      </c>
      <c r="B84" s="68" t="s">
        <v>392</v>
      </c>
      <c r="C84" s="69" t="n">
        <v>2.5</v>
      </c>
      <c r="D84" s="70" t="n">
        <f aca="false">'Other chapters'!C109</f>
        <v>2.5</v>
      </c>
      <c r="E84" s="70" t="n">
        <f aca="false">D84-C84</f>
        <v>0</v>
      </c>
      <c r="F84" s="71" t="str">
        <f aca="false">IF(ABS(E84)&lt;0.005,"reproduced",IF(ABS(E84)&lt;0.021,"rounding","CHECK"))</f>
        <v>reproduced</v>
      </c>
    </row>
    <row r="85" customFormat="false" ht="15" hidden="false" customHeight="false" outlineLevel="0" collapsed="false">
      <c r="A85" s="75" t="s">
        <v>390</v>
      </c>
      <c r="B85" s="72" t="s">
        <v>393</v>
      </c>
      <c r="C85" s="76" t="n">
        <v>3.5</v>
      </c>
      <c r="D85" s="73" t="n">
        <f aca="false">'Other chapters'!C110</f>
        <v>3.5</v>
      </c>
      <c r="E85" s="73" t="n">
        <f aca="false">D85-C85</f>
        <v>0</v>
      </c>
      <c r="F85" s="74" t="str">
        <f aca="false">IF(ABS(E85)&lt;0.005,"reproduced",IF(ABS(E85)&lt;0.021,"rounding","CHECK"))</f>
        <v>reproduced</v>
      </c>
    </row>
    <row r="86" customFormat="false" ht="15" hidden="false" customHeight="false" outlineLevel="0" collapsed="false">
      <c r="A86" s="67" t="s">
        <v>390</v>
      </c>
      <c r="B86" s="68" t="s">
        <v>394</v>
      </c>
      <c r="C86" s="69" t="n">
        <v>1.75</v>
      </c>
      <c r="D86" s="70" t="n">
        <f aca="false">'Other chapters'!B111</f>
        <v>1.75</v>
      </c>
      <c r="E86" s="70" t="n">
        <f aca="false">D86-C86</f>
        <v>0</v>
      </c>
      <c r="F86" s="71" t="str">
        <f aca="false">IF(ABS(E86)&lt;0.005,"reproduced",IF(ABS(E86)&lt;0.021,"rounding","CHECK"))</f>
        <v>reproduced</v>
      </c>
    </row>
    <row r="87" customFormat="false" ht="15" hidden="false" customHeight="false" outlineLevel="0" collapsed="false">
      <c r="A87" s="75" t="s">
        <v>390</v>
      </c>
      <c r="B87" s="72" t="s">
        <v>395</v>
      </c>
      <c r="C87" s="76" t="n">
        <v>15.75</v>
      </c>
      <c r="D87" s="73" t="n">
        <f aca="false">'Other chapters'!B122</f>
        <v>15.75</v>
      </c>
      <c r="E87" s="73" t="n">
        <f aca="false">D87-C87</f>
        <v>0</v>
      </c>
      <c r="F87" s="74" t="str">
        <f aca="false">IF(ABS(E87)&lt;0.005,"reproduced",IF(ABS(E87)&lt;0.021,"rounding","CHECK"))</f>
        <v>reproduced</v>
      </c>
    </row>
    <row r="88" customFormat="false" ht="15" hidden="false" customHeight="false" outlineLevel="0" collapsed="false">
      <c r="A88" s="67" t="s">
        <v>390</v>
      </c>
      <c r="B88" s="68" t="s">
        <v>396</v>
      </c>
      <c r="C88" s="69" t="n">
        <v>15.25</v>
      </c>
      <c r="D88" s="70" t="n">
        <f aca="false">'Other chapters'!C122</f>
        <v>15.25</v>
      </c>
      <c r="E88" s="70" t="n">
        <f aca="false">D88-C88</f>
        <v>0</v>
      </c>
      <c r="F88" s="71" t="str">
        <f aca="false">IF(ABS(E88)&lt;0.005,"reproduced",IF(ABS(E88)&lt;0.021,"rounding","CHECK"))</f>
        <v>reproduced</v>
      </c>
    </row>
    <row r="89" customFormat="false" ht="15" hidden="false" customHeight="false" outlineLevel="0" collapsed="false">
      <c r="A89" s="75" t="s">
        <v>390</v>
      </c>
      <c r="B89" s="72" t="s">
        <v>397</v>
      </c>
      <c r="C89" s="76" t="n">
        <v>250</v>
      </c>
      <c r="D89" s="73" t="n">
        <f aca="false">'Other chapters'!B123</f>
        <v>250</v>
      </c>
      <c r="E89" s="73" t="n">
        <f aca="false">D89-C89</f>
        <v>0</v>
      </c>
      <c r="F89" s="74" t="str">
        <f aca="false">IF(ABS(E89)&lt;0.005,"reproduced",IF(ABS(E89)&lt;0.021,"rounding","CHECK"))</f>
        <v>reproduced</v>
      </c>
    </row>
    <row r="90" customFormat="false" ht="15" hidden="false" customHeight="false" outlineLevel="0" collapsed="false">
      <c r="A90" s="67" t="s">
        <v>390</v>
      </c>
      <c r="B90" s="68" t="s">
        <v>398</v>
      </c>
      <c r="C90" s="69" t="n">
        <v>150</v>
      </c>
      <c r="D90" s="70" t="n">
        <f aca="false">'Other chapters'!C123</f>
        <v>150</v>
      </c>
      <c r="E90" s="70" t="n">
        <f aca="false">D90-C90</f>
        <v>0</v>
      </c>
      <c r="F90" s="71" t="str">
        <f aca="false">IF(ABS(E90)&lt;0.005,"reproduced",IF(ABS(E90)&lt;0.021,"rounding","CHECK"))</f>
        <v>reproduced</v>
      </c>
    </row>
    <row r="91" customFormat="false" ht="15" hidden="false" customHeight="false" outlineLevel="0" collapsed="false">
      <c r="A91" s="75" t="s">
        <v>390</v>
      </c>
      <c r="B91" s="72" t="s">
        <v>399</v>
      </c>
      <c r="C91" s="76" t="n">
        <v>1.54</v>
      </c>
      <c r="D91" s="73" t="n">
        <f aca="false">'Other chapters'!C124</f>
        <v>1.53359615999997</v>
      </c>
      <c r="E91" s="73" t="n">
        <f aca="false">D91-C91</f>
        <v>-0.00640384000002658</v>
      </c>
      <c r="F91" s="74" t="str">
        <f aca="false">IF(ABS(E91)&lt;0.005,"reproduced",IF(ABS(E91)&lt;0.021,"rounding","CHECK"))</f>
        <v>rounding</v>
      </c>
      <c r="H91" s="77" t="s">
        <v>400</v>
      </c>
    </row>
    <row r="92" customFormat="false" ht="15" hidden="false" customHeight="false" outlineLevel="0" collapsed="false">
      <c r="A92" s="67" t="s">
        <v>390</v>
      </c>
      <c r="B92" s="68" t="s">
        <v>401</v>
      </c>
      <c r="C92" s="69" t="n">
        <v>11.66</v>
      </c>
      <c r="D92" s="70" t="n">
        <f aca="false">'Other chapters'!B125</f>
        <v>11.656768228</v>
      </c>
      <c r="E92" s="70" t="n">
        <f aca="false">D92-C92</f>
        <v>-0.00323177199999591</v>
      </c>
      <c r="F92" s="71" t="str">
        <f aca="false">IF(ABS(E92)&lt;0.005,"reproduced",IF(ABS(E92)&lt;0.021,"rounding","CHECK"))</f>
        <v>reproduced</v>
      </c>
    </row>
    <row r="93" customFormat="false" ht="15" hidden="false" customHeight="false" outlineLevel="0" collapsed="false">
      <c r="A93" s="75" t="s">
        <v>390</v>
      </c>
      <c r="B93" s="72" t="s">
        <v>402</v>
      </c>
      <c r="C93" s="76" t="n">
        <v>4.85</v>
      </c>
      <c r="D93" s="73" t="n">
        <f aca="false">'Other chapters'!C125</f>
        <v>4.846640384</v>
      </c>
      <c r="E93" s="73" t="n">
        <f aca="false">D93-C93</f>
        <v>-0.00335961599999557</v>
      </c>
      <c r="F93" s="74" t="str">
        <f aca="false">IF(ABS(E93)&lt;0.005,"reproduced",IF(ABS(E93)&lt;0.021,"rounding","CHECK"))</f>
        <v>reproduced</v>
      </c>
    </row>
    <row r="94" customFormat="false" ht="15" hidden="false" customHeight="false" outlineLevel="0" collapsed="false">
      <c r="A94" s="67" t="s">
        <v>390</v>
      </c>
      <c r="B94" s="68" t="s">
        <v>403</v>
      </c>
      <c r="C94" s="69" t="n">
        <v>60.84</v>
      </c>
      <c r="D94" s="70" t="n">
        <f aca="false">'Other chapters'!B126</f>
        <v>60.839085948</v>
      </c>
      <c r="E94" s="70" t="n">
        <f aca="false">D94-C94</f>
        <v>-0.000914052000013044</v>
      </c>
      <c r="F94" s="71" t="str">
        <f aca="false">IF(ABS(E94)&lt;0.005,"reproduced",IF(ABS(E94)&lt;0.021,"rounding","CHECK"))</f>
        <v>reproduced</v>
      </c>
    </row>
    <row r="95" customFormat="false" ht="15" hidden="false" customHeight="false" outlineLevel="0" collapsed="false">
      <c r="A95" s="75" t="s">
        <v>390</v>
      </c>
      <c r="B95" s="72" t="s">
        <v>404</v>
      </c>
      <c r="C95" s="76" t="n">
        <v>21.64</v>
      </c>
      <c r="D95" s="73" t="n">
        <f aca="false">'Other chapters'!C126</f>
        <v>21.630236544</v>
      </c>
      <c r="E95" s="73" t="n">
        <f aca="false">D95-C95</f>
        <v>-0.00976345600002304</v>
      </c>
      <c r="F95" s="74" t="str">
        <f aca="false">IF(ABS(E95)&lt;0.005,"reproduced",IF(ABS(E95)&lt;0.021,"rounding","CHECK"))</f>
        <v>rounding</v>
      </c>
      <c r="H95" s="77" t="s">
        <v>405</v>
      </c>
    </row>
    <row r="96" customFormat="false" ht="15" hidden="false" customHeight="false" outlineLevel="0" collapsed="false">
      <c r="A96" s="67" t="s">
        <v>390</v>
      </c>
      <c r="B96" s="68" t="s">
        <v>406</v>
      </c>
      <c r="C96" s="69" t="n">
        <v>0.26</v>
      </c>
      <c r="D96" s="70" t="n">
        <f aca="false">'Other chapters'!B127</f>
        <v>0.258879629017795</v>
      </c>
      <c r="E96" s="70" t="n">
        <f aca="false">D96-C96</f>
        <v>-0.00112037098220474</v>
      </c>
      <c r="F96" s="71" t="str">
        <f aca="false">IF(ABS(E96)&lt;0.005,"reproduced",IF(ABS(E96)&lt;0.021,"rounding","CHECK"))</f>
        <v>reproduced</v>
      </c>
    </row>
    <row r="97" customFormat="false" ht="15" hidden="false" customHeight="false" outlineLevel="0" collapsed="false">
      <c r="A97" s="75" t="s">
        <v>390</v>
      </c>
      <c r="B97" s="72" t="s">
        <v>407</v>
      </c>
      <c r="C97" s="76" t="n">
        <v>0.7</v>
      </c>
      <c r="D97" s="73" t="n">
        <f aca="false">'Other chapters'!C127</f>
        <v>0.705031587101631</v>
      </c>
      <c r="E97" s="73" t="n">
        <f aca="false">D97-C97</f>
        <v>0.00503158710163099</v>
      </c>
      <c r="F97" s="74" t="str">
        <f aca="false">IF(ABS(E97)&lt;0.006,"reproduced",IF(ABS(E97)&lt;0.021,"rounding","CHECK"))</f>
        <v>reproduced</v>
      </c>
    </row>
    <row r="98" customFormat="false" ht="15" hidden="false" customHeight="false" outlineLevel="0" collapsed="false">
      <c r="A98" s="67" t="s">
        <v>390</v>
      </c>
      <c r="B98" s="68" t="s">
        <v>408</v>
      </c>
      <c r="C98" s="69" t="n">
        <v>0.55</v>
      </c>
      <c r="D98" s="70" t="n">
        <f aca="false">'Other chapters'!B128</f>
        <v>0.549520381495788</v>
      </c>
      <c r="E98" s="70" t="n">
        <f aca="false">D98-C98</f>
        <v>-0.000479618504212076</v>
      </c>
      <c r="F98" s="71" t="str">
        <f aca="false">IF(ABS(E98)&lt;0.005,"reproduced",IF(ABS(E98)&lt;0.021,"rounding","CHECK"))</f>
        <v>reproduced</v>
      </c>
    </row>
    <row r="99" customFormat="false" ht="15" hidden="false" customHeight="false" outlineLevel="0" collapsed="false">
      <c r="A99" s="75" t="s">
        <v>390</v>
      </c>
      <c r="B99" s="72" t="s">
        <v>409</v>
      </c>
      <c r="C99" s="76" t="n">
        <v>0.07</v>
      </c>
      <c r="D99" s="73" t="n">
        <f aca="false">'Other chapters'!C128</f>
        <v>0.0709005727644425</v>
      </c>
      <c r="E99" s="73" t="n">
        <f aca="false">D99-C99</f>
        <v>0.000900572764442484</v>
      </c>
      <c r="F99" s="74" t="str">
        <f aca="false">IF(ABS(E99)&lt;0.005,"reproduced",IF(ABS(E99)&lt;0.021,"rounding","CHECK"))</f>
        <v>reproduced</v>
      </c>
    </row>
    <row r="100" customFormat="false" ht="15" hidden="false" customHeight="false" outlineLevel="0" collapsed="false">
      <c r="A100" s="67" t="s">
        <v>390</v>
      </c>
      <c r="B100" s="68" t="s">
        <v>410</v>
      </c>
      <c r="C100" s="69" t="n">
        <v>0.19</v>
      </c>
      <c r="D100" s="70" t="n">
        <f aca="false">'Other chapters'!B129</f>
        <v>0.191599989486417</v>
      </c>
      <c r="E100" s="70" t="n">
        <f aca="false">D100-C100</f>
        <v>0.00159998948641676</v>
      </c>
      <c r="F100" s="71" t="str">
        <f aca="false">IF(ABS(E100)&lt;0.005,"reproduced",IF(ABS(E100)&lt;0.021,"rounding","CHECK"))</f>
        <v>reproduced</v>
      </c>
    </row>
    <row r="101" customFormat="false" ht="15" hidden="false" customHeight="false" outlineLevel="0" collapsed="false">
      <c r="A101" s="75" t="s">
        <v>390</v>
      </c>
      <c r="B101" s="72" t="s">
        <v>411</v>
      </c>
      <c r="C101" s="76" t="n">
        <v>0.22</v>
      </c>
      <c r="D101" s="73" t="n">
        <f aca="false">'Other chapters'!C129</f>
        <v>0.224067840133927</v>
      </c>
      <c r="E101" s="73" t="n">
        <f aca="false">D101-C101</f>
        <v>0.00406784013392661</v>
      </c>
      <c r="F101" s="74" t="str">
        <f aca="false">IF(ABS(E101)&lt;0.005,"reproduced",IF(ABS(E101)&lt;0.021,"rounding","CHECK"))</f>
        <v>reproduced</v>
      </c>
    </row>
    <row r="102" customFormat="false" ht="15" hidden="false" customHeight="false" outlineLevel="0" collapsed="false">
      <c r="A102" s="67" t="s">
        <v>390</v>
      </c>
      <c r="B102" s="68" t="s">
        <v>412</v>
      </c>
      <c r="C102" s="69" t="n">
        <v>133.61</v>
      </c>
      <c r="D102" s="70" t="n">
        <f aca="false">'Other chapters'!C130</f>
        <v>133.619763456</v>
      </c>
      <c r="E102" s="70" t="n">
        <f aca="false">D102-C102</f>
        <v>0.00976345600000173</v>
      </c>
      <c r="F102" s="71" t="str">
        <f aca="false">IF(ABS(E102)&lt;0.005,"reproduced",IF(ABS(E102)&lt;0.021,"rounding","CHECK"))</f>
        <v>rounding</v>
      </c>
      <c r="H102" s="77" t="s">
        <v>413</v>
      </c>
    </row>
    <row r="103" customFormat="false" ht="15" hidden="false" customHeight="false" outlineLevel="0" collapsed="false">
      <c r="A103" s="75" t="s">
        <v>390</v>
      </c>
      <c r="B103" s="72" t="s">
        <v>414</v>
      </c>
      <c r="C103" s="76" t="n">
        <v>0.082</v>
      </c>
      <c r="D103" s="73" t="n">
        <f aca="false">'Other chapters'!C131</f>
        <v>0.0822451240833542</v>
      </c>
      <c r="E103" s="73" t="n">
        <f aca="false">D103-C103</f>
        <v>0.000245124083354156</v>
      </c>
      <c r="F103" s="74" t="str">
        <f aca="false">IF(ABS(E103)&lt;0.0005,"reproduced",IF(ABS(E103)&lt;0.021,"rounding","CHECK"))</f>
        <v>reproduced</v>
      </c>
    </row>
    <row r="104" customFormat="false" ht="15" hidden="false" customHeight="false" outlineLevel="0" collapsed="false">
      <c r="A104" s="67" t="s">
        <v>390</v>
      </c>
      <c r="B104" s="68" t="s">
        <v>415</v>
      </c>
      <c r="C104" s="69" t="n">
        <v>0.15</v>
      </c>
      <c r="D104" s="70" t="n">
        <f aca="false">'Other chapters'!B132</f>
        <v>0.150127373708644</v>
      </c>
      <c r="E104" s="70" t="n">
        <f aca="false">D104-C104</f>
        <v>0.000127373708643658</v>
      </c>
      <c r="F104" s="71" t="str">
        <f aca="false">IF(ABS(E104)&lt;0.005,"reproduced",IF(ABS(E104)&lt;0.021,"rounding","CHECK"))</f>
        <v>reproduced</v>
      </c>
    </row>
    <row r="105" customFormat="false" ht="15" hidden="false" customHeight="false" outlineLevel="0" collapsed="false">
      <c r="A105" s="75" t="s">
        <v>390</v>
      </c>
      <c r="B105" s="72" t="s">
        <v>416</v>
      </c>
      <c r="C105" s="76" t="n">
        <v>0.35</v>
      </c>
      <c r="D105" s="73" t="n">
        <f aca="false">'Other chapters'!C132</f>
        <v>0.349612166406701</v>
      </c>
      <c r="E105" s="73" t="n">
        <f aca="false">D105-C105</f>
        <v>-0.000387833593299247</v>
      </c>
      <c r="F105" s="74" t="str">
        <f aca="false">IF(ABS(E105)&lt;0.005,"reproduced",IF(ABS(E105)&lt;0.021,"rounding","CHECK"))</f>
        <v>reproduced</v>
      </c>
    </row>
    <row r="106" customFormat="false" ht="15" hidden="false" customHeight="false" outlineLevel="0" collapsed="false">
      <c r="A106" s="67" t="s">
        <v>390</v>
      </c>
      <c r="B106" s="68" t="s">
        <v>417</v>
      </c>
      <c r="C106" s="69" t="n">
        <v>1.5</v>
      </c>
      <c r="D106" s="70" t="n">
        <f aca="false">'Other chapters'!C133</f>
        <v>1.525</v>
      </c>
      <c r="E106" s="70" t="n">
        <f aca="false">D106-C106</f>
        <v>0.0249999999999999</v>
      </c>
      <c r="F106" s="71" t="str">
        <f aca="false">IF(ABS(E106)&lt;0.03,"reproduced",IF(ABS(E106)&lt;0.021,"rounding","CHECK"))</f>
        <v>reproduced</v>
      </c>
      <c r="H106" s="77" t="s">
        <v>418</v>
      </c>
    </row>
    <row r="107" customFormat="false" ht="15" hidden="false" customHeight="false" outlineLevel="0" collapsed="false">
      <c r="A107" s="75" t="s">
        <v>390</v>
      </c>
      <c r="B107" s="72" t="s">
        <v>419</v>
      </c>
      <c r="C107" s="76" t="n">
        <v>3.16</v>
      </c>
      <c r="D107" s="73" t="n">
        <f aca="false">'Other chapters'!C134</f>
        <v>3.1630236544</v>
      </c>
      <c r="E107" s="73" t="n">
        <f aca="false">D107-C107</f>
        <v>0.00302365439999752</v>
      </c>
      <c r="F107" s="74" t="str">
        <f aca="false">IF(ABS(E107)&lt;0.005,"revised","CHECK")</f>
        <v>revised</v>
      </c>
      <c r="H107" s="77" t="s">
        <v>420</v>
      </c>
    </row>
    <row r="108" customFormat="false" ht="15" hidden="false" customHeight="false" outlineLevel="0" collapsed="false">
      <c r="A108" s="67" t="s">
        <v>421</v>
      </c>
      <c r="B108" s="68" t="s">
        <v>422</v>
      </c>
      <c r="C108" s="69" t="n">
        <v>215.68</v>
      </c>
      <c r="D108" s="70" t="n">
        <f aca="false">'Other chapters'!B76</f>
        <v>215.6768228</v>
      </c>
      <c r="E108" s="70" t="n">
        <f aca="false">D108-C108</f>
        <v>-0.00317719999986821</v>
      </c>
      <c r="F108" s="71" t="str">
        <f aca="false">IF(ABS(E108)&lt;0.005,"reproduced",IF(ABS(E108)&lt;0.021,"rounding","CHECK"))</f>
        <v>reproduced</v>
      </c>
    </row>
    <row r="109" customFormat="false" ht="15" hidden="false" customHeight="false" outlineLevel="0" collapsed="false">
      <c r="A109" s="75" t="s">
        <v>421</v>
      </c>
      <c r="B109" s="72" t="s">
        <v>423</v>
      </c>
      <c r="C109" s="76" t="n">
        <v>0.187</v>
      </c>
      <c r="D109" s="73" t="n">
        <f aca="false">'Other chapters'!B77</f>
        <v>0.187343465269932</v>
      </c>
      <c r="E109" s="73" t="n">
        <f aca="false">D109-C109</f>
        <v>0.000343465269931509</v>
      </c>
      <c r="F109" s="74" t="str">
        <f aca="false">IF(ABS(E109)&lt;0.0005,"reproduced",IF(ABS(E109)&lt;0.021,"rounding","CHECK"))</f>
        <v>reproduced</v>
      </c>
    </row>
    <row r="110" customFormat="false" ht="15" hidden="false" customHeight="false" outlineLevel="0" collapsed="false">
      <c r="A110" s="67" t="s">
        <v>421</v>
      </c>
      <c r="B110" s="68" t="s">
        <v>424</v>
      </c>
      <c r="C110" s="69" t="n">
        <v>1.82</v>
      </c>
      <c r="D110" s="70" t="n">
        <f aca="false">'Other chapters'!B78</f>
        <v>1.81818181818182</v>
      </c>
      <c r="E110" s="70" t="n">
        <f aca="false">D110-C110</f>
        <v>-0.00181818181818172</v>
      </c>
      <c r="F110" s="71" t="str">
        <f aca="false">IF(ABS(E110)&lt;0.005,"reproduced",IF(ABS(E110)&lt;0.021,"rounding","CHECK"))</f>
        <v>reproduced</v>
      </c>
    </row>
    <row r="111" customFormat="false" ht="15" hidden="false" customHeight="false" outlineLevel="0" collapsed="false">
      <c r="A111" s="75" t="s">
        <v>421</v>
      </c>
      <c r="B111" s="72" t="s">
        <v>223</v>
      </c>
      <c r="C111" s="76" t="n">
        <v>363.6</v>
      </c>
      <c r="D111" s="73" t="n">
        <f aca="false">'Other chapters'!B79</f>
        <v>363.636363636364</v>
      </c>
      <c r="E111" s="73" t="n">
        <f aca="false">D111-C111</f>
        <v>0.0363636363635465</v>
      </c>
      <c r="F111" s="74" t="str">
        <f aca="false">IF(ABS(E111)&lt;0.05,"reproduced",IF(ABS(E111)&lt;0.021,"rounding","CHECK"))</f>
        <v>reproduced</v>
      </c>
    </row>
    <row r="112" customFormat="false" ht="15" hidden="false" customHeight="false" outlineLevel="0" collapsed="false">
      <c r="A112" s="67" t="s">
        <v>421</v>
      </c>
      <c r="B112" s="68" t="s">
        <v>425</v>
      </c>
      <c r="C112" s="69" t="n">
        <v>33.43</v>
      </c>
      <c r="D112" s="70" t="n">
        <f aca="false">'Other chapters'!B75</f>
        <v>33.43231772</v>
      </c>
      <c r="E112" s="70" t="n">
        <f aca="false">D112-C112</f>
        <v>0.00231771999998642</v>
      </c>
      <c r="F112" s="71" t="str">
        <f aca="false">IF(ABS(E112)&lt;0.005,"revised","CHECK")</f>
        <v>revised</v>
      </c>
      <c r="H112" s="77" t="s">
        <v>426</v>
      </c>
    </row>
    <row r="113" customFormat="false" ht="15" hidden="false" customHeight="false" outlineLevel="0" collapsed="false">
      <c r="A113" s="75" t="s">
        <v>421</v>
      </c>
      <c r="B113" s="72" t="s">
        <v>427</v>
      </c>
      <c r="C113" s="76" t="n">
        <v>0.42</v>
      </c>
      <c r="D113" s="73" t="n">
        <f aca="false">'Other chapters'!B73</f>
        <v>0.424765231314404</v>
      </c>
      <c r="E113" s="73" t="n">
        <f aca="false">D113-C113</f>
        <v>0.00476523131440415</v>
      </c>
      <c r="F113" s="74" t="str">
        <f aca="false">IF(ABS(E113)&lt;0.005,"reproduced",IF(ABS(E113)&lt;0.021,"rounding","CHECK"))</f>
        <v>reproduced</v>
      </c>
    </row>
    <row r="114" customFormat="false" ht="15" hidden="false" customHeight="false" outlineLevel="0" collapsed="false">
      <c r="A114" s="67" t="s">
        <v>421</v>
      </c>
      <c r="B114" s="68" t="s">
        <v>428</v>
      </c>
      <c r="C114" s="69" t="n">
        <v>0.28</v>
      </c>
      <c r="D114" s="70" t="n">
        <f aca="false">'Other chapters'!B74</f>
        <v>0.276739092239672</v>
      </c>
      <c r="E114" s="70" t="n">
        <f aca="false">D114-C114</f>
        <v>-0.00326090776032828</v>
      </c>
      <c r="F114" s="71" t="str">
        <f aca="false">IF(ABS(E114)&lt;0.005,"revised","CHECK")</f>
        <v>revised</v>
      </c>
      <c r="H114" s="77" t="s">
        <v>429</v>
      </c>
    </row>
    <row r="115" customFormat="false" ht="15" hidden="false" customHeight="false" outlineLevel="0" collapsed="false">
      <c r="A115" s="75" t="s">
        <v>421</v>
      </c>
      <c r="B115" s="72" t="s">
        <v>430</v>
      </c>
      <c r="C115" s="76" t="n">
        <v>40.36</v>
      </c>
      <c r="D115" s="73" t="n">
        <f aca="false">'Other chapters'!B67</f>
        <v>40.3566088955271</v>
      </c>
      <c r="E115" s="73" t="n">
        <f aca="false">D115-C115</f>
        <v>-0.00339110447288249</v>
      </c>
      <c r="F115" s="74" t="str">
        <f aca="false">IF(ABS(E115)&lt;0.005,"reproduced",IF(ABS(E115)&lt;0.021,"rounding","CHECK"))</f>
        <v>reproduced</v>
      </c>
    </row>
    <row r="116" customFormat="false" ht="15" hidden="false" customHeight="false" outlineLevel="0" collapsed="false">
      <c r="A116" s="67" t="s">
        <v>421</v>
      </c>
      <c r="B116" s="68" t="s">
        <v>431</v>
      </c>
      <c r="C116" s="69" t="n">
        <v>46.75</v>
      </c>
      <c r="D116" s="70" t="n">
        <f aca="false">'Other chapters'!C67</f>
        <v>46.7656510533333</v>
      </c>
      <c r="E116" s="70" t="n">
        <f aca="false">D116-C116</f>
        <v>0.0156510533332863</v>
      </c>
      <c r="F116" s="71" t="str">
        <f aca="false">IF(ABS(E116)&lt;0.005,"reproduced",IF(ABS(E116)&lt;0.021,"rounding","CHECK"))</f>
        <v>rounding</v>
      </c>
    </row>
    <row r="117" customFormat="false" ht="15" hidden="false" customHeight="false" outlineLevel="0" collapsed="false">
      <c r="A117" s="75" t="s">
        <v>421</v>
      </c>
      <c r="B117" s="72" t="s">
        <v>432</v>
      </c>
      <c r="C117" s="76" t="n">
        <v>53.44</v>
      </c>
      <c r="D117" s="73" t="n">
        <f aca="false">'Other chapters'!D67</f>
        <v>53.4310172040753</v>
      </c>
      <c r="E117" s="73" t="n">
        <f aca="false">D117-C117</f>
        <v>-0.00898279592466622</v>
      </c>
      <c r="F117" s="74" t="str">
        <f aca="false">IF(ABS(E117)&lt;0.005,"reproduced",IF(ABS(E117)&lt;0.021,"rounding","CHECK"))</f>
        <v>rounding</v>
      </c>
    </row>
    <row r="118" customFormat="false" ht="15" hidden="false" customHeight="false" outlineLevel="0" collapsed="false">
      <c r="A118" s="67" t="s">
        <v>421</v>
      </c>
      <c r="B118" s="68" t="s">
        <v>433</v>
      </c>
      <c r="C118" s="69" t="n">
        <v>33.67</v>
      </c>
      <c r="D118" s="70" t="n">
        <f aca="false">'Other chapters'!B68</f>
        <v>33.6763830441836</v>
      </c>
      <c r="E118" s="70" t="n">
        <f aca="false">D118-C118</f>
        <v>0.00638304418362168</v>
      </c>
      <c r="F118" s="71" t="str">
        <f aca="false">IF(ABS(E118)&lt;0.005,"reproduced",IF(ABS(E118)&lt;0.021,"rounding","CHECK"))</f>
        <v>rounding</v>
      </c>
    </row>
    <row r="119" customFormat="false" ht="15" hidden="false" customHeight="false" outlineLevel="0" collapsed="false">
      <c r="A119" s="75" t="s">
        <v>421</v>
      </c>
      <c r="B119" s="72" t="s">
        <v>434</v>
      </c>
      <c r="C119" s="76" t="n">
        <v>39.76</v>
      </c>
      <c r="D119" s="73" t="n">
        <f aca="false">'Other chapters'!C68</f>
        <v>39.7481071936842</v>
      </c>
      <c r="E119" s="73" t="n">
        <f aca="false">D119-C119</f>
        <v>-0.0118928063158208</v>
      </c>
      <c r="F119" s="74" t="str">
        <f aca="false">IF(ABS(E119)&lt;0.005,"reproduced",IF(ABS(E119)&lt;0.021,"rounding","CHECK"))</f>
        <v>rounding</v>
      </c>
    </row>
    <row r="120" customFormat="false" ht="15" hidden="false" customHeight="false" outlineLevel="0" collapsed="false">
      <c r="A120" s="67" t="s">
        <v>421</v>
      </c>
      <c r="B120" s="68" t="s">
        <v>435</v>
      </c>
      <c r="C120" s="69" t="n">
        <v>46.06</v>
      </c>
      <c r="D120" s="70" t="n">
        <f aca="false">'Other chapters'!D68</f>
        <v>46.0626645996503</v>
      </c>
      <c r="E120" s="70" t="n">
        <f aca="false">D120-C120</f>
        <v>0.00266459965028787</v>
      </c>
      <c r="F120" s="71" t="str">
        <f aca="false">IF(ABS(E120)&lt;0.005,"reproduced",IF(ABS(E120)&lt;0.021,"rounding","CHECK"))</f>
        <v>reproduced</v>
      </c>
    </row>
    <row r="121" customFormat="false" ht="15" hidden="false" customHeight="false" outlineLevel="0" collapsed="false">
      <c r="A121" s="75" t="s">
        <v>421</v>
      </c>
      <c r="B121" s="72" t="s">
        <v>436</v>
      </c>
      <c r="C121" s="76" t="n">
        <v>27.67</v>
      </c>
      <c r="D121" s="73" t="n">
        <f aca="false">'Other chapters'!B69</f>
        <v>27.6641797779744</v>
      </c>
      <c r="E121" s="73" t="n">
        <f aca="false">D121-C121</f>
        <v>-0.00582022202559074</v>
      </c>
      <c r="F121" s="74" t="str">
        <f aca="false">IF(ABS(E121)&lt;0.005,"reproduced",IF(ABS(E121)&lt;0.021,"rounding","CHECK"))</f>
        <v>rounding</v>
      </c>
    </row>
    <row r="122" customFormat="false" ht="15" hidden="false" customHeight="false" outlineLevel="0" collapsed="false">
      <c r="A122" s="67" t="s">
        <v>421</v>
      </c>
      <c r="B122" s="68" t="s">
        <v>437</v>
      </c>
      <c r="C122" s="69" t="n">
        <v>33.43</v>
      </c>
      <c r="D122" s="70" t="n">
        <f aca="false">'Other chapters'!C69</f>
        <v>33.43231772</v>
      </c>
      <c r="E122" s="70" t="n">
        <f aca="false">D122-C122</f>
        <v>0.00231771999998642</v>
      </c>
      <c r="F122" s="71" t="str">
        <f aca="false">IF(ABS(E122)&lt;0.005,"reproduced",IF(ABS(E122)&lt;0.021,"rounding","CHECK"))</f>
        <v>reproduced</v>
      </c>
    </row>
    <row r="123" customFormat="false" ht="15" hidden="false" customHeight="false" outlineLevel="0" collapsed="false">
      <c r="A123" s="75" t="s">
        <v>421</v>
      </c>
      <c r="B123" s="72" t="s">
        <v>438</v>
      </c>
      <c r="C123" s="76" t="n">
        <v>39.43</v>
      </c>
      <c r="D123" s="73" t="n">
        <f aca="false">'Other chapters'!D69</f>
        <v>39.4311472556678</v>
      </c>
      <c r="E123" s="73" t="n">
        <f aca="false">D123-C123</f>
        <v>0.00114725566778162</v>
      </c>
      <c r="F123" s="74" t="str">
        <f aca="false">IF(ABS(E123)&lt;0.005,"reproduced",IF(ABS(E123)&lt;0.021,"rounding","CHECK"))</f>
        <v>reproduced</v>
      </c>
    </row>
    <row r="124" customFormat="false" ht="15" hidden="false" customHeight="false" outlineLevel="0" collapsed="false">
      <c r="A124" s="67" t="s">
        <v>421</v>
      </c>
      <c r="B124" s="68" t="s">
        <v>439</v>
      </c>
      <c r="C124" s="69" t="n">
        <v>22.54</v>
      </c>
      <c r="D124" s="70" t="n">
        <f aca="false">'Other chapters'!B70</f>
        <v>22.5281663860155</v>
      </c>
      <c r="E124" s="70" t="n">
        <f aca="false">D124-C124</f>
        <v>-0.0118336139844928</v>
      </c>
      <c r="F124" s="71" t="str">
        <f aca="false">IF(ABS(E124)&lt;0.005,"reproduced",IF(ABS(E124)&lt;0.021,"rounding","CHECK"))</f>
        <v>rounding</v>
      </c>
    </row>
    <row r="125" customFormat="false" ht="15" hidden="false" customHeight="false" outlineLevel="0" collapsed="false">
      <c r="A125" s="75" t="s">
        <v>421</v>
      </c>
      <c r="B125" s="72" t="s">
        <v>440</v>
      </c>
      <c r="C125" s="76" t="n">
        <v>27.73</v>
      </c>
      <c r="D125" s="73" t="n">
        <f aca="false">'Other chapters'!C70</f>
        <v>27.7180320057143</v>
      </c>
      <c r="E125" s="73" t="n">
        <f aca="false">D125-C125</f>
        <v>-0.0119679942857225</v>
      </c>
      <c r="F125" s="74" t="str">
        <f aca="false">IF(ABS(E125)&lt;0.005,"reproduced",IF(ABS(E125)&lt;0.021,"rounding","CHECK"))</f>
        <v>rounding</v>
      </c>
    </row>
    <row r="126" customFormat="false" ht="15" hidden="false" customHeight="false" outlineLevel="0" collapsed="false">
      <c r="A126" s="67" t="s">
        <v>421</v>
      </c>
      <c r="B126" s="68" t="s">
        <v>441</v>
      </c>
      <c r="C126" s="69" t="n">
        <v>33.43</v>
      </c>
      <c r="D126" s="70" t="n">
        <f aca="false">'Other chapters'!D70</f>
        <v>33.4312029920646</v>
      </c>
      <c r="E126" s="70" t="n">
        <f aca="false">D126-C126</f>
        <v>0.00120299206455599</v>
      </c>
      <c r="F126" s="71" t="str">
        <f aca="false">IF(ABS(E126)&lt;0.005,"reproduced",IF(ABS(E126)&lt;0.021,"rounding","CHECK"))</f>
        <v>reproduced</v>
      </c>
    </row>
    <row r="127" customFormat="false" ht="15" hidden="false" customHeight="false" outlineLevel="0" collapsed="false">
      <c r="A127" s="75" t="s">
        <v>421</v>
      </c>
      <c r="B127" s="72" t="s">
        <v>442</v>
      </c>
      <c r="C127" s="76" t="n">
        <v>19.24</v>
      </c>
      <c r="D127" s="73" t="n">
        <f aca="false">'Other chapters'!B71</f>
        <v>19.2314315502875</v>
      </c>
      <c r="E127" s="73" t="n">
        <f aca="false">D127-C127</f>
        <v>-0.00856844971245963</v>
      </c>
      <c r="F127" s="74" t="str">
        <f aca="false">IF(ABS(E127)&lt;0.005,"reproduced",IF(ABS(E127)&lt;0.021,"rounding","CHECK"))</f>
        <v>rounding</v>
      </c>
    </row>
    <row r="128" customFormat="false" ht="15" hidden="false" customHeight="false" outlineLevel="0" collapsed="false">
      <c r="A128" s="67" t="s">
        <v>421</v>
      </c>
      <c r="B128" s="68" t="s">
        <v>443</v>
      </c>
      <c r="C128" s="69" t="n">
        <v>22.72</v>
      </c>
      <c r="D128" s="70" t="n">
        <f aca="false">'Other chapters'!C71</f>
        <v>22.7272727272727</v>
      </c>
      <c r="E128" s="70" t="n">
        <f aca="false">D128-C128</f>
        <v>0.00727272727272776</v>
      </c>
      <c r="F128" s="71" t="str">
        <f aca="false">IF(ABS(E128)&lt;0.005,"reproduced",IF(ABS(E128)&lt;0.021,"rounding","CHECK"))</f>
        <v>rounding</v>
      </c>
    </row>
    <row r="129" customFormat="false" ht="15" hidden="false" customHeight="false" outlineLevel="0" collapsed="false">
      <c r="A129" s="75" t="s">
        <v>421</v>
      </c>
      <c r="B129" s="72" t="s">
        <v>444</v>
      </c>
      <c r="C129" s="76" t="n">
        <v>27.97</v>
      </c>
      <c r="D129" s="73" t="n">
        <f aca="false">'Other chapters'!D71</f>
        <v>27.9767082069707</v>
      </c>
      <c r="E129" s="73" t="n">
        <f aca="false">D129-C129</f>
        <v>0.00670820697071406</v>
      </c>
      <c r="F129" s="74" t="str">
        <f aca="false">IF(ABS(E129)&lt;0.005,"reproduced",IF(ABS(E129)&lt;0.021,"rounding","CHECK"))</f>
        <v>rounding</v>
      </c>
    </row>
    <row r="130" customFormat="false" ht="15" hidden="false" customHeight="false" outlineLevel="0" collapsed="false">
      <c r="A130" s="67" t="s">
        <v>445</v>
      </c>
      <c r="B130" s="68" t="s">
        <v>446</v>
      </c>
      <c r="C130" s="69" t="n">
        <v>160.75</v>
      </c>
      <c r="D130" s="70" t="n">
        <f aca="false">'Other chapters'!B139</f>
        <v>160.7508018</v>
      </c>
      <c r="E130" s="70" t="n">
        <f aca="false">D130-C130</f>
        <v>0.000801800000033381</v>
      </c>
      <c r="F130" s="71" t="str">
        <f aca="false">IF(ABS(E130)&lt;0.005,"reproduced",IF(ABS(E130)&lt;0.021,"rounding","CHECK"))</f>
        <v>reproduced</v>
      </c>
    </row>
    <row r="131" customFormat="false" ht="15" hidden="false" customHeight="false" outlineLevel="0" collapsed="false">
      <c r="A131" s="75" t="s">
        <v>445</v>
      </c>
      <c r="B131" s="72" t="s">
        <v>447</v>
      </c>
      <c r="C131" s="76" t="n">
        <v>39.25</v>
      </c>
      <c r="D131" s="73" t="n">
        <f aca="false">'Other chapters'!B140</f>
        <v>39.2491982</v>
      </c>
      <c r="E131" s="73" t="n">
        <f aca="false">D131-C131</f>
        <v>-0.00080180000000496</v>
      </c>
      <c r="F131" s="74" t="str">
        <f aca="false">IF(ABS(E131)&lt;0.005,"reproduced",IF(ABS(E131)&lt;0.021,"rounding","CHECK"))</f>
        <v>reproduced</v>
      </c>
    </row>
    <row r="132" customFormat="false" ht="15" hidden="false" customHeight="false" outlineLevel="0" collapsed="false">
      <c r="A132" s="67" t="s">
        <v>445</v>
      </c>
      <c r="B132" s="68" t="s">
        <v>448</v>
      </c>
      <c r="C132" s="69" t="n">
        <v>26.78</v>
      </c>
      <c r="D132" s="70" t="n">
        <f aca="false">'Other chapters'!B141</f>
        <v>26.7779968</v>
      </c>
      <c r="E132" s="70" t="n">
        <f aca="false">D132-C132</f>
        <v>-0.00200320000001142</v>
      </c>
      <c r="F132" s="71" t="str">
        <f aca="false">IF(ABS(E132)&lt;0.005,"reproduced",IF(ABS(E132)&lt;0.021,"rounding","CHECK"))</f>
        <v>reproduced</v>
      </c>
    </row>
    <row r="133" customFormat="false" ht="15" hidden="false" customHeight="false" outlineLevel="0" collapsed="false">
      <c r="A133" s="75" t="s">
        <v>445</v>
      </c>
      <c r="B133" s="72" t="s">
        <v>449</v>
      </c>
      <c r="C133" s="76" t="n">
        <v>0.32</v>
      </c>
      <c r="D133" s="73" t="n">
        <f aca="false">'Other chapters'!B142</f>
        <v>0.317744106171321</v>
      </c>
      <c r="E133" s="73" t="n">
        <f aca="false">D133-C133</f>
        <v>-0.00225589382867936</v>
      </c>
      <c r="F133" s="74" t="str">
        <f aca="false">IF(ABS(E133)&lt;0.005,"reproduced",IF(ABS(E133)&lt;0.021,"rounding","CHECK"))</f>
        <v>reproduced</v>
      </c>
    </row>
    <row r="134" customFormat="false" ht="15" hidden="false" customHeight="false" outlineLevel="0" collapsed="false">
      <c r="A134" s="67" t="s">
        <v>450</v>
      </c>
      <c r="B134" s="68" t="s">
        <v>451</v>
      </c>
      <c r="C134" s="69" t="n">
        <v>0.4</v>
      </c>
      <c r="D134" s="70" t="n">
        <f aca="false">'Other chapters'!B143</f>
        <v>0.4</v>
      </c>
      <c r="E134" s="70" t="n">
        <f aca="false">D134-C134</f>
        <v>0</v>
      </c>
      <c r="F134" s="71" t="str">
        <f aca="false">IF(ABS(E134)&lt;0.005,"reproduced",IF(ABS(E134)&lt;0.021,"rounding","CHECK"))</f>
        <v>reproduced</v>
      </c>
    </row>
    <row r="135" customFormat="false" ht="15" hidden="false" customHeight="false" outlineLevel="0" collapsed="false">
      <c r="A135" s="75" t="s">
        <v>452</v>
      </c>
      <c r="B135" s="72" t="s">
        <v>453</v>
      </c>
      <c r="C135" s="76" t="n">
        <v>28.1</v>
      </c>
      <c r="D135" s="73" t="n">
        <f aca="false">'Other chapters'!B144</f>
        <v>28.09856</v>
      </c>
      <c r="E135" s="73" t="n">
        <f aca="false">D135-C135</f>
        <v>-0.00143999999999522</v>
      </c>
      <c r="F135" s="74" t="str">
        <f aca="false">IF(ABS(E135)&lt;0.005,"reproduced",IF(ABS(E135)&lt;0.021,"rounding","CHECK"))</f>
        <v>reproduced</v>
      </c>
    </row>
    <row r="136" customFormat="false" ht="15" hidden="false" customHeight="false" outlineLevel="0" collapsed="false">
      <c r="A136" s="67" t="s">
        <v>452</v>
      </c>
      <c r="B136" s="68" t="s">
        <v>454</v>
      </c>
      <c r="C136" s="69" t="n">
        <v>12.48</v>
      </c>
      <c r="D136" s="70" t="n">
        <f aca="false">'Other chapters'!B145</f>
        <v>12.48431616</v>
      </c>
      <c r="E136" s="70" t="n">
        <f aca="false">D136-C136</f>
        <v>0.00431615999996282</v>
      </c>
      <c r="F136" s="71" t="str">
        <f aca="false">IF(ABS(E136)&lt;0.005,"reproduced",IF(ABS(E136)&lt;0.021,"rounding","CHECK"))</f>
        <v>reproduced</v>
      </c>
    </row>
    <row r="137" customFormat="false" ht="15" hidden="false" customHeight="false" outlineLevel="0" collapsed="false">
      <c r="A137" s="75" t="s">
        <v>452</v>
      </c>
      <c r="B137" s="72" t="s">
        <v>455</v>
      </c>
      <c r="C137" s="76" t="n">
        <v>14.38</v>
      </c>
      <c r="D137" s="73" t="n">
        <f aca="false">'Other chapters'!B146</f>
        <v>14.380288</v>
      </c>
      <c r="E137" s="73" t="n">
        <f aca="false">D137-C137</f>
        <v>0.000287999999995847</v>
      </c>
      <c r="F137" s="74" t="str">
        <f aca="false">IF(ABS(E137)&lt;0.005,"reproduced",IF(ABS(E137)&lt;0.021,"rounding","CHECK"))</f>
        <v>reproduced</v>
      </c>
    </row>
    <row r="138" customFormat="false" ht="15" hidden="false" customHeight="false" outlineLevel="0" collapsed="false">
      <c r="A138" s="67" t="s">
        <v>452</v>
      </c>
      <c r="B138" s="68" t="s">
        <v>456</v>
      </c>
      <c r="C138" s="69" t="n">
        <v>1.9</v>
      </c>
      <c r="D138" s="70" t="n">
        <f aca="false">'Other chapters'!B147</f>
        <v>1.89597184000003</v>
      </c>
      <c r="E138" s="70" t="n">
        <f aca="false">D138-C138</f>
        <v>-0.00402815999996653</v>
      </c>
      <c r="F138" s="71" t="str">
        <f aca="false">IF(ABS(E138)&lt;0.005,"reproduced",IF(ABS(E138)&lt;0.021,"rounding","CHECK"))</f>
        <v>reproduced</v>
      </c>
    </row>
    <row r="139" customFormat="false" ht="15" hidden="false" customHeight="false" outlineLevel="0" collapsed="false">
      <c r="A139" s="75" t="s">
        <v>452</v>
      </c>
      <c r="B139" s="72" t="s">
        <v>457</v>
      </c>
      <c r="C139" s="76" t="n">
        <v>16.64</v>
      </c>
      <c r="D139" s="73" t="n">
        <f aca="false">'Other chapters'!B148</f>
        <v>16.64</v>
      </c>
      <c r="E139" s="73" t="n">
        <f aca="false">D139-C139</f>
        <v>0</v>
      </c>
      <c r="F139" s="74" t="str">
        <f aca="false">IF(ABS(E139)&lt;0.005,"reproduced",IF(ABS(E139)&lt;0.021,"rounding","CHECK"))</f>
        <v>reproduced</v>
      </c>
    </row>
    <row r="140" customFormat="false" ht="15" hidden="false" customHeight="false" outlineLevel="0" collapsed="false">
      <c r="A140" s="67" t="s">
        <v>458</v>
      </c>
      <c r="B140" s="68" t="s">
        <v>459</v>
      </c>
      <c r="C140" s="69" t="n">
        <v>3.5</v>
      </c>
      <c r="D140" s="70" t="n">
        <f aca="false">'Other chapters'!B149</f>
        <v>3.5</v>
      </c>
      <c r="E140" s="70" t="n">
        <f aca="false">D140-C140</f>
        <v>0</v>
      </c>
      <c r="F140" s="71" t="str">
        <f aca="false">IF(ABS(E140)&lt;0.005,"reproduced",IF(ABS(E140)&lt;0.021,"rounding","CHECK"))</f>
        <v>reproduced</v>
      </c>
    </row>
    <row r="141" customFormat="false" ht="15" hidden="false" customHeight="false" outlineLevel="0" collapsed="false">
      <c r="A141" s="75" t="s">
        <v>458</v>
      </c>
      <c r="B141" s="72" t="s">
        <v>460</v>
      </c>
      <c r="C141" s="76" t="n">
        <v>1.5</v>
      </c>
      <c r="D141" s="73" t="n">
        <f aca="false">'Other chapters'!B150</f>
        <v>1.5</v>
      </c>
      <c r="E141" s="73" t="n">
        <f aca="false">D141-C141</f>
        <v>0</v>
      </c>
      <c r="F141" s="74" t="str">
        <f aca="false">IF(ABS(E141)&lt;0.005,"reproduced",IF(ABS(E141)&lt;0.021,"rounding","CHECK"))</f>
        <v>reproduced</v>
      </c>
    </row>
    <row r="142" customFormat="false" ht="15" hidden="false" customHeight="false" outlineLevel="0" collapsed="false">
      <c r="A142" s="67" t="s">
        <v>458</v>
      </c>
      <c r="B142" s="68" t="s">
        <v>461</v>
      </c>
      <c r="C142" s="69" t="n">
        <v>18</v>
      </c>
      <c r="D142" s="70" t="n">
        <f aca="false">'Other chapters'!B151</f>
        <v>18</v>
      </c>
      <c r="E142" s="70" t="n">
        <f aca="false">D142-C142</f>
        <v>0</v>
      </c>
      <c r="F142" s="71" t="str">
        <f aca="false">IF(ABS(E142)&lt;0.005,"reproduced",IF(ABS(E142)&lt;0.021,"rounding","CHECK"))</f>
        <v>reproduced</v>
      </c>
    </row>
    <row r="143" customFormat="false" ht="15" hidden="false" customHeight="false" outlineLevel="0" collapsed="false">
      <c r="A143" s="75" t="s">
        <v>458</v>
      </c>
      <c r="B143" s="72" t="s">
        <v>462</v>
      </c>
      <c r="C143" s="76" t="n">
        <v>1.53</v>
      </c>
      <c r="D143" s="73" t="n">
        <f aca="false">'Other chapters'!B152</f>
        <v>1.53359615999997</v>
      </c>
      <c r="E143" s="73" t="n">
        <f aca="false">D143-C143</f>
        <v>0.00359615999997343</v>
      </c>
      <c r="F143" s="74" t="str">
        <f aca="false">IF(ABS(E143)&lt;0.005,"reproduced",IF(ABS(E143)&lt;0.021,"rounding","CHECK"))</f>
        <v>reproduced</v>
      </c>
    </row>
    <row r="144" customFormat="false" ht="15" hidden="false" customHeight="false" outlineLevel="0" collapsed="false">
      <c r="A144" s="67" t="s">
        <v>458</v>
      </c>
      <c r="B144" s="68" t="s">
        <v>463</v>
      </c>
      <c r="C144" s="69" t="n">
        <v>6.47</v>
      </c>
      <c r="D144" s="70" t="n">
        <f aca="false">'Other chapters'!B153</f>
        <v>6.46640384000003</v>
      </c>
      <c r="E144" s="70" t="n">
        <f aca="false">D144-C144</f>
        <v>-0.0035961599999732</v>
      </c>
      <c r="F144" s="71" t="str">
        <f aca="false">IF(ABS(E144)&lt;0.005,"reproduced",IF(ABS(E144)&lt;0.021,"rounding","CHECK"))</f>
        <v>reproduced</v>
      </c>
    </row>
    <row r="146" customFormat="false" ht="15" hidden="false" customHeight="false" outlineLevel="0" collapsed="false">
      <c r="A146" s="33" t="s">
        <v>464</v>
      </c>
      <c r="C146" s="78" t="n">
        <f aca="false">COUNTIF(F5:F144,"reproduced")</f>
        <v>121</v>
      </c>
    </row>
    <row r="147" customFormat="false" ht="15" hidden="false" customHeight="false" outlineLevel="0" collapsed="false">
      <c r="A147" s="33" t="s">
        <v>465</v>
      </c>
      <c r="C147" s="78" t="n">
        <f aca="false">COUNTIF(F5:F144,"rounding")</f>
        <v>16</v>
      </c>
    </row>
    <row r="148" customFormat="false" ht="15" hidden="false" customHeight="false" outlineLevel="0" collapsed="false">
      <c r="A148" s="33" t="s">
        <v>466</v>
      </c>
      <c r="C148" s="78" t="n">
        <f aca="false">COUNTIF(F5:F144,"revised")</f>
        <v>3</v>
      </c>
    </row>
    <row r="149" customFormat="false" ht="15" hidden="false" customHeight="false" outlineLevel="0" collapsed="false">
      <c r="A149" s="33" t="s">
        <v>467</v>
      </c>
      <c r="C149" s="78" t="n">
        <f aca="false">COUNTIF(F5:F144,"CHECK")</f>
        <v>0</v>
      </c>
    </row>
    <row r="151" customFormat="false" ht="15" hidden="false" customHeight="false" outlineLevel="0" collapsed="false">
      <c r="A151" s="79" t="s">
        <v>468</v>
      </c>
      <c r="C151" s="79" t="str">
        <f aca="false">IF(COUNTIF(F5:F144,"CHECK")=0,"ALL OK","SOME FAIL")</f>
        <v>ALL OK</v>
      </c>
    </row>
  </sheetData>
  <mergeCells count="1">
    <mergeCell ref="H5:H22"/>
  </mergeCells>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docProps/app.xml><?xml version="1.0" encoding="utf-8"?>
<Properties xmlns="http://schemas.openxmlformats.org/officeDocument/2006/extended-properties" xmlns:vt="http://schemas.openxmlformats.org/officeDocument/2006/docPropsVTypes">
  <Template/>
  <TotalTime>0</TotalTime>
  <Application>LibreOffice/24.2.7.2$Linux_X86_64 LibreOffice_project/420$Build-2</Application>
  <AppVersion>15.0000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2026-08-20T02:54:46Z</dcterms:created>
  <dc:creator>openpyxl</dc:creator>
  <dc:description/>
  <dc:language>en-US</dc:language>
  <cp:lastModifiedBy/>
  <dcterms:modified xsi:type="dcterms:W3CDTF">2026-09-23T22:15:24Z</dcterms:modified>
  <cp:revision>0</cp:revision>
  <dc:subject/>
  <dc:title/>
</cp:coreProperties>
</file>

<file path=docProps/custom.xml><?xml version="1.0" encoding="utf-8"?>
<Properties xmlns="http://schemas.openxmlformats.org/officeDocument/2006/custom-properties" xmlns:vt="http://schemas.openxmlformats.org/officeDocument/2006/docPropsVTypes"/>
</file>