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Assumptions" sheetId="2" state="visible" r:id="rId4"/>
    <sheet name="2. Cash flow and discounting" sheetId="3" state="visible" r:id="rId5"/>
    <sheet name="3. Terminal value" sheetId="4" state="visible" r:id="rId6"/>
    <sheet name="4. Sensitivity" sheetId="5" state="visible" r:id="rId7"/>
    <sheet name="5. Cross-check"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<sst xmlns="http://schemas.openxmlformats.org/spreadsheetml/2006/main" count="127" uniqueCount="113">
  <si>
    <t xml:space="preserve">The Income Approach and the Tyranny of the Terminal Value</t>
  </si>
  <si>
    <t xml:space="preserve">Chapter 6 of The Private Markets Valuation Specialist, with the split the chapter describes made visible.</t>
  </si>
  <si>
    <t xml:space="preserve">Chapter 6 says that in a long-dated asset the ten years of forecast cash flow — which absorb almost all of the modelling effort — may account for only a minority of the present value, while the terminal value, a single estimate of the distant future, carries the majority. It calls the precise split dependent on the discount rate and the growth assumption, and leaves it there. This file computes it.</t>
  </si>
  <si>
    <t xml:space="preserve">The asset</t>
  </si>
  <si>
    <t xml:space="preserve">An infrastructure concession with a long remaining life, ten years modelled explicitly and everything beyond captured in a terminal value. Nothing about the mechanic is specific to infrastructure; a mature manufacturer discounted over ten years behaves the same way, only less extremely.</t>
  </si>
  <si>
    <t xml:space="preserve">What the file does</t>
  </si>
  <si>
    <t xml:space="preserve">It computes the terminal value both ways the chapter prescribes — a perpetuity growth capitalisation and an exit multiple — and puts them side by side, because a wide gap between them means one of the two assumptions is unreasonable and the model should not proceed until you know which.</t>
  </si>
  <si>
    <t xml:space="preserve">It reports the terminal value as a share of total present value, and it does so across a grid of growth rates and discount rates, so the sentence 'the answer is carried by the least knowable input' stops being a warning and becomes a number you can point at. On the base case the share is 53.4 per cent; move the growth rate up eight-tenths of a point and it reaches 56.7, at a discount rate of 7.5 per cent 62.3.</t>
  </si>
  <si>
    <t xml:space="preserve">And it runs the cross-check the chapter calls the most valuable use of the income approach even when it is not the primary method: the value the asset’s own economics imply, against the value the market pays for comparable concessions. When the two land in the same range the documentation is stronger. When they diverge, sheet 5 puts a number on the divergence, which is the real question the valuation turns on.</t>
  </si>
  <si>
    <t xml:space="preserve">One thing to try before anything else: set the exit multiple on sheet 1 to twelve times. Check 4 turns from PASS to EXPLAIN, and sheet 3 tells you why — at a discount rate of 8.5 per cent, a twelve-times exit implies long-term growth of about a sixth of one per cent. If that is not a growth rate you would have typed, it is not an exit multiple you should have typed either.</t>
  </si>
  <si>
    <t xml:space="preserve">What it does not do</t>
  </si>
  <si>
    <t xml:space="preserve">No tax, no debt schedule, no working capital, no mid-year convention. Those are real, and they would make the file about modelling rather than about the one thing Chapter 6 is about.</t>
  </si>
  <si>
    <t xml:space="preserve">The sheets</t>
  </si>
  <si>
    <t xml:space="preserve">1. Assumptions — every input. Amber cells are yours.</t>
  </si>
  <si>
    <t xml:space="preserve">2. Cash flow and discounting — ten years, discounted, and what they are worth.</t>
  </si>
  <si>
    <t xml:space="preserve">3. Terminal value — two methods, side by side, and the implied exit multiple of each.</t>
  </si>
  <si>
    <t xml:space="preserve">4. Sensitivity — the terminal value share across growth and discount rate.</t>
  </si>
  <si>
    <t xml:space="preserve">5. Cross-check — the income answer against the market answer.</t>
  </si>
  <si>
    <t xml:space="preserve">6. Checks — six controls that test themselves and say so.</t>
  </si>
  <si>
    <t xml:space="preserve">Nothing is locked, protected or watermarked. Break it and rebuild it.</t>
  </si>
  <si>
    <t xml:space="preserve">Revised 23 September 2026. This read-me said the terminal value carried above sixty per cent of the answer on the base case. It carries 53.4 per cent (sheet 3, row 23), and 56.7 with the growth rate eight-tenths of a point higher; sixty is passed only in the corner of the grid with the lowest discount rate and the two highest growth rates. The forecast length on sheet 1 was an amber input that nothing used: it is now fixed at ten and grey. Two checks added, nine in all. No value in the file changes.</t>
  </si>
  <si>
    <t xml:space="preserve">The forecast</t>
  </si>
  <si>
    <t xml:space="preserve">Value</t>
  </si>
  <si>
    <t xml:space="preserve">Note</t>
  </si>
  <si>
    <t xml:space="preserve">Cash flow, year 1 ($m)</t>
  </si>
  <si>
    <t xml:space="preserve">The first explicit forecast year.</t>
  </si>
  <si>
    <t xml:space="preserve">Growth in the explicit period</t>
  </si>
  <si>
    <t xml:space="preserve">Applied from year 1 to year 10.</t>
  </si>
  <si>
    <t xml:space="preserve">Length of the explicit forecast (years)</t>
  </si>
  <si>
    <t xml:space="preserve">Fixed at ten: sheet 2 has ten columns and the grid on sheet 4 discounts ten years. Typing another number here would change nothing, so it is no longer an input.</t>
  </si>
  <si>
    <t xml:space="preserve">Discounting and the terminal value</t>
  </si>
  <si>
    <t xml:space="preserve">Discount rate</t>
  </si>
  <si>
    <t xml:space="preserve">Weighted average cost of capital, or the calibrated rate of Chapter 7.</t>
  </si>
  <si>
    <t xml:space="preserve">Long-term growth beyond the forecast</t>
  </si>
  <si>
    <t xml:space="preserve">Perpetuity growth. The single least knowable input in the file.</t>
  </si>
  <si>
    <t xml:space="preserve">Exit multiple on final-year cash flow (x)</t>
  </si>
  <si>
    <t xml:space="preserve">The second method, and the discipline on the first.</t>
  </si>
  <si>
    <t xml:space="preserve">For the cross-check</t>
  </si>
  <si>
    <t xml:space="preserve">Comparable multiple paid for concession assets (x)</t>
  </si>
  <si>
    <t xml:space="preserve">Enterprise value to year-one cash flow, from recent transactions in similar concessions.</t>
  </si>
  <si>
    <t xml:space="preserve">Year</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</si>
  <si>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</si>
  <si>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</si>
  <si>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</si>
  <si>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</si>
  <si>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</si>
  <si>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</si>
  <si>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</si>
  <si>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</si>
  <si>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</si>
  <si>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</si>
  <si>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Cash flow ($m)</t>
  </si>
  <si>
    <t xml:space="preserve">Discount factor</t>
  </si>
  <si>
    <t xml:space="preserve">Present value ($m)</t>
  </si>
  <si>
    <t xml:space="preserve">Present value of the explicit forecast ($m)</t>
  </si>
  <si>
    <t xml:space="preserve">Final-year cash flow ($m)</t>
  </si>
  <si>
    <t xml:space="preserve">Discount factor at the horizon</t>
  </si>
  <si>
    <t xml:space="preserve">Ten years of forecasting, and this is what they are worth. The number in row 6 is the part of the valuation the modelling effort actually bought. Sheet 3 computes the rest.</t>
  </si>
  <si>
    <t xml:space="preserve">Method one — perpetuity growth</t>
  </si>
  <si>
    <t xml:space="preserve">First year beyond the forecast ($m)</t>
  </si>
  <si>
    <t xml:space="preserve">Capitalisation rate</t>
  </si>
  <si>
    <t xml:space="preserve">Discount rate less long-term growth. Narrow it and the value explodes; that fragility is the point.</t>
  </si>
  <si>
    <t xml:space="preserve">Terminal value at the horizon ($m)</t>
  </si>
  <si>
    <t xml:space="preserve">Present value of the terminal value ($m)</t>
  </si>
  <si>
    <t xml:space="preserve">Exit multiple this implies (x)</t>
  </si>
  <si>
    <t xml:space="preserve">What the perpetuity assumption is really saying about the price a buyer would pay in year ten.</t>
  </si>
  <si>
    <t xml:space="preserve">Method two — exit multiple</t>
  </si>
  <si>
    <t xml:space="preserve">Exit multiple assumed (x)</t>
  </si>
  <si>
    <t xml:space="preserve">Long-term growth this implies</t>
  </si>
  <si>
    <t xml:space="preserve">Invert the perpetuity formula. If this is a growth rate you would not have typed, the exit multiple is not one you should have typed either.</t>
  </si>
  <si>
    <t xml:space="preserve">The two methods confronted</t>
  </si>
  <si>
    <t xml:space="preserve">Difference in terminal value ($m)</t>
  </si>
  <si>
    <t xml:space="preserve">Difference as a share of the perpetuity value</t>
  </si>
  <si>
    <t xml:space="preserve">A wide gap signals that one of the two assumptions is unreasonable. Chapter 6 asks you to find out which before going further.</t>
  </si>
  <si>
    <t xml:space="preserve">The split the chapter is about</t>
  </si>
  <si>
    <t xml:space="preserve">On the perpetuity method.</t>
  </si>
  <si>
    <t xml:space="preserve">Total present value ($m)</t>
  </si>
  <si>
    <t xml:space="preserve">Terminal value as a share of the total</t>
  </si>
  <si>
    <t xml:space="preserve">Ten years of work on the left, one assumption on the right.</t>
  </si>
  <si>
    <t xml:space="preserve">Terminal value share of total PV</t>
  </si>
  <si>
    <t xml:space="preserve">g = 1.0%</t>
  </si>
  <si>
    <t xml:space="preserve">g = 1.4%</t>
  </si>
  <si>
    <t xml:space="preserve">g = 1.8%</t>
  </si>
  <si>
    <t xml:space="preserve">g = 2.2%</t>
  </si>
  <si>
    <t xml:space="preserve">g = 2.6%</t>
  </si>
  <si>
    <t xml:space="preserve">discount rate 7.5%</t>
  </si>
  <si>
    <t xml:space="preserve">discount rate 8.0%</t>
  </si>
  <si>
    <t xml:space="preserve">discount rate 8.5%</t>
  </si>
  <si>
    <t xml:space="preserve">discount rate 9.0%</t>
  </si>
  <si>
    <t xml:space="preserve">discount rate 9.5%</t>
  </si>
  <si>
    <t xml:space="preserve">Read the corners. Nothing in the ten years of forecast changed between the top-left cell and the bottom-right one — only two numbers nobody can observe. That is the tyranny the chapter names.</t>
  </si>
  <si>
    <t xml:space="preserve">Two approaches, one asset</t>
  </si>
  <si>
    <t xml:space="preserve">$m</t>
  </si>
  <si>
    <t xml:space="preserve">Income approach — total present value</t>
  </si>
  <si>
    <t xml:space="preserve">Market approach — comparable multiple (x)</t>
  </si>
  <si>
    <t xml:space="preserve">Market approach — enterprise value</t>
  </si>
  <si>
    <t xml:space="preserve">Applied to year-one cash flow.</t>
  </si>
  <si>
    <t xml:space="preserve">Difference</t>
  </si>
  <si>
    <t xml:space="preserve">Difference as a share of the market answer</t>
  </si>
  <si>
    <t xml:space="preserve">Chapter 6: when the two land in the same range the conclusion is strengthened and the documentation is more persuasive. When they diverge sharply, the divergence is information — it says the market's pricing of comparables and the asset's own projected economics are telling different stories, and reconciling them usually surfaces the real question the valuation turns on.</t>
  </si>
  <si>
    <t xml:space="preserve">A specialist who runs both approaches and thinks hard about their divergence produces better marks than one who runs only whichever approach gives the preferred answer.</t>
  </si>
  <si>
    <t xml:space="preserve">#</t>
  </si>
  <si>
    <t xml:space="preserve">What is tested</t>
  </si>
  <si>
    <t xml:space="preserve">Verdict</t>
  </si>
  <si>
    <t xml:space="preserve">The present values sum to the total: explicit forecast plus terminal value</t>
  </si>
  <si>
    <t xml:space="preserve">Discounting is internally consistent: year-one present value equals cash flow over one plus the rate</t>
  </si>
  <si>
    <t xml:space="preserve">The perpetuity terminal value implies an exit multiple in a range a buyer would recognise</t>
  </si>
  <si>
    <t xml:space="preserve">The two terminal-value methods land within fifteen per cent of each other</t>
  </si>
  <si>
    <t xml:space="preserve">The capitalisation rate is positive — growth below the discount rate</t>
  </si>
  <si>
    <t xml:space="preserve">The terminal value carries more than half the answer, as Chapter 6 warns</t>
  </si>
  <si>
    <t xml:space="preserve">Income and market approaches land within ten per cent of each other</t>
  </si>
  <si>
    <t xml:space="preserve">The base cell of the grid (8.5 per cent, 1.8 per cent) reproduces sheet 3 whenever sheet 1 carries those two rates</t>
  </si>
  <si>
    <t xml:space="preserve">The forecast is the ten years that sheet 2 and the grid discount</t>
  </si>
</sst>
</file>

<file path=xl/styles.xml><?xml version="1.0" encoding="utf-8"?>
<styleSheet xmlns="http://schemas.openxmlformats.org/spreadsheetml/2006/main">
  <numFmts count="8">
    <numFmt numFmtId="164" formatCode="General"/>
    <numFmt numFmtId="165" formatCode="#,##0.0"/>
    <numFmt numFmtId="166" formatCode="0.00%"/>
    <numFmt numFmtId="167" formatCode="0"/>
    <numFmt numFmtId="168" formatCode="0.00\x"/>
    <numFmt numFmtId="169" formatCode="#,##0.00"/>
    <numFmt numFmtId="170" formatCode="0.0000"/>
    <numFmt numFmtId="171" formatCode="0.0%"/>
  </numFmts>
  <fonts count="7">
    <font>
      <sz val="11"/>
      <color theme="1"/>
      <name val="Calibri"/>
      <family val="2"/>
      <charset val="1"/>
    </font>
    <font>
      <sz val="10"/>
      <name val="Arial"/>
      <family val="0"/>
    </font>
    <font>
      <sz val="10"/>
      <name val="Arial"/>
      <family val="0"/>
    </font>
    <font>
      <sz val="10"/>
      <name val="Arial"/>
      <family val="0"/>
    </font>
    <font>
      <b val="true"/>
      <sz val="12"/>
      <color rgb="FF172A42"/>
      <name val="Cambria"/>
      <family val="0"/>
      <charset val="1"/>
    </font>
    <font>
      <b val="true"/>
      <sz val="11"/>
      <color rgb="FFFFFFFF"/>
      <name val="Cambria"/>
      <family val="0"/>
      <charset val="1"/>
    </font>
    <font>
      <b val="true"/>
      <sz val="11"/>
      <color rgb="FF172A42"/>
      <name val="Cambria"/>
      <family val="0"/>
      <charset val="1"/>
    </font>
  </fonts>
  <fills count="5">
    <fill>
      <patternFill patternType="none"/>
    </fill>
    <fill>
      <patternFill patternType="gray125"/>
    </fill>
    <fill>
      <patternFill patternType="solid">
        <fgColor rgb="FF172A42"/>
        <bgColor rgb="FF003366"/>
      </patternFill>
    </fill>
    <fill>
      <patternFill patternType="solid">
        <fgColor rgb="FFFFF3D6"/>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69" fontId="0" fillId="4" borderId="1" xfId="0" applyFont="false" applyBorder="true" applyAlignment="false" applyProtection="false">
      <alignment horizontal="general" vertical="bottom" textRotation="0" wrapText="false" indent="0" shrinkToFit="false"/>
      <protection locked="true" hidden="false"/>
    </xf>
    <xf numFmtId="170" fontId="0" fillId="4"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71" fontId="0" fillId="4" borderId="1" xfId="0" applyFont="false" applyBorder="true" applyAlignment="false" applyProtection="false">
      <alignment horizontal="general" vertical="bottom" textRotation="0" wrapText="fals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71" fontId="0" fillId="0"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08080"/>
      <rgbColor rgb="FF9999FF"/>
      <rgbColor rgb="FF993366"/>
      <rgbColor rgb="FFFFF3D6"/>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30" hidden="false" customHeight="true" outlineLevel="0" collapsed="false">
      <c r="A2" s="2" t="s">
        <v>1</v>
      </c>
    </row>
    <row r="3" customFormat="false" ht="15" hidden="false" customHeight="true" outlineLevel="0" collapsed="false">
      <c r="A3" s="2"/>
    </row>
    <row r="4" customFormat="false" ht="75" hidden="false" customHeight="true" outlineLevel="0" collapsed="false">
      <c r="A4" s="2" t="s">
        <v>2</v>
      </c>
    </row>
    <row r="5" customFormat="false" ht="15" hidden="false" customHeight="true" outlineLevel="0" collapsed="false">
      <c r="A5" s="2"/>
    </row>
    <row r="6" customFormat="false" ht="15" hidden="false" customHeight="true" outlineLevel="0" collapsed="false">
      <c r="A6" s="1" t="s">
        <v>3</v>
      </c>
    </row>
    <row r="7" customFormat="false" ht="60" hidden="false" customHeight="true" outlineLevel="0" collapsed="false">
      <c r="A7" s="2" t="s">
        <v>4</v>
      </c>
    </row>
    <row r="8" customFormat="false" ht="15" hidden="false" customHeight="true" outlineLevel="0" collapsed="false">
      <c r="A8" s="2"/>
    </row>
    <row r="9" customFormat="false" ht="15" hidden="false" customHeight="true" outlineLevel="0" collapsed="false">
      <c r="A9" s="1" t="s">
        <v>5</v>
      </c>
    </row>
    <row r="10" customFormat="false" ht="60" hidden="false" customHeight="true" outlineLevel="0" collapsed="false">
      <c r="A10" s="2" t="s">
        <v>6</v>
      </c>
    </row>
    <row r="11" customFormat="false" ht="15" hidden="false" customHeight="true" outlineLevel="0" collapsed="false">
      <c r="A11" s="2"/>
    </row>
    <row r="12" customFormat="false" ht="60" hidden="false" customHeight="true" outlineLevel="0" collapsed="false">
      <c r="A12" s="2" t="s">
        <v>7</v>
      </c>
    </row>
    <row r="13" customFormat="false" ht="15" hidden="false" customHeight="true" outlineLevel="0" collapsed="false">
      <c r="A13" s="2"/>
    </row>
    <row r="14" customFormat="false" ht="75" hidden="false" customHeight="true" outlineLevel="0" collapsed="false">
      <c r="A14" s="2" t="s">
        <v>8</v>
      </c>
    </row>
    <row r="15" customFormat="false" ht="15" hidden="false" customHeight="true" outlineLevel="0" collapsed="false">
      <c r="A15" s="2"/>
    </row>
    <row r="16" customFormat="false" ht="60" hidden="false" customHeight="true" outlineLevel="0" collapsed="false">
      <c r="A16" s="2" t="s">
        <v>9</v>
      </c>
    </row>
    <row r="17" customFormat="false" ht="15" hidden="false" customHeight="true" outlineLevel="0" collapsed="false">
      <c r="A17" s="2"/>
    </row>
    <row r="18" customFormat="false" ht="15" hidden="false" customHeight="true" outlineLevel="0" collapsed="false">
      <c r="A18" s="1" t="s">
        <v>10</v>
      </c>
    </row>
    <row r="19" customFormat="false" ht="30" hidden="false" customHeight="true" outlineLevel="0" collapsed="false">
      <c r="A19" s="2" t="s">
        <v>11</v>
      </c>
    </row>
    <row r="20" customFormat="false" ht="15" hidden="false" customHeight="true" outlineLevel="0" collapsed="false">
      <c r="A20" s="2"/>
    </row>
    <row r="21" customFormat="false" ht="15" hidden="false" customHeight="true" outlineLevel="0" collapsed="false">
      <c r="A21" s="1" t="s">
        <v>12</v>
      </c>
    </row>
    <row r="22" customFormat="false" ht="15" hidden="false" customHeight="true" outlineLevel="0" collapsed="false">
      <c r="A22" s="2" t="s">
        <v>13</v>
      </c>
    </row>
    <row r="23" customFormat="false" ht="15" hidden="false" customHeight="true" outlineLevel="0" collapsed="false">
      <c r="A23" s="2" t="s">
        <v>14</v>
      </c>
    </row>
    <row r="24" customFormat="false" ht="15" hidden="false" customHeight="true" outlineLevel="0" collapsed="false">
      <c r="A24" s="2" t="s">
        <v>15</v>
      </c>
    </row>
    <row r="25" customFormat="false" ht="15" hidden="false" customHeight="true" outlineLevel="0" collapsed="false">
      <c r="A25" s="2" t="s">
        <v>16</v>
      </c>
    </row>
    <row r="26" customFormat="false" ht="15" hidden="false" customHeight="true" outlineLevel="0" collapsed="false">
      <c r="A26" s="2" t="s">
        <v>17</v>
      </c>
    </row>
    <row r="27" customFormat="false" ht="15" hidden="false" customHeight="true" outlineLevel="0" collapsed="false">
      <c r="A27" s="2" t="s">
        <v>18</v>
      </c>
    </row>
    <row r="28" customFormat="false" ht="15" hidden="false" customHeight="true" outlineLevel="0" collapsed="false">
      <c r="A28" s="2"/>
    </row>
    <row r="29" customFormat="false" ht="15" hidden="false" customHeight="true" outlineLevel="0" collapsed="false">
      <c r="A29" s="2" t="s">
        <v>19</v>
      </c>
    </row>
    <row r="31" customFormat="false" ht="55.2" hidden="false" customHeight="false" outlineLevel="0" collapsed="false">
      <c r="A31" s="2"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21</v>
      </c>
      <c r="B1" s="3" t="s">
        <v>22</v>
      </c>
      <c r="C1" s="3" t="s">
        <v>23</v>
      </c>
    </row>
    <row r="2" customFormat="false" ht="15" hidden="false" customHeight="false" outlineLevel="0" collapsed="false">
      <c r="A2" s="4" t="s">
        <v>24</v>
      </c>
      <c r="B2" s="5" t="n">
        <v>24</v>
      </c>
      <c r="C2" s="6" t="s">
        <v>25</v>
      </c>
    </row>
    <row r="3" customFormat="false" ht="15" hidden="false" customHeight="false" outlineLevel="0" collapsed="false">
      <c r="A3" s="4" t="s">
        <v>26</v>
      </c>
      <c r="B3" s="7" t="n">
        <v>0.022</v>
      </c>
      <c r="C3" s="6" t="s">
        <v>27</v>
      </c>
    </row>
    <row r="4" customFormat="false" ht="41.75" hidden="false" customHeight="false" outlineLevel="0" collapsed="false">
      <c r="A4" s="4" t="s">
        <v>28</v>
      </c>
      <c r="B4" s="8" t="n">
        <v>10</v>
      </c>
      <c r="C4" s="6" t="s">
        <v>29</v>
      </c>
    </row>
    <row r="6" customFormat="false" ht="15" hidden="false" customHeight="false" outlineLevel="0" collapsed="false">
      <c r="A6" s="3" t="s">
        <v>30</v>
      </c>
      <c r="B6" s="3" t="s">
        <v>22</v>
      </c>
      <c r="C6" s="3" t="s">
        <v>23</v>
      </c>
    </row>
    <row r="7" customFormat="false" ht="15" hidden="false" customHeight="false" outlineLevel="0" collapsed="false">
      <c r="A7" s="4" t="s">
        <v>31</v>
      </c>
      <c r="B7" s="7" t="n">
        <v>0.085</v>
      </c>
      <c r="C7" s="6" t="s">
        <v>32</v>
      </c>
    </row>
    <row r="8" customFormat="false" ht="15" hidden="false" customHeight="false" outlineLevel="0" collapsed="false">
      <c r="A8" s="4" t="s">
        <v>33</v>
      </c>
      <c r="B8" s="7" t="n">
        <v>0.018</v>
      </c>
      <c r="C8" s="6" t="s">
        <v>34</v>
      </c>
    </row>
    <row r="9" customFormat="false" ht="15" hidden="false" customHeight="false" outlineLevel="0" collapsed="false">
      <c r="A9" s="4" t="s">
        <v>35</v>
      </c>
      <c r="B9" s="9" t="n">
        <v>14</v>
      </c>
      <c r="C9" s="6" t="s">
        <v>36</v>
      </c>
    </row>
    <row r="11" customFormat="false" ht="15" hidden="false" customHeight="false" outlineLevel="0" collapsed="false">
      <c r="A11" s="3" t="s">
        <v>37</v>
      </c>
      <c r="B11" s="3" t="s">
        <v>22</v>
      </c>
      <c r="C11" s="3" t="s">
        <v>23</v>
      </c>
    </row>
    <row r="12" customFormat="false" ht="28.35" hidden="false" customHeight="false" outlineLevel="0" collapsed="false">
      <c r="A12" s="4" t="s">
        <v>38</v>
      </c>
      <c r="B12" s="9" t="n">
        <v>15</v>
      </c>
      <c r="C12" s="6" t="s">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11" min="2" style="0" width="12"/>
  </cols>
  <sheetData>
    <row r="1" customFormat="false" ht="15" hidden="false" customHeight="false" outlineLevel="0" collapsed="false">
      <c r="A1" s="3" t="s">
        <v>40</v>
      </c>
      <c r="B1" s="3" t="s">
        <v>41</v>
      </c>
      <c r="C1" s="3" t="s">
        <v>42</v>
      </c>
      <c r="D1" s="3" t="s">
        <v>43</v>
      </c>
      <c r="E1" s="3" t="s">
        <v>44</v>
      </c>
      <c r="F1" s="3" t="s">
        <v>45</v>
      </c>
      <c r="G1" s="3" t="s">
        <v>46</v>
      </c>
      <c r="H1" s="3" t="s">
        <v>47</v>
      </c>
      <c r="I1" s="3" t="s">
        <v>48</v>
      </c>
      <c r="J1" s="3" t="s">
        <v>49</v>
      </c>
      <c r="K1" s="3" t="s">
        <v>50</v>
      </c>
    </row>
    <row r="2" customFormat="false" ht="15" hidden="false" customHeight="false" outlineLevel="0" collapsed="false">
      <c r="A2" s="4" t="s">
        <v>51</v>
      </c>
      <c r="B2" s="10" t="n">
        <f aca="false">'1. Assumptions'!$B$2*(1+'1. Assumptions'!$B$3)^0</f>
        <v>24</v>
      </c>
      <c r="C2" s="10" t="n">
        <f aca="false">'1. Assumptions'!$B$2*(1+'1. Assumptions'!$B$3)^1</f>
        <v>24.528</v>
      </c>
      <c r="D2" s="10" t="n">
        <f aca="false">'1. Assumptions'!$B$2*(1+'1. Assumptions'!$B$3)^2</f>
        <v>25.067616</v>
      </c>
      <c r="E2" s="10" t="n">
        <f aca="false">'1. Assumptions'!$B$2*(1+'1. Assumptions'!$B$3)^3</f>
        <v>25.619103552</v>
      </c>
      <c r="F2" s="10" t="n">
        <f aca="false">'1. Assumptions'!$B$2*(1+'1. Assumptions'!$B$3)^4</f>
        <v>26.182723830144</v>
      </c>
      <c r="G2" s="10" t="n">
        <f aca="false">'1. Assumptions'!$B$2*(1+'1. Assumptions'!$B$3)^5</f>
        <v>26.7587437544072</v>
      </c>
      <c r="H2" s="10" t="n">
        <f aca="false">'1. Assumptions'!$B$2*(1+'1. Assumptions'!$B$3)^6</f>
        <v>27.3474361170041</v>
      </c>
      <c r="I2" s="10" t="n">
        <f aca="false">'1. Assumptions'!$B$2*(1+'1. Assumptions'!$B$3)^7</f>
        <v>27.9490797115782</v>
      </c>
      <c r="J2" s="10" t="n">
        <f aca="false">'1. Assumptions'!$B$2*(1+'1. Assumptions'!$B$3)^8</f>
        <v>28.5639594652329</v>
      </c>
      <c r="K2" s="10" t="n">
        <f aca="false">'1. Assumptions'!$B$2*(1+'1. Assumptions'!$B$3)^9</f>
        <v>29.1923665734681</v>
      </c>
    </row>
    <row r="3" customFormat="false" ht="15" hidden="false" customHeight="false" outlineLevel="0" collapsed="false">
      <c r="A3" s="4" t="s">
        <v>52</v>
      </c>
      <c r="B3" s="11" t="n">
        <f aca="false">1/(1+'1. Assumptions'!$B$7)^1</f>
        <v>0.921658986175115</v>
      </c>
      <c r="C3" s="11" t="n">
        <f aca="false">1/(1+'1. Assumptions'!$B$7)^2</f>
        <v>0.849455286797341</v>
      </c>
      <c r="D3" s="11" t="n">
        <f aca="false">1/(1+'1. Assumptions'!$B$7)^3</f>
        <v>0.782908098430729</v>
      </c>
      <c r="E3" s="11" t="n">
        <f aca="false">1/(1+'1. Assumptions'!$B$7)^4</f>
        <v>0.721574284267953</v>
      </c>
      <c r="F3" s="11" t="n">
        <f aca="false">1/(1+'1. Assumptions'!$B$7)^5</f>
        <v>0.665045423288436</v>
      </c>
      <c r="G3" s="11" t="n">
        <f aca="false">1/(1+'1. Assumptions'!$B$7)^6</f>
        <v>0.612945090588421</v>
      </c>
      <c r="H3" s="11" t="n">
        <f aca="false">1/(1+'1. Assumptions'!$B$7)^7</f>
        <v>0.564926350772738</v>
      </c>
      <c r="I3" s="11" t="n">
        <f aca="false">1/(1+'1. Assumptions'!$B$7)^8</f>
        <v>0.520669447716809</v>
      </c>
      <c r="J3" s="11" t="n">
        <f aca="false">1/(1+'1. Assumptions'!$B$7)^9</f>
        <v>0.479879675315031</v>
      </c>
      <c r="K3" s="11" t="n">
        <f aca="false">1/(1+'1. Assumptions'!$B$7)^10</f>
        <v>0.442285415036895</v>
      </c>
    </row>
    <row r="4" customFormat="false" ht="15" hidden="false" customHeight="false" outlineLevel="0" collapsed="false">
      <c r="A4" s="4" t="s">
        <v>53</v>
      </c>
      <c r="B4" s="10" t="n">
        <f aca="false">B2*B3</f>
        <v>22.1198156682028</v>
      </c>
      <c r="C4" s="10" t="n">
        <f aca="false">C2*C3</f>
        <v>20.8354392745652</v>
      </c>
      <c r="D4" s="10" t="n">
        <f aca="false">D2*D3</f>
        <v>19.6256395747517</v>
      </c>
      <c r="E4" s="10" t="n">
        <f aca="false">E2*E3</f>
        <v>18.486086309121</v>
      </c>
      <c r="F4" s="10" t="n">
        <f aca="false">F2*F3</f>
        <v>17.4127006524623</v>
      </c>
      <c r="G4" s="10" t="n">
        <f aca="false">G2*G3</f>
        <v>16.4016406145774</v>
      </c>
      <c r="H4" s="10" t="n">
        <f aca="false">H2*H3</f>
        <v>15.4492872885697</v>
      </c>
      <c r="I4" s="10" t="n">
        <f aca="false">I2*I3</f>
        <v>14.5522318976205</v>
      </c>
      <c r="J4" s="10" t="n">
        <f aca="false">J2*J3</f>
        <v>13.7072635938877</v>
      </c>
      <c r="K4" s="10" t="n">
        <f aca="false">K2*K3</f>
        <v>12.9113579658555</v>
      </c>
    </row>
    <row r="6" customFormat="false" ht="15" hidden="false" customHeight="false" outlineLevel="0" collapsed="false">
      <c r="A6" s="12" t="s">
        <v>54</v>
      </c>
      <c r="B6" s="13" t="n">
        <f aca="false">SUM(B4:K4)</f>
        <v>171.501462839614</v>
      </c>
    </row>
    <row r="7" customFormat="false" ht="15" hidden="false" customHeight="false" outlineLevel="0" collapsed="false">
      <c r="A7" s="0" t="s">
        <v>55</v>
      </c>
      <c r="B7" s="10" t="n">
        <f aca="false">K2</f>
        <v>29.1923665734681</v>
      </c>
    </row>
    <row r="8" customFormat="false" ht="15" hidden="false" customHeight="false" outlineLevel="0" collapsed="false">
      <c r="A8" s="0" t="s">
        <v>56</v>
      </c>
      <c r="B8" s="11" t="n">
        <f aca="false">K3</f>
        <v>0.442285415036895</v>
      </c>
    </row>
    <row r="10" customFormat="false" ht="55.2" hidden="false" customHeight="false" outlineLevel="0" collapsed="false">
      <c r="A10" s="2"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58</v>
      </c>
      <c r="B1" s="3" t="s">
        <v>22</v>
      </c>
      <c r="C1" s="3"/>
    </row>
    <row r="2" customFormat="false" ht="15" hidden="false" customHeight="false" outlineLevel="0" collapsed="false">
      <c r="A2" s="4" t="s">
        <v>55</v>
      </c>
      <c r="B2" s="10" t="n">
        <f aca="false">'2. Cash flow and discounting'!B7</f>
        <v>29.1923665734681</v>
      </c>
      <c r="C2" s="6"/>
    </row>
    <row r="3" customFormat="false" ht="15" hidden="false" customHeight="false" outlineLevel="0" collapsed="false">
      <c r="A3" s="4" t="s">
        <v>59</v>
      </c>
      <c r="B3" s="10" t="n">
        <f aca="false">B2*(1+'1. Assumptions'!B8)</f>
        <v>29.7178291717905</v>
      </c>
      <c r="C3" s="6"/>
    </row>
    <row r="4" customFormat="false" ht="28.35" hidden="false" customHeight="false" outlineLevel="0" collapsed="false">
      <c r="A4" s="4" t="s">
        <v>60</v>
      </c>
      <c r="B4" s="14" t="n">
        <f aca="false">'1. Assumptions'!B7-'1. Assumptions'!B8</f>
        <v>0.067</v>
      </c>
      <c r="C4" s="6" t="s">
        <v>61</v>
      </c>
    </row>
    <row r="5" customFormat="false" ht="15" hidden="false" customHeight="false" outlineLevel="0" collapsed="false">
      <c r="A5" s="15" t="s">
        <v>62</v>
      </c>
      <c r="B5" s="13" t="n">
        <f aca="false">B3/B4</f>
        <v>443.549689131201</v>
      </c>
      <c r="C5" s="6"/>
    </row>
    <row r="6" customFormat="false" ht="15" hidden="false" customHeight="false" outlineLevel="0" collapsed="false">
      <c r="A6" s="15" t="s">
        <v>63</v>
      </c>
      <c r="B6" s="13" t="n">
        <f aca="false">B5*'2. Cash flow and discounting'!B8</f>
        <v>196.175558346879</v>
      </c>
      <c r="C6" s="6"/>
    </row>
    <row r="7" customFormat="false" ht="28.35" hidden="false" customHeight="false" outlineLevel="0" collapsed="false">
      <c r="A7" s="4" t="s">
        <v>64</v>
      </c>
      <c r="B7" s="16" t="n">
        <f aca="false">B5/B2</f>
        <v>15.1940298507463</v>
      </c>
      <c r="C7" s="6" t="s">
        <v>65</v>
      </c>
    </row>
    <row r="9" customFormat="false" ht="15" hidden="false" customHeight="false" outlineLevel="0" collapsed="false">
      <c r="A9" s="3" t="s">
        <v>66</v>
      </c>
      <c r="B9" s="3" t="s">
        <v>22</v>
      </c>
      <c r="C9" s="3"/>
    </row>
    <row r="10" customFormat="false" ht="15" hidden="false" customHeight="false" outlineLevel="0" collapsed="false">
      <c r="A10" s="4" t="s">
        <v>67</v>
      </c>
      <c r="B10" s="16" t="n">
        <f aca="false">'1. Assumptions'!B9</f>
        <v>14</v>
      </c>
      <c r="C10" s="6"/>
    </row>
    <row r="11" customFormat="false" ht="15" hidden="false" customHeight="false" outlineLevel="0" collapsed="false">
      <c r="A11" s="15" t="s">
        <v>62</v>
      </c>
      <c r="B11" s="13" t="n">
        <f aca="false">B10*B2</f>
        <v>408.693132028553</v>
      </c>
      <c r="C11" s="6"/>
    </row>
    <row r="12" customFormat="false" ht="15" hidden="false" customHeight="false" outlineLevel="0" collapsed="false">
      <c r="A12" s="15" t="s">
        <v>63</v>
      </c>
      <c r="B12" s="13" t="n">
        <f aca="false">B11*'2. Cash flow and discounting'!B8</f>
        <v>180.759011521977</v>
      </c>
      <c r="C12" s="6"/>
    </row>
    <row r="13" customFormat="false" ht="41.75" hidden="false" customHeight="false" outlineLevel="0" collapsed="false">
      <c r="A13" s="4" t="s">
        <v>68</v>
      </c>
      <c r="B13" s="14" t="n">
        <f aca="false">('1. Assumptions'!B7*B10-1)/(B10+1)</f>
        <v>0.0126666666666667</v>
      </c>
      <c r="C13" s="6" t="s">
        <v>69</v>
      </c>
    </row>
    <row r="15" customFormat="false" ht="15" hidden="false" customHeight="false" outlineLevel="0" collapsed="false">
      <c r="A15" s="3" t="s">
        <v>70</v>
      </c>
      <c r="B15" s="3" t="s">
        <v>22</v>
      </c>
      <c r="C15" s="3"/>
    </row>
    <row r="16" customFormat="false" ht="15" hidden="false" customHeight="false" outlineLevel="0" collapsed="false">
      <c r="A16" s="4" t="s">
        <v>71</v>
      </c>
      <c r="B16" s="10" t="n">
        <f aca="false">B5-B11</f>
        <v>34.8565571026484</v>
      </c>
      <c r="C16" s="6"/>
    </row>
    <row r="17" customFormat="false" ht="28.35" hidden="false" customHeight="false" outlineLevel="0" collapsed="false">
      <c r="A17" s="15" t="s">
        <v>72</v>
      </c>
      <c r="B17" s="17" t="n">
        <f aca="false">B16/B5</f>
        <v>0.0785854616895874</v>
      </c>
      <c r="C17" s="6" t="s">
        <v>73</v>
      </c>
    </row>
    <row r="19" customFormat="false" ht="15" hidden="false" customHeight="false" outlineLevel="0" collapsed="false">
      <c r="A19" s="3" t="s">
        <v>74</v>
      </c>
      <c r="B19" s="3" t="s">
        <v>22</v>
      </c>
      <c r="C19" s="3"/>
    </row>
    <row r="20" customFormat="false" ht="15" hidden="false" customHeight="false" outlineLevel="0" collapsed="false">
      <c r="A20" s="4" t="s">
        <v>54</v>
      </c>
      <c r="B20" s="10" t="n">
        <f aca="false">'2. Cash flow and discounting'!B6</f>
        <v>171.501462839614</v>
      </c>
      <c r="C20" s="6"/>
    </row>
    <row r="21" customFormat="false" ht="15" hidden="false" customHeight="false" outlineLevel="0" collapsed="false">
      <c r="A21" s="4" t="s">
        <v>63</v>
      </c>
      <c r="B21" s="10" t="n">
        <f aca="false">B6</f>
        <v>196.175558346879</v>
      </c>
      <c r="C21" s="6" t="s">
        <v>75</v>
      </c>
    </row>
    <row r="22" customFormat="false" ht="15" hidden="false" customHeight="false" outlineLevel="0" collapsed="false">
      <c r="A22" s="15" t="s">
        <v>76</v>
      </c>
      <c r="B22" s="13" t="n">
        <f aca="false">B20+B21</f>
        <v>367.677021186493</v>
      </c>
      <c r="C22" s="6"/>
    </row>
    <row r="23" customFormat="false" ht="15" hidden="false" customHeight="false" outlineLevel="0" collapsed="false">
      <c r="A23" s="15" t="s">
        <v>77</v>
      </c>
      <c r="B23" s="17" t="n">
        <f aca="false">B21/B22</f>
        <v>0.533554035315618</v>
      </c>
      <c r="C23" s="6" t="s">
        <v>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6" min="2" style="0" width="13"/>
  </cols>
  <sheetData>
    <row r="1" customFormat="false" ht="15" hidden="false" customHeight="false" outlineLevel="0" collapsed="false">
      <c r="A1" s="3" t="s">
        <v>79</v>
      </c>
      <c r="B1" s="3" t="s">
        <v>80</v>
      </c>
      <c r="C1" s="3" t="s">
        <v>81</v>
      </c>
      <c r="D1" s="3" t="s">
        <v>82</v>
      </c>
      <c r="E1" s="3" t="s">
        <v>83</v>
      </c>
      <c r="F1" s="3" t="s">
        <v>84</v>
      </c>
    </row>
    <row r="2" customFormat="false" ht="15" hidden="false" customHeight="false" outlineLevel="0" collapsed="false">
      <c r="A2" s="15" t="s">
        <v>85</v>
      </c>
      <c r="B2" s="18" t="n">
        <f aca="true">(('1. Assumptions'!$B$2*(1+'1. Assumptions'!$B$3)^9*(1+0.01))/(0.075-0.01)/(1+0.075)^10)/(SUMPRODUCT('1. Assumptions'!$B$2*(1+'1. Assumptions'!$B$3)^(ROW(INDIRECT("1:10"))-1),1/(1+0.075)^ROW(INDIRECT("1:10")))+(('1. Assumptions'!$B$2*(1+'1. Assumptions'!$B$3)^9*(1+0.01))/(0.075-0.01)/(1+0.075)^10))</f>
        <v>0.550500996722847</v>
      </c>
      <c r="C2" s="18" t="n">
        <f aca="true">(('1. Assumptions'!$B$2*(1+'1. Assumptions'!$B$3)^9*(1+0.014))/(0.075-0.014)/(1+0.075)^10)/(SUMPRODUCT('1. Assumptions'!$B$2*(1+'1. Assumptions'!$B$3)^(ROW(INDIRECT("1:10"))-1),1/(1+0.075)^ROW(INDIRECT("1:10")))+(('1. Assumptions'!$B$2*(1+'1. Assumptions'!$B$3)^9*(1+0.014))/(0.075-0.014)/(1+0.075)^10))</f>
        <v>0.567132456874449</v>
      </c>
      <c r="D2" s="18" t="n">
        <f aca="true">(('1. Assumptions'!$B$2*(1+'1. Assumptions'!$B$3)^9*(1+0.018))/(0.075-0.018)/(1+0.075)^10)/(SUMPRODUCT('1. Assumptions'!$B$2*(1+'1. Assumptions'!$B$3)^(ROW(INDIRECT("1:10"))-1),1/(1+0.075)^ROW(INDIRECT("1:10")))+(('1. Assumptions'!$B$2*(1+'1. Assumptions'!$B$3)^9*(1+0.018))/(0.075-0.018)/(1+0.075)^10))</f>
        <v>0.584657013104683</v>
      </c>
      <c r="E2" s="18" t="n">
        <f aca="true">(('1. Assumptions'!$B$2*(1+'1. Assumptions'!$B$3)^9*(1+0.022))/(0.075-0.022)/(1+0.075)^10)/(SUMPRODUCT('1. Assumptions'!$B$2*(1+'1. Assumptions'!$B$3)^(ROW(INDIRECT("1:10"))-1),1/(1+0.075)^ROW(INDIRECT("1:10")))+(('1. Assumptions'!$B$2*(1+'1. Assumptions'!$B$3)^9*(1+0.022))/(0.075-0.022)/(1+0.075)^10))</f>
        <v>0.603148588021236</v>
      </c>
      <c r="F2" s="18" t="n">
        <f aca="true">(('1. Assumptions'!$B$2*(1+'1. Assumptions'!$B$3)^9*(1+0.026))/(0.075-0.026)/(1+0.075)^10)/(SUMPRODUCT('1. Assumptions'!$B$2*(1+'1. Assumptions'!$B$3)^(ROW(INDIRECT("1:10"))-1),1/(1+0.075)^ROW(INDIRECT("1:10")))+(('1. Assumptions'!$B$2*(1+'1. Assumptions'!$B$3)^9*(1+0.026))/(0.075-0.026)/(1+0.075)^10))</f>
        <v>0.622689493920929</v>
      </c>
    </row>
    <row r="3" customFormat="false" ht="15" hidden="false" customHeight="false" outlineLevel="0" collapsed="false">
      <c r="A3" s="15" t="s">
        <v>86</v>
      </c>
      <c r="B3" s="18" t="n">
        <f aca="true">(('1. Assumptions'!$B$2*(1+'1. Assumptions'!$B$3)^9*(1+0.01))/(0.08-0.01)/(1+0.08)^10)/(SUMPRODUCT('1. Assumptions'!$B$2*(1+'1. Assumptions'!$B$3)^(ROW(INDIRECT("1:10"))-1),1/(1+0.08)^ROW(INDIRECT("1:10")))+(('1. Assumptions'!$B$2*(1+'1. Assumptions'!$B$3)^9*(1+0.01))/(0.08-0.01)/(1+0.08)^10))</f>
        <v>0.526398067865627</v>
      </c>
      <c r="C3" s="18" t="n">
        <f aca="true">(('1. Assumptions'!$B$2*(1+'1. Assumptions'!$B$3)^9*(1+0.014))/(0.08-0.014)/(1+0.08)^10)/(SUMPRODUCT('1. Assumptions'!$B$2*(1+'1. Assumptions'!$B$3)^(ROW(INDIRECT("1:10"))-1),1/(1+0.08)^ROW(INDIRECT("1:10")))+(('1. Assumptions'!$B$2*(1+'1. Assumptions'!$B$3)^9*(1+0.014))/(0.08-0.014)/(1+0.08)^10))</f>
        <v>0.542021547628521</v>
      </c>
      <c r="D3" s="18" t="n">
        <f aca="true">(('1. Assumptions'!$B$2*(1+'1. Assumptions'!$B$3)^9*(1+0.018))/(0.08-0.018)/(1+0.08)^10)/(SUMPRODUCT('1. Assumptions'!$B$2*(1+'1. Assumptions'!$B$3)^(ROW(INDIRECT("1:10"))-1),1/(1+0.08)^ROW(INDIRECT("1:10")))+(('1. Assumptions'!$B$2*(1+'1. Assumptions'!$B$3)^9*(1+0.018))/(0.08-0.018)/(1+0.08)^10))</f>
        <v>0.558466561847233</v>
      </c>
      <c r="E3" s="18" t="n">
        <f aca="true">(('1. Assumptions'!$B$2*(1+'1. Assumptions'!$B$3)^9*(1+0.022))/(0.08-0.022)/(1+0.08)^10)/(SUMPRODUCT('1. Assumptions'!$B$2*(1+'1. Assumptions'!$B$3)^(ROW(INDIRECT("1:10"))-1),1/(1+0.08)^ROW(INDIRECT("1:10")))+(('1. Assumptions'!$B$2*(1+'1. Assumptions'!$B$3)^9*(1+0.022))/(0.08-0.022)/(1+0.08)^10))</f>
        <v>0.575799658699203</v>
      </c>
      <c r="F3" s="18" t="n">
        <f aca="true">(('1. Assumptions'!$B$2*(1+'1. Assumptions'!$B$3)^9*(1+0.026))/(0.08-0.026)/(1+0.08)^10)/(SUMPRODUCT('1. Assumptions'!$B$2*(1+'1. Assumptions'!$B$3)^(ROW(INDIRECT("1:10"))-1),1/(1+0.08)^ROW(INDIRECT("1:10")))+(('1. Assumptions'!$B$2*(1+'1. Assumptions'!$B$3)^9*(1+0.026))/(0.08-0.026)/(1+0.08)^10))</f>
        <v>0.594094773447774</v>
      </c>
    </row>
    <row r="4" customFormat="false" ht="15" hidden="false" customHeight="false" outlineLevel="0" collapsed="false">
      <c r="A4" s="15" t="s">
        <v>87</v>
      </c>
      <c r="B4" s="18" t="n">
        <f aca="true">(('1. Assumptions'!$B$2*(1+'1. Assumptions'!$B$3)^9*(1+0.01))/(0.085-0.01)/(1+0.085)^10)/(SUMPRODUCT('1. Assumptions'!$B$2*(1+'1. Assumptions'!$B$3)^(ROW(INDIRECT("1:10"))-1),1/(1+0.085)^ROW(INDIRECT("1:10")))+(('1. Assumptions'!$B$2*(1+'1. Assumptions'!$B$3)^9*(1+0.01))/(0.085-0.01)/(1+0.085)^10))</f>
        <v>0.503433217669515</v>
      </c>
      <c r="C4" s="18" t="n">
        <f aca="true">(('1. Assumptions'!$B$2*(1+'1. Assumptions'!$B$3)^9*(1+0.014))/(0.085-0.014)/(1+0.085)^10)/(SUMPRODUCT('1. Assumptions'!$B$2*(1+'1. Assumptions'!$B$3)^(ROW(INDIRECT("1:10"))-1),1/(1+0.085)^ROW(INDIRECT("1:10")))+(('1. Assumptions'!$B$2*(1+'1. Assumptions'!$B$3)^9*(1+0.014))/(0.085-0.014)/(1+0.085)^10))</f>
        <v>0.518115541376203</v>
      </c>
      <c r="D4" s="18" t="n">
        <f aca="true">(('1. Assumptions'!$B$2*(1+'1. Assumptions'!$B$3)^9*(1+0.018))/(0.085-0.018)/(1+0.085)^10)/(SUMPRODUCT('1. Assumptions'!$B$2*(1+'1. Assumptions'!$B$3)^(ROW(INDIRECT("1:10"))-1),1/(1+0.085)^ROW(INDIRECT("1:10")))+(('1. Assumptions'!$B$2*(1+'1. Assumptions'!$B$3)^9*(1+0.018))/(0.085-0.018)/(1+0.085)^10))</f>
        <v>0.533554035315618</v>
      </c>
      <c r="E4" s="18" t="n">
        <f aca="true">(('1. Assumptions'!$B$2*(1+'1. Assumptions'!$B$3)^9*(1+0.022))/(0.085-0.022)/(1+0.085)^10)/(SUMPRODUCT('1. Assumptions'!$B$2*(1+'1. Assumptions'!$B$3)^(ROW(INDIRECT("1:10"))-1),1/(1+0.085)^ROW(INDIRECT("1:10")))+(('1. Assumptions'!$B$2*(1+'1. Assumptions'!$B$3)^9*(1+0.022))/(0.085-0.022)/(1+0.085)^10))</f>
        <v>0.549808660046014</v>
      </c>
      <c r="F4" s="18" t="n">
        <f aca="true">(('1. Assumptions'!$B$2*(1+'1. Assumptions'!$B$3)^9*(1+0.026))/(0.085-0.026)/(1+0.085)^10)/(SUMPRODUCT('1. Assumptions'!$B$2*(1+'1. Assumptions'!$B$3)^(ROW(INDIRECT("1:10"))-1),1/(1+0.085)^ROW(INDIRECT("1:10")))+(('1. Assumptions'!$B$2*(1+'1. Assumptions'!$B$3)^9*(1+0.026))/(0.085-0.026)/(1+0.085)^10))</f>
        <v>0.566945887670902</v>
      </c>
    </row>
    <row r="5" customFormat="false" ht="15" hidden="false" customHeight="false" outlineLevel="0" collapsed="false">
      <c r="A5" s="15" t="s">
        <v>88</v>
      </c>
      <c r="B5" s="18" t="n">
        <f aca="true">(('1. Assumptions'!$B$2*(1+'1. Assumptions'!$B$3)^9*(1+0.01))/(0.09-0.01)/(1+0.09)^10)/(SUMPRODUCT('1. Assumptions'!$B$2*(1+'1. Assumptions'!$B$3)^(ROW(INDIRECT("1:10"))-1),1/(1+0.09)^ROW(INDIRECT("1:10")))+(('1. Assumptions'!$B$2*(1+'1. Assumptions'!$B$3)^9*(1+0.01))/(0.09-0.01)/(1+0.09)^10))</f>
        <v>0.481549351459647</v>
      </c>
      <c r="C5" s="18" t="n">
        <f aca="true">(('1. Assumptions'!$B$2*(1+'1. Assumptions'!$B$3)^9*(1+0.014))/(0.09-0.014)/(1+0.09)^10)/(SUMPRODUCT('1. Assumptions'!$B$2*(1+'1. Assumptions'!$B$3)^(ROW(INDIRECT("1:10"))-1),1/(1+0.09)^ROW(INDIRECT("1:10")))+(('1. Assumptions'!$B$2*(1+'1. Assumptions'!$B$3)^9*(1+0.014))/(0.09-0.014)/(1+0.09)^10))</f>
        <v>0.495352570846051</v>
      </c>
      <c r="D5" s="18" t="n">
        <f aca="true">(('1. Assumptions'!$B$2*(1+'1. Assumptions'!$B$3)^9*(1+0.018))/(0.09-0.018)/(1+0.09)^10)/(SUMPRODUCT('1. Assumptions'!$B$2*(1+'1. Assumptions'!$B$3)^(ROW(INDIRECT("1:10"))-1),1/(1+0.09)^ROW(INDIRECT("1:10")))+(('1. Assumptions'!$B$2*(1+'1. Assumptions'!$B$3)^9*(1+0.018))/(0.09-0.018)/(1+0.09)^10))</f>
        <v>0.509852220171466</v>
      </c>
      <c r="E5" s="18" t="n">
        <f aca="true">(('1. Assumptions'!$B$2*(1+'1. Assumptions'!$B$3)^9*(1+0.022))/(0.09-0.022)/(1+0.09)^10)/(SUMPRODUCT('1. Assumptions'!$B$2*(1+'1. Assumptions'!$B$3)^(ROW(INDIRECT("1:10"))-1),1/(1+0.09)^ROW(INDIRECT("1:10")))+(('1. Assumptions'!$B$2*(1+'1. Assumptions'!$B$3)^9*(1+0.022))/(0.09-0.022)/(1+0.09)^10))</f>
        <v>0.52510237017176</v>
      </c>
      <c r="F5" s="18" t="n">
        <f aca="true">(('1. Assumptions'!$B$2*(1+'1. Assumptions'!$B$3)^9*(1+0.026))/(0.09-0.026)/(1+0.09)^10)/(SUMPRODUCT('1. Assumptions'!$B$2*(1+'1. Assumptions'!$B$3)^(ROW(INDIRECT("1:10"))-1),1/(1+0.09)^ROW(INDIRECT("1:10")))+(('1. Assumptions'!$B$2*(1+'1. Assumptions'!$B$3)^9*(1+0.026))/(0.09-0.026)/(1+0.09)^10))</f>
        <v>0.541162837685526</v>
      </c>
    </row>
    <row r="6" customFormat="false" ht="15" hidden="false" customHeight="false" outlineLevel="0" collapsed="false">
      <c r="A6" s="15" t="s">
        <v>89</v>
      </c>
      <c r="B6" s="18" t="n">
        <f aca="true">(('1. Assumptions'!$B$2*(1+'1. Assumptions'!$B$3)^9*(1+0.01))/(0.095-0.01)/(1+0.095)^10)/(SUMPRODUCT('1. Assumptions'!$B$2*(1+'1. Assumptions'!$B$3)^(ROW(INDIRECT("1:10"))-1),1/(1+0.095)^ROW(INDIRECT("1:10")))+(('1. Assumptions'!$B$2*(1+'1. Assumptions'!$B$3)^9*(1+0.01))/(0.095-0.01)/(1+0.095)^10))</f>
        <v>0.460692366831959</v>
      </c>
      <c r="C6" s="18" t="n">
        <f aca="true">(('1. Assumptions'!$B$2*(1+'1. Assumptions'!$B$3)^9*(1+0.014))/(0.095-0.014)/(1+0.095)^10)/(SUMPRODUCT('1. Assumptions'!$B$2*(1+'1. Assumptions'!$B$3)^(ROW(INDIRECT("1:10"))-1),1/(1+0.095)^ROW(INDIRECT("1:10")))+(('1. Assumptions'!$B$2*(1+'1. Assumptions'!$B$3)^9*(1+0.014))/(0.095-0.014)/(1+0.095)^10))</f>
        <v>0.47367412327691</v>
      </c>
      <c r="D6" s="18" t="n">
        <f aca="true">(('1. Assumptions'!$B$2*(1+'1. Assumptions'!$B$3)^9*(1+0.018))/(0.095-0.018)/(1+0.095)^10)/(SUMPRODUCT('1. Assumptions'!$B$2*(1+'1. Assumptions'!$B$3)^(ROW(INDIRECT("1:10"))-1),1/(1+0.095)^ROW(INDIRECT("1:10")))+(('1. Assumptions'!$B$2*(1+'1. Assumptions'!$B$3)^9*(1+0.018))/(0.095-0.018)/(1+0.095)^10))</f>
        <v>0.487297675985405</v>
      </c>
      <c r="E6" s="18" t="n">
        <f aca="true">(('1. Assumptions'!$B$2*(1+'1. Assumptions'!$B$3)^9*(1+0.022))/(0.095-0.022)/(1+0.095)^10)/(SUMPRODUCT('1. Assumptions'!$B$2*(1+'1. Assumptions'!$B$3)^(ROW(INDIRECT("1:10"))-1),1/(1+0.095)^ROW(INDIRECT("1:10")))+(('1. Assumptions'!$B$2*(1+'1. Assumptions'!$B$3)^9*(1+0.022))/(0.095-0.022)/(1+0.095)^10))</f>
        <v>0.501611825256015</v>
      </c>
      <c r="F6" s="18" t="n">
        <f aca="true">(('1. Assumptions'!$B$2*(1+'1. Assumptions'!$B$3)^9*(1+0.026))/(0.095-0.026)/(1+0.095)^10)/(SUMPRODUCT('1. Assumptions'!$B$2*(1+'1. Assumptions'!$B$3)^(ROW(INDIRECT("1:10"))-1),1/(1+0.095)^ROW(INDIRECT("1:10")))+(('1. Assumptions'!$B$2*(1+'1. Assumptions'!$B$3)^9*(1+0.026))/(0.095-0.026)/(1+0.095)^10))</f>
        <v>0.516670447554304</v>
      </c>
    </row>
    <row r="9" customFormat="false" ht="68.65" hidden="false" customHeight="false" outlineLevel="0" collapsed="false">
      <c r="A9" s="2" t="s">
        <v>90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91</v>
      </c>
      <c r="B1" s="3" t="s">
        <v>92</v>
      </c>
      <c r="C1" s="3"/>
    </row>
    <row r="2" customFormat="false" ht="15" hidden="false" customHeight="false" outlineLevel="0" collapsed="false">
      <c r="A2" s="4" t="s">
        <v>93</v>
      </c>
      <c r="B2" s="10" t="n">
        <f aca="false">'3. Terminal value'!B22</f>
        <v>367.677021186493</v>
      </c>
      <c r="C2" s="6"/>
    </row>
    <row r="3" customFormat="false" ht="15" hidden="false" customHeight="false" outlineLevel="0" collapsed="false">
      <c r="A3" s="4" t="s">
        <v>94</v>
      </c>
      <c r="B3" s="16" t="n">
        <f aca="false">'1. Assumptions'!B12</f>
        <v>15</v>
      </c>
      <c r="C3" s="6"/>
    </row>
    <row r="4" customFormat="false" ht="15" hidden="false" customHeight="false" outlineLevel="0" collapsed="false">
      <c r="A4" s="4" t="s">
        <v>95</v>
      </c>
      <c r="B4" s="10" t="n">
        <f aca="false">B3*'1. Assumptions'!B2</f>
        <v>360</v>
      </c>
      <c r="C4" s="6" t="s">
        <v>96</v>
      </c>
    </row>
    <row r="5" customFormat="false" ht="15" hidden="false" customHeight="false" outlineLevel="0" collapsed="false">
      <c r="A5" s="15" t="s">
        <v>97</v>
      </c>
      <c r="B5" s="13" t="n">
        <f aca="false">B2-B4</f>
        <v>7.67702118649322</v>
      </c>
      <c r="C5" s="6"/>
    </row>
    <row r="6" customFormat="false" ht="15" hidden="false" customHeight="false" outlineLevel="0" collapsed="false">
      <c r="A6" s="15" t="s">
        <v>98</v>
      </c>
      <c r="B6" s="17" t="n">
        <f aca="false">B5/B4</f>
        <v>0.0213250588513701</v>
      </c>
      <c r="C6" s="6"/>
    </row>
    <row r="8" customFormat="false" ht="82.05" hidden="false" customHeight="false" outlineLevel="0" collapsed="false">
      <c r="A8" s="2" t="s">
        <v>99</v>
      </c>
    </row>
    <row r="10" customFormat="false" ht="41.75" hidden="false" customHeight="false" outlineLevel="0" collapsed="false">
      <c r="A10" s="2" t="s">
        <v>100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3" t="s">
        <v>101</v>
      </c>
      <c r="B1" s="3" t="s">
        <v>102</v>
      </c>
      <c r="C1" s="3" t="s">
        <v>22</v>
      </c>
      <c r="D1" s="3" t="s">
        <v>103</v>
      </c>
    </row>
    <row r="2" customFormat="false" ht="15" hidden="false" customHeight="false" outlineLevel="0" collapsed="false">
      <c r="A2" s="4" t="n">
        <v>1</v>
      </c>
      <c r="B2" s="6" t="s">
        <v>104</v>
      </c>
      <c r="C2" s="19" t="n">
        <f aca="false">'3. Terminal value'!B22-('2. Cash flow and discounting'!B6+'3. Terminal value'!B6)</f>
        <v>0</v>
      </c>
      <c r="D2" s="15" t="str">
        <f aca="false">IF(ABS(C2)&lt;0.0001,"PASS","FAIL")</f>
        <v>PASS</v>
      </c>
    </row>
    <row r="3" customFormat="false" ht="28.35" hidden="false" customHeight="false" outlineLevel="0" collapsed="false">
      <c r="A3" s="4" t="n">
        <v>2</v>
      </c>
      <c r="B3" s="6" t="s">
        <v>105</v>
      </c>
      <c r="C3" s="19" t="n">
        <f aca="false">'2. Cash flow and discounting'!B4-'1. Assumptions'!B2/(1+'1. Assumptions'!B7)</f>
        <v>0</v>
      </c>
      <c r="D3" s="15" t="str">
        <f aca="false">IF(ABS(C3)&lt;0.0001,"PASS","FAIL")</f>
        <v>PASS</v>
      </c>
    </row>
    <row r="4" customFormat="false" ht="28.35" hidden="false" customHeight="false" outlineLevel="0" collapsed="false">
      <c r="A4" s="4" t="n">
        <v>3</v>
      </c>
      <c r="B4" s="6" t="s">
        <v>106</v>
      </c>
      <c r="C4" s="20" t="n">
        <f aca="false">'3. Terminal value'!B7</f>
        <v>15.1940298507463</v>
      </c>
      <c r="D4" s="15" t="str">
        <f aca="false">IF(AND(C4&gt;4,C4&lt;25),"PASS","EXPLAIN")</f>
        <v>PASS</v>
      </c>
    </row>
    <row r="5" customFormat="false" ht="15" hidden="false" customHeight="false" outlineLevel="0" collapsed="false">
      <c r="A5" s="4" t="n">
        <v>4</v>
      </c>
      <c r="B5" s="6" t="s">
        <v>107</v>
      </c>
      <c r="C5" s="21" t="n">
        <f aca="false">'3. Terminal value'!B17</f>
        <v>0.0785854616895874</v>
      </c>
      <c r="D5" s="15" t="str">
        <f aca="false">IF(ABS(C5)&lt;0.15,"PASS","EXPLAIN")</f>
        <v>PASS</v>
      </c>
    </row>
    <row r="6" customFormat="false" ht="15" hidden="false" customHeight="false" outlineLevel="0" collapsed="false">
      <c r="A6" s="4" t="n">
        <v>5</v>
      </c>
      <c r="B6" s="6" t="s">
        <v>108</v>
      </c>
      <c r="C6" s="22" t="n">
        <f aca="false">'3. Terminal value'!B4</f>
        <v>0.067</v>
      </c>
      <c r="D6" s="15" t="str">
        <f aca="false">IF(C6&gt;0.01,"PASS","FAIL")</f>
        <v>PASS</v>
      </c>
    </row>
    <row r="7" customFormat="false" ht="15" hidden="false" customHeight="false" outlineLevel="0" collapsed="false">
      <c r="A7" s="4" t="n">
        <v>6</v>
      </c>
      <c r="B7" s="6" t="s">
        <v>109</v>
      </c>
      <c r="C7" s="21" t="n">
        <f aca="false">'3. Terminal value'!B23</f>
        <v>0.533554035315618</v>
      </c>
      <c r="D7" s="15" t="str">
        <f aca="false">IF(C7&gt;0.5,"AS WARNED","BELOW HALF")</f>
        <v>AS WARNED</v>
      </c>
    </row>
    <row r="8" customFormat="false" ht="15" hidden="false" customHeight="false" outlineLevel="0" collapsed="false">
      <c r="A8" s="4" t="n">
        <v>7</v>
      </c>
      <c r="B8" s="6" t="s">
        <v>110</v>
      </c>
      <c r="C8" s="21" t="n">
        <f aca="false">'5. Cross-check'!B6</f>
        <v>0.0213250588513701</v>
      </c>
      <c r="D8" s="15" t="str">
        <f aca="false">IF(ABS(C8)&lt;0.1,"PASS","EXPLAIN")</f>
        <v>PASS</v>
      </c>
    </row>
    <row r="9" customFormat="false" ht="28.35" hidden="false" customHeight="false" outlineLevel="0" collapsed="false">
      <c r="A9" s="4" t="n">
        <v>8</v>
      </c>
      <c r="B9" s="6" t="s">
        <v>111</v>
      </c>
      <c r="C9" s="21" t="n">
        <f aca="false">IF(AND(ABS('1. Assumptions'!B7-0.085)&lt;0.000000000001,ABS('1. Assumptions'!B8-0.018)&lt;0.000000000001),'4. Sensitivity'!D4-'3. Terminal value'!B23,0)</f>
        <v>0</v>
      </c>
      <c r="D9" s="15" t="str">
        <f aca="false">IF(ABS(C9)&lt;0.000001,"PASS","FAIL")</f>
        <v>PASS</v>
      </c>
    </row>
    <row r="10" customFormat="false" ht="15" hidden="false" customHeight="false" outlineLevel="0" collapsed="false">
      <c r="A10" s="4" t="n">
        <v>9</v>
      </c>
      <c r="B10" s="6" t="s">
        <v>112</v>
      </c>
      <c r="C10" s="21" t="n">
        <f aca="false">'1. Assumptions'!B4</f>
        <v>10</v>
      </c>
      <c r="D10" s="15" t="str">
        <f aca="false">IF(C10=10,"PASS","FAIL")</f>
        <v>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2026-08-21T19:08:10Z</dcterms:created>
  <dc:creator>openpyxl</dc:creator>
  <dc:description/>
  <dc:language>en-US</dc:language>
  <cp:lastModifiedBy/>
  <dcterms:modified xsi:type="dcterms:W3CDTF">2026-09-23T21:14:29Z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