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Forecast" sheetId="2" state="visible" r:id="rId4"/>
    <sheet name="Minimum" sheetId="3" state="visible" r:id="rId5"/>
    <sheet name="Drawstop" sheetId="4" state="visible" r:id="rId6"/>
    <sheet name="PriceOfLiquidity" sheetId="5" state="visible" r:id="rId7"/>
    <sheet name="WhichTestBinds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<sst xmlns="http://schemas.openxmlformats.org/spreadsheetml/2006/main" count="424" uniqueCount="382">
  <si>
    <t xml:space="preserve">The Liquidity Test</t>
  </si>
  <si>
    <t xml:space="preserve">Companion to Treasury Management, Chapters 4 to 7. Inputs in blue.</t>
  </si>
  <si>
    <t xml:space="preserve">How to read this workbook</t>
  </si>
  <si>
    <t xml:space="preserve">Blue figures are inputs; change them and everything recomputes.</t>
  </si>
  <si>
    <t xml:space="preserve">Black figures are formulas. Green figures on the Checks sheet are links.</t>
  </si>
  <si>
    <t xml:space="preserve">Yellow cells are the assumptions that decide the answer.</t>
  </si>
  <si>
    <t xml:space="preserve">Amounts are in the reporting currency, without a symbol. Ratios carry an x.</t>
  </si>
  <si>
    <t xml:space="preserve">The company</t>
  </si>
  <si>
    <t xml:space="preserve">Revenue</t>
  </si>
  <si>
    <t xml:space="preserve">EBITDA</t>
  </si>
  <si>
    <t xml:space="preserve">Capital expenditure</t>
  </si>
  <si>
    <t xml:space="preserve">Cash tax</t>
  </si>
  <si>
    <t xml:space="preserve">Business days in the year</t>
  </si>
  <si>
    <t xml:space="preserve">Operating leverage (EBITDA fall / revenue fall)</t>
  </si>
  <si>
    <t xml:space="preserve">Cash</t>
  </si>
  <si>
    <t xml:space="preserve">Accessible cash (reading 3, from The Five Balances)</t>
  </si>
  <si>
    <t xml:space="preserve">Operating float, business days (policy)</t>
  </si>
  <si>
    <t xml:space="preserve">Seasonal peak: third-quarter inventory build, net (annual plan)</t>
  </si>
  <si>
    <t xml:space="preserve">The forecast error — thirteen-week cumulative error, share of quarterly disbursements, last twelve quarters</t>
  </si>
  <si>
    <t xml:space="preserve">Quarter 1</t>
  </si>
  <si>
    <t xml:space="preserve">Quarter 2</t>
  </si>
  <si>
    <t xml:space="preserve">Quarter 3</t>
  </si>
  <si>
    <t xml:space="preserve">Quarter 4</t>
  </si>
  <si>
    <t xml:space="preserve">Quarter 5</t>
  </si>
  <si>
    <t xml:space="preserve">Quarter 6</t>
  </si>
  <si>
    <t xml:space="preserve">Quarter 7</t>
  </si>
  <si>
    <t xml:space="preserve">Quarter 8</t>
  </si>
  <si>
    <t xml:space="preserve">Quarter 9</t>
  </si>
  <si>
    <t xml:space="preserve">Quarter 10</t>
  </si>
  <si>
    <t xml:space="preserve">Quarter 11</t>
  </si>
  <si>
    <t xml:space="preserve">Quarter 12</t>
  </si>
  <si>
    <t xml:space="preserve">z, one-sided 95 per cent</t>
  </si>
  <si>
    <t xml:space="preserve">z, one-sided 99 per cent (policy)</t>
  </si>
  <si>
    <t xml:space="preserve">z, one-sided 99.9 per cent</t>
  </si>
  <si>
    <t xml:space="preserve">Debt, facility and rates</t>
  </si>
  <si>
    <t xml:space="preserve">Term loan</t>
  </si>
  <si>
    <t xml:space="preserve">Bonds</t>
  </si>
  <si>
    <t xml:space="preserve">Base rate</t>
  </si>
  <si>
    <t xml:space="preserve">Term loan margin</t>
  </si>
  <si>
    <t xml:space="preserve">Bond coupon</t>
  </si>
  <si>
    <t xml:space="preserve">Revolver commitment, undrawn</t>
  </si>
  <si>
    <t xml:space="preserve">Revolver margin</t>
  </si>
  <si>
    <t xml:space="preserve">Commitment fee, share of margin</t>
  </si>
  <si>
    <t xml:space="preserve">Upfront / arrangement fee</t>
  </si>
  <si>
    <t xml:space="preserve">Tenor over which the fee is amortised (years)</t>
  </si>
  <si>
    <t xml:space="preserve">Deposit yield</t>
  </si>
  <si>
    <t xml:space="preserve">Share of the term loan swapped</t>
  </si>
  <si>
    <t xml:space="preserve">Swap fixed rate</t>
  </si>
  <si>
    <t xml:space="preserve">Net leverage covenant</t>
  </si>
  <si>
    <t xml:space="preserve">Interest cover covenant</t>
  </si>
  <si>
    <t xml:space="preserve">Eurozone overdrafts (positive)</t>
  </si>
  <si>
    <t xml:space="preserve">Overdraft rate</t>
  </si>
  <si>
    <t xml:space="preserve">Eurozone credit balances</t>
  </si>
  <si>
    <t xml:space="preserve">Credit interest rate</t>
  </si>
  <si>
    <t xml:space="preserve">The downside</t>
  </si>
  <si>
    <t xml:space="preserve">Revenue fall, full year</t>
  </si>
  <si>
    <t xml:space="preserve">Cash tax in the downside (assumption)</t>
  </si>
  <si>
    <t xml:space="preserve">Days sales outstanding</t>
  </si>
  <si>
    <t xml:space="preserve">Supply chain finance release, if signed (from Working Capital)</t>
  </si>
  <si>
    <t xml:space="preserve">Added</t>
  </si>
  <si>
    <t xml:space="preserve">Reported cash (reading 1, from The Five Balances)</t>
  </si>
  <si>
    <t xml:space="preserve">Money market fund yield</t>
  </si>
  <si>
    <t xml:space="preserve">Cost of goods sold</t>
  </si>
  <si>
    <t xml:space="preserve">Illustrative stretch of payables into the quarter end, days</t>
  </si>
  <si>
    <t xml:space="preserve">The forecast error, and the reserve it implies</t>
  </si>
  <si>
    <t xml:space="preserve">Annual disbursements</t>
  </si>
  <si>
    <t xml:space="preserve">Quarterly disbursements</t>
  </si>
  <si>
    <t xml:space="preserve">Mean error (the bias)</t>
  </si>
  <si>
    <t xml:space="preserve">Sample standard deviation</t>
  </si>
  <si>
    <t xml:space="preserve">Standard deviation in money</t>
  </si>
  <si>
    <t xml:space="preserve">Bias in money, per quarter</t>
  </si>
  <si>
    <t xml:space="preserve">Reserve at 95 per cent</t>
  </si>
  <si>
    <t xml:space="preserve">Reserve at 99 per cent (policy)</t>
  </si>
  <si>
    <t xml:space="preserve">Reserve at 99.9 per cent</t>
  </si>
  <si>
    <t xml:space="preserve">Reserve at 99 per cent carrying the bias, until it is removed</t>
  </si>
  <si>
    <t xml:space="preserve">Quarter</t>
  </si>
  <si>
    <t xml:space="preserve">Error, share of quarterly disbursements</t>
  </si>
  <si>
    <t xml:space="preserve">Amount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</si>
  <si>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</si>
  <si>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</si>
  <si>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</si>
  <si>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</si>
  <si>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</si>
  <si>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</si>
  <si>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</si>
  <si>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</si>
  <si>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</si>
  <si>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</si>
  <si>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</si>
  <si>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</si>
  <si>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Largest overshoot</t>
  </si>
  <si>
    <t xml:space="preserve">Largest undershoot</t>
  </si>
  <si>
    <t xml:space="preserve">Standard deviation in money from the rounded 4.1026 per cent</t>
  </si>
  <si>
    <t xml:space="preserve">... differs from the unrounded figure by</t>
  </si>
  <si>
    <t xml:space="preserve">Largest overshoot, in standard deviations</t>
  </si>
  <si>
    <t xml:space="preserve">The 95 per cent reserve is smaller by</t>
  </si>
  <si>
    <t xml:space="preserve">The 99.9 per cent reserve is larger by</t>
  </si>
  <si>
    <t xml:space="preserve">Disbursements a week, if spread evenly</t>
  </si>
  <si>
    <t xml:space="preserve">Collection period in weeks</t>
  </si>
  <si>
    <t xml:space="preserve">Minimum liquidity, derived — and the headroom against it</t>
  </si>
  <si>
    <t xml:space="preserve">The float is either in the cash or in the requirement, never both.</t>
  </si>
  <si>
    <t xml:space="preserve">Disbursements per business day</t>
  </si>
  <si>
    <t xml:space="preserve">Operating float</t>
  </si>
  <si>
    <t xml:space="preserve">Available cash (accessible less the float)</t>
  </si>
  <si>
    <t xml:space="preserve">Minimum liquidity, total (float + reserve + peak)</t>
  </si>
  <si>
    <t xml:space="preserve">Minimum above the float (reserve + peak)</t>
  </si>
  <si>
    <t xml:space="preserve">Basis: available cash</t>
  </si>
  <si>
    <t xml:space="preserve">Basis: accessible cash</t>
  </si>
  <si>
    <t xml:space="preserve">Undrawn revolver</t>
  </si>
  <si>
    <t xml:space="preserve">Headroom</t>
  </si>
  <si>
    <t xml:space="preserve">Minimum tested against</t>
  </si>
  <si>
    <t xml:space="preserve">Headroom over the minimum</t>
  </si>
  <si>
    <t xml:space="preserve">Headroom as a multiple of the minimum</t>
  </si>
  <si>
    <t xml:space="preserve">Headroom over the minimum WITHOUT the revolver</t>
  </si>
  <si>
    <t xml:space="preserve">... in business days of disbursements</t>
  </si>
  <si>
    <t xml:space="preserve">The revolver's share of headroom</t>
  </si>
  <si>
    <t xml:space="preserve">THE CLASSIC ERROR: available cash tested against the total minimum (counts the float twice) — not used</t>
  </si>
  <si>
    <t xml:space="preserve">Without the revolver AND without the supply chain finance programme</t>
  </si>
  <si>
    <t xml:space="preserve">Neighbouring settings (consistent basis)</t>
  </si>
  <si>
    <t xml:space="preserve">Setting</t>
  </si>
  <si>
    <t xml:space="preserve">Minimum above the float</t>
  </si>
  <si>
    <t xml:space="preserve">Over the minimum, without the revolver</t>
  </si>
  <si>
    <t xml:space="preserve">In days</t>
  </si>
  <si>
    <t xml:space="preserve">Float at 4 days</t>
  </si>
  <si>
    <t xml:space="preserve">Float at 6 days</t>
  </si>
  <si>
    <t xml:space="preserve">Float at 8 days</t>
  </si>
  <si>
    <t xml:space="preserve">Minimum liquidity in days of disbursements</t>
  </si>
  <si>
    <t xml:space="preserve">Float in days</t>
  </si>
  <si>
    <t xml:space="preserve">Float</t>
  </si>
  <si>
    <t xml:space="preserve">Available cash</t>
  </si>
  <si>
    <t xml:space="preserve">Minimum liquidity</t>
  </si>
  <si>
    <t xml:space="preserve">The float counted twice: twelve days</t>
  </si>
  <si>
    <t xml:space="preserve">Six days to four moves the margin once, by</t>
  </si>
  <si>
    <t xml:space="preserve">Minimum at a 95 per cent reserve</t>
  </si>
  <si>
    <t xml:space="preserve">Minimum at a 99.9 per cent reserve</t>
  </si>
  <si>
    <t xml:space="preserve">Inventory build at which the margin without the revolver reaches zero</t>
  </si>
  <si>
    <t xml:space="preserve">Adding, not combining</t>
  </si>
  <si>
    <t xml:space="preserve">Root of the sum of squares (the combination the book rejects)</t>
  </si>
  <si>
    <t xml:space="preserve">... less than the additive minimum by</t>
  </si>
  <si>
    <t xml:space="preserve">... as a share of the additive minimum</t>
  </si>
  <si>
    <t xml:space="preserve">Margin without the revolver on that basis</t>
  </si>
  <si>
    <t xml:space="preserve">Margin without the revolver, as a share of the headroom</t>
  </si>
  <si>
    <t xml:space="preserve">The revolver, and the day it is not there</t>
  </si>
  <si>
    <t xml:space="preserve">A utilisation requires the covenant to be met; the covenant is measured on accessible cash.</t>
  </si>
  <si>
    <t xml:space="preserve">Gross debt</t>
  </si>
  <si>
    <t xml:space="preserve">Covenant net debt (gross less accessible cash)</t>
  </si>
  <si>
    <t xml:space="preserve">EBITDA at which the covenant is exactly met</t>
  </si>
  <si>
    <t xml:space="preserve">Fall in EBITDA to the drawstop</t>
  </si>
  <si>
    <t xml:space="preserve">Fall in ANNUAL revenue to the drawstop</t>
  </si>
  <si>
    <t xml:space="preserve">One quarter at that level moves trailing-twelve-month EBITDA by</t>
  </si>
  <si>
    <t xml:space="preserve">Share of headroom that leaves at the drawstop</t>
  </si>
  <si>
    <t xml:space="preserve">The downside, revenue down for a full year</t>
  </si>
  <si>
    <t xml:space="preserve">Downside EBITDA</t>
  </si>
  <si>
    <t xml:space="preserve">Leverage on reported cash, downside</t>
  </si>
  <si>
    <t xml:space="preserve">reported cash from Inputs row 64 (the first version typed 62,000,000 into this formula)</t>
  </si>
  <si>
    <t xml:space="preserve">Leverage on the facility's definition, downside</t>
  </si>
  <si>
    <t xml:space="preserve">Total interest (term loan + bonds + commitment fee + swap carry)</t>
  </si>
  <si>
    <t xml:space="preserve">Free cash flow, base</t>
  </si>
  <si>
    <t xml:space="preserve">Free cash flow, downside</t>
  </si>
  <si>
    <t xml:space="preserve">... per quarter</t>
  </si>
  <si>
    <t xml:space="preserve">Fall in free cash flow</t>
  </si>
  <si>
    <t xml:space="preserve">Working-capital release from lower receivables</t>
  </si>
  <si>
    <t xml:space="preserve">Distance to the covenant, in EBITDA</t>
  </si>
  <si>
    <t xml:space="preserve">Revenue lost at the drawstop</t>
  </si>
  <si>
    <t xml:space="preserve">Revenue at which the utilisation paragraph can no longer be signed</t>
  </si>
  <si>
    <t xml:space="preserve">The same computation on the board's reading of cash</t>
  </si>
  <si>
    <t xml:space="preserve">Net debt on reported cash</t>
  </si>
  <si>
    <t xml:space="preserve">EBITDA at 3.00x on reported cash</t>
  </si>
  <si>
    <t xml:space="preserve">Fall in EBITDA</t>
  </si>
  <si>
    <t xml:space="preserve">Fall in annual revenue</t>
  </si>
  <si>
    <t xml:space="preserve">The gap between the two readings, points of revenue</t>
  </si>
  <si>
    <t xml:space="preserve">Trailing EBITDA, quarter by quarter</t>
  </si>
  <si>
    <t xml:space="preserve">Leverage on the facility's definition after one such quarter</t>
  </si>
  <si>
    <t xml:space="preserve">Trailing EBITDA down after two quarters</t>
  </si>
  <si>
    <t xml:space="preserve">... after three quarters</t>
  </si>
  <si>
    <t xml:space="preserve">The downside, continued</t>
  </si>
  <si>
    <t xml:space="preserve">Downside revenue</t>
  </si>
  <si>
    <t xml:space="preserve">Fall in free cash flow, as a multiple of the revenue fall</t>
  </si>
  <si>
    <t xml:space="preserve">Revenue lost in the downside</t>
  </si>
  <si>
    <t xml:space="preserve">Covenant net debt that would cure the downside</t>
  </si>
  <si>
    <t xml:space="preserve">... a reduction of</t>
  </si>
  <si>
    <t xml:space="preserve">The receivables release exceeds it by</t>
  </si>
  <si>
    <t xml:space="preserve">A full defensive draw (Chapter 6)</t>
  </si>
  <si>
    <t xml:space="preserve">Gross debt after a full draw</t>
  </si>
  <si>
    <t xml:space="preserve">Accessible cash after a full draw</t>
  </si>
  <si>
    <t xml:space="preserve">Net debt after a full draw</t>
  </si>
  <si>
    <t xml:space="preserve">Leverage after a full draw</t>
  </si>
  <si>
    <t xml:space="preserve">Over the minimum without any facility at all</t>
  </si>
  <si>
    <t xml:space="preserve">Three ways to hold the revolver amount as liquidity, priced</t>
  </si>
  <si>
    <t xml:space="preserve">Commitment fee rate</t>
  </si>
  <si>
    <t xml:space="preserve">Commitment fee, per year</t>
  </si>
  <si>
    <t xml:space="preserve">Upfront fee, amortised per year</t>
  </si>
  <si>
    <t xml:space="preserve">A. Undrawn revolver</t>
  </si>
  <si>
    <t xml:space="preserve">Negative carry, term debt on deposit</t>
  </si>
  <si>
    <t xml:space="preserve">... in money</t>
  </si>
  <si>
    <t xml:space="preserve">B. Term debt held on deposit (carry + the loan's own arrangement fee)</t>
  </si>
  <si>
    <t xml:space="preserve">C. Revolver drawn, proceeds on deposit</t>
  </si>
  <si>
    <t xml:space="preserve">Premium of B over A: the price of liquidity without a drawstop</t>
  </si>
  <si>
    <t xml:space="preserve">B as a multiple of A</t>
  </si>
  <si>
    <t xml:space="preserve">Premium as a share of the amount insured (the probability threshold)</t>
  </si>
  <si>
    <t xml:space="preserve">Converting A into C costs, per year</t>
  </si>
  <si>
    <t xml:space="preserve">Interest cover under B and C — both readings, on the book's interest figure</t>
  </si>
  <si>
    <t xml:space="preserve">Cover today</t>
  </si>
  <si>
    <t xml:space="preserve">Way B, net of deposit income</t>
  </si>
  <si>
    <t xml:space="preserve">Way B, gross</t>
  </si>
  <si>
    <t xml:space="preserve">Way C, net of deposit income</t>
  </si>
  <si>
    <t xml:space="preserve">Way C, gross</t>
  </si>
  <si>
    <t xml:space="preserve">... and with the overdraft interest and the credit interest (Chapter 12)</t>
  </si>
  <si>
    <t xml:space="preserve">Finance charges gross of income (book's figure + overdraft interest)</t>
  </si>
  <si>
    <t xml:space="preserve">Cover, gross of income</t>
  </si>
  <si>
    <t xml:space="preserve">Finance charges net of the credit interest</t>
  </si>
  <si>
    <t xml:space="preserve">Cover, net of the credit interest</t>
  </si>
  <si>
    <t xml:space="preserve">Way B, gross, overdrafts included</t>
  </si>
  <si>
    <t xml:space="preserve">Way B, net, credit interest included</t>
  </si>
  <si>
    <t xml:space="preserve">Upfront fee paid at signing</t>
  </si>
  <si>
    <t xml:space="preserve">Way C: carry in money</t>
  </si>
  <si>
    <t xml:space="preserve">B less C: the quarter-point margin gap</t>
  </si>
  <si>
    <t xml:space="preserve">Way B with the proceeds in the money market fund: carry</t>
  </si>
  <si>
    <t xml:space="preserve">... total a year</t>
  </si>
  <si>
    <t xml:space="preserve">... more than way A by</t>
  </si>
  <si>
    <t xml:space="preserve">Interest under B and C, in money, and the turns of cover each costs</t>
  </si>
  <si>
    <t xml:space="preserve">Way B: interest paid on the term debt</t>
  </si>
  <si>
    <t xml:space="preserve">Way B: income on the deposit</t>
  </si>
  <si>
    <t xml:space="preserve">Way B: total interest, net of deposit income</t>
  </si>
  <si>
    <t xml:space="preserve">Way B: total interest, gross</t>
  </si>
  <si>
    <t xml:space="preserve">Way B gross: cover above the covenant, turns</t>
  </si>
  <si>
    <t xml:space="preserve">Way C: interest paid on the drawn revolver</t>
  </si>
  <si>
    <t xml:space="preserve">Way C: total interest, net</t>
  </si>
  <si>
    <t xml:space="preserve">Way C: total interest, gross</t>
  </si>
  <si>
    <t xml:space="preserve">Way B gross, overdraft interest included</t>
  </si>
  <si>
    <t xml:space="preserve">... cover above the covenant, turns</t>
  </si>
  <si>
    <t xml:space="preserve">Way B net, credit interest included</t>
  </si>
  <si>
    <t xml:space="preserve">Way C gross, overdraft interest included</t>
  </si>
  <si>
    <t xml:space="preserve">... cover</t>
  </si>
  <si>
    <t xml:space="preserve">Way C net, credit interest included</t>
  </si>
  <si>
    <t xml:space="preserve">Turns of cover way B costs, net</t>
  </si>
  <si>
    <t xml:space="preserve">... gross</t>
  </si>
  <si>
    <t xml:space="preserve">Turns of cover the draw (way C) costs, net</t>
  </si>
  <si>
    <t xml:space="preserve">Gross debt under way B</t>
  </si>
  <si>
    <t xml:space="preserve">Which test binds</t>
  </si>
  <si>
    <t xml:space="preserve">Chapter 12. Turns of cover and turns of leverage are different units; the shared unit is a fall in EBITDA.</t>
  </si>
  <si>
    <t xml:space="preserve">Interest cover headroom, turns</t>
  </si>
  <si>
    <t xml:space="preserve">Test</t>
  </si>
  <si>
    <t xml:space="preserve">Breaks at EBITDA of</t>
  </si>
  <si>
    <t xml:space="preserve">Leverage 3.00x, available cash (the treasurer's reading)</t>
  </si>
  <si>
    <t xml:space="preserve">Leverage 3.00x, accessible cash (the facility)</t>
  </si>
  <si>
    <t xml:space="preserve">Leverage 3.00x, reported cash (the board deck)</t>
  </si>
  <si>
    <t xml:space="preserve">Interest cover 4.00x, the book's interest</t>
  </si>
  <si>
    <t xml:space="preserve">Interest cover 4.00x, gross of income (overdraft interest in)</t>
  </si>
  <si>
    <t xml:space="preserve">Interest cover 4.00x, net of the credit interest</t>
  </si>
  <si>
    <t xml:space="preserve">EBITDA the cover test can lose, on the book's interest</t>
  </si>
  <si>
    <t xml:space="preserve">Cover behind the facility's leverage, points of EBITDA</t>
  </si>
  <si>
    <t xml:space="preserve">Cover on the gross reading ahead of the board's leverage, points</t>
  </si>
  <si>
    <t xml:space="preserve">The board's leverage ahead of cover on the book's interest, points</t>
  </si>
  <si>
    <t xml:space="preserve">Cover in the downside case</t>
  </si>
  <si>
    <t xml:space="preserve">The covenant that binds</t>
  </si>
  <si>
    <t xml:space="preserve">The certificate is a spot</t>
  </si>
  <si>
    <t xml:space="preserve">Days of payables stretched into the quarter end (illustration)</t>
  </si>
  <si>
    <t xml:space="preserve">Spot net debt below the quarter's average by</t>
  </si>
  <si>
    <t xml:space="preserve">... in turns of leverage</t>
  </si>
  <si>
    <t xml:space="preserve">Checks — the printed figure beside the computed one</t>
  </si>
  <si>
    <t xml:space="preserve">Blue = the figure as printed in the book, except where the book's last digit is wrong: the label then gives the printed figure. Computed = the live formula.</t>
  </si>
  <si>
    <t xml:space="preserve">Figure</t>
  </si>
  <si>
    <t xml:space="preserve">Printed in the book</t>
  </si>
  <si>
    <t xml:space="preserve">Computed here</t>
  </si>
  <si>
    <t xml:space="preserve">Difference</t>
  </si>
  <si>
    <t xml:space="preserve">Status</t>
  </si>
  <si>
    <t xml:space="preserve">Mean forecast error</t>
  </si>
  <si>
    <t xml:space="preserve">Standard deviation of the error</t>
  </si>
  <si>
    <t xml:space="preserve">Reserve at 99 per cent</t>
  </si>
  <si>
    <t xml:space="preserve">Reserve carrying the bias</t>
  </si>
  <si>
    <t xml:space="preserve">Minimum liquidity, total</t>
  </si>
  <si>
    <t xml:space="preserve">Liquidity headroom</t>
  </si>
  <si>
    <t xml:space="preserve">Without the revolver</t>
  </si>
  <si>
    <t xml:space="preserve">... in days</t>
  </si>
  <si>
    <t xml:space="preserve">The classic error (not used)</t>
  </si>
  <si>
    <t xml:space="preserve">Without the revolver and the programme</t>
  </si>
  <si>
    <t xml:space="preserve">EBITDA at the drawstop</t>
  </si>
  <si>
    <t xml:space="preserve">Fall in annual revenue to the drawstop</t>
  </si>
  <si>
    <t xml:space="preserve">One quarter's effect on trailing EBITDA</t>
  </si>
  <si>
    <t xml:space="preserve">Downside leverage, reported cash</t>
  </si>
  <si>
    <t xml:space="preserve">Downside leverage, facility definition</t>
  </si>
  <si>
    <t xml:space="preserve">Total interest</t>
  </si>
  <si>
    <t xml:space="preserve">Receivables release</t>
  </si>
  <si>
    <t xml:space="preserve">Way A</t>
  </si>
  <si>
    <t xml:space="preserve">Way B</t>
  </si>
  <si>
    <t xml:space="preserve">Way C</t>
  </si>
  <si>
    <t xml:space="preserve">Premium of B over A</t>
  </si>
  <si>
    <t xml:space="preserve">Way B, net</t>
  </si>
  <si>
    <t xml:space="preserve">Way C, net</t>
  </si>
  <si>
    <t xml:space="preserve">Cover gross of income, overdrafts included</t>
  </si>
  <si>
    <t xml:space="preserve">Cover net of the credit interest</t>
  </si>
  <si>
    <t xml:space="preserve">Way B gross, overdrafts included</t>
  </si>
  <si>
    <t xml:space="preserve">Q1 error in money</t>
  </si>
  <si>
    <t xml:space="preserve">Q2 error in money</t>
  </si>
  <si>
    <t xml:space="preserve">Q3 error in money</t>
  </si>
  <si>
    <t xml:space="preserve">Q4 error in money</t>
  </si>
  <si>
    <t xml:space="preserve">Q5 error in money</t>
  </si>
  <si>
    <t xml:space="preserve">Q6 error in money</t>
  </si>
  <si>
    <t xml:space="preserve">Q7 error in money</t>
  </si>
  <si>
    <t xml:space="preserve">Q8 error in money</t>
  </si>
  <si>
    <t xml:space="preserve">Q9 error in money</t>
  </si>
  <si>
    <t xml:space="preserve">Q10 error in money</t>
  </si>
  <si>
    <t xml:space="preserve">Q11 error in money</t>
  </si>
  <si>
    <t xml:space="preserve">Q12 error in money</t>
  </si>
  <si>
    <t xml:space="preserve">SD from the rounded percentage</t>
  </si>
  <si>
    <t xml:space="preserve">... difference</t>
  </si>
  <si>
    <t xml:space="preserve">Largest overshoot in SDs</t>
  </si>
  <si>
    <t xml:space="preserve">95 per cent smaller by</t>
  </si>
  <si>
    <t xml:space="preserve">99.9 per cent larger by</t>
  </si>
  <si>
    <t xml:space="preserve">Bias in money a quarter</t>
  </si>
  <si>
    <t xml:space="preserve">Weekly disbursements, evenly</t>
  </si>
  <si>
    <t xml:space="preserve">Minimum in days</t>
  </si>
  <si>
    <t xml:space="preserve">Minimum at four days</t>
  </si>
  <si>
    <t xml:space="preserve">Minimum at eight days</t>
  </si>
  <si>
    <t xml:space="preserve">The float counted twice</t>
  </si>
  <si>
    <t xml:space="preserve">Six days to four</t>
  </si>
  <si>
    <t xml:space="preserve">Minimum at 95 per cent</t>
  </si>
  <si>
    <t xml:space="preserve">Minimum at 99.9 per cent</t>
  </si>
  <si>
    <t xml:space="preserve">Build at which the margin is zero</t>
  </si>
  <si>
    <t xml:space="preserve">Root of the sum of squares</t>
  </si>
  <si>
    <t xml:space="preserve">... share</t>
  </si>
  <si>
    <t xml:space="preserve">Margin on that basis</t>
  </si>
  <si>
    <t xml:space="preserve">Margin as a share of headroom</t>
  </si>
  <si>
    <t xml:space="preserve">Headroom on accessible cash</t>
  </si>
  <si>
    <t xml:space="preserve">Multiple on accessible cash</t>
  </si>
  <si>
    <t xml:space="preserve">Over the minimum, four-day float</t>
  </si>
  <si>
    <t xml:space="preserve">Over the minimum, eight-day float</t>
  </si>
  <si>
    <t xml:space="preserve">Over the minimum, 95 per cent reserve</t>
  </si>
  <si>
    <t xml:space="preserve">Over the minimum, 99.9 per cent reserve</t>
  </si>
  <si>
    <t xml:space="preserve">Distance to the covenant</t>
  </si>
  <si>
    <t xml:space="preserve">Revenue at the drawstop</t>
  </si>
  <si>
    <t xml:space="preserve">EBITDA at 3.00x, reported cash</t>
  </si>
  <si>
    <t xml:space="preserve">... EBITDA fall</t>
  </si>
  <si>
    <t xml:space="preserve">... revenue fall</t>
  </si>
  <si>
    <t xml:space="preserve">Gap between the readings</t>
  </si>
  <si>
    <t xml:space="preserve">Leverage after one quarter</t>
  </si>
  <si>
    <t xml:space="preserve">Trailing fall after two quarters</t>
  </si>
  <si>
    <t xml:space="preserve">... after three</t>
  </si>
  <si>
    <t xml:space="preserve">Free cash flow fall, multiple of the revenue fall</t>
  </si>
  <si>
    <t xml:space="preserve">Net debt that cures</t>
  </si>
  <si>
    <t xml:space="preserve">... reduction</t>
  </si>
  <si>
    <t xml:space="preserve">Release to spare</t>
  </si>
  <si>
    <t xml:space="preserve">Over the minimum without any facility</t>
  </si>
  <si>
    <t xml:space="preserve">Upfront fee at signing</t>
  </si>
  <si>
    <t xml:space="preserve">Way C carry</t>
  </si>
  <si>
    <t xml:space="preserve">B less C</t>
  </si>
  <si>
    <t xml:space="preserve">Way B in the fund: carry</t>
  </si>
  <si>
    <t xml:space="preserve">... total</t>
  </si>
  <si>
    <t xml:space="preserve">... more than A</t>
  </si>
  <si>
    <t xml:space="preserve">Way B paid</t>
  </si>
  <si>
    <t xml:space="preserve">Way B earned</t>
  </si>
  <si>
    <t xml:space="preserve">Way B interest, net</t>
  </si>
  <si>
    <t xml:space="preserve">Way B interest, gross</t>
  </si>
  <si>
    <t xml:space="preserve">Way B gross above the covenant</t>
  </si>
  <si>
    <t xml:space="preserve">Way C paid</t>
  </si>
  <si>
    <t xml:space="preserve">Way C interest, net</t>
  </si>
  <si>
    <t xml:space="preserve">Way C interest, gross</t>
  </si>
  <si>
    <t xml:space="preserve">Way B gross with overdrafts</t>
  </si>
  <si>
    <t xml:space="preserve">... above the covenant</t>
  </si>
  <si>
    <t xml:space="preserve">Way B net with credit interest</t>
  </si>
  <si>
    <t xml:space="preserve">Way C gross with overdrafts</t>
  </si>
  <si>
    <t xml:space="preserve">Way C net with credit interest</t>
  </si>
  <si>
    <t xml:space="preserve">Turns of cover way B costs, net (the book prints 1.0656, the difference of the rounded ratios)</t>
  </si>
  <si>
    <t xml:space="preserve">... gross (the book prints 1.9559)</t>
  </si>
  <si>
    <t xml:space="preserve">Turns, C net</t>
  </si>
  <si>
    <t xml:space="preserve">Turns the draw costs, gross (the book prints 1.7237)</t>
  </si>
  <si>
    <t xml:space="preserve">Gross debt under B</t>
  </si>
  <si>
    <t xml:space="preserve">Cover headroom</t>
  </si>
  <si>
    <t xml:space="preserve">Treasurer's line: EBITDA</t>
  </si>
  <si>
    <t xml:space="preserve">... fall</t>
  </si>
  <si>
    <t xml:space="preserve">Cover breaks at EBITDA</t>
  </si>
  <si>
    <t xml:space="preserve">... EBITDA it can lose</t>
  </si>
  <si>
    <t xml:space="preserve">Cover gross of income breaks at</t>
  </si>
  <si>
    <t xml:space="preserve">Cover net of credit interest breaks at</t>
  </si>
  <si>
    <t xml:space="preserve">Cover behind leverage</t>
  </si>
  <si>
    <t xml:space="preserve">Gross cover ahead of the board's leverage</t>
  </si>
  <si>
    <t xml:space="preserve">Board's leverage ahead of cover</t>
  </si>
  <si>
    <t xml:space="preserve">Cover in the downside</t>
  </si>
  <si>
    <t xml:space="preserve">Spot below average, five days of payables</t>
  </si>
  <si>
    <t xml:space="preserve">... in turns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</si>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</sst>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[RED]\-#,##0.00"/>
    <numFmt numFmtId="166" formatCode="#,##0;[RED]\-#,##0"/>
    <numFmt numFmtId="167" formatCode="0.0000"/>
    <numFmt numFmtId="168" formatCode="0.00%"/>
    <numFmt numFmtId="169" formatCode="0.0000\x"/>
    <numFmt numFmtId="170" formatCode="0.0000%"/>
    <numFmt numFmtId="171" formatCode="0.000%"/>
    <numFmt numFmtId="172" formatCode="0.00E+00"/>
    <numFmt numFmtId="173" formatCode="#,##0.0000;[RED]\-#,##0.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9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7" t="s">
        <v>5</v>
      </c>
    </row>
    <row r="8" customFormat="false" ht="15" hidden="false" customHeight="false" outlineLevel="0" collapsed="false">
      <c r="A8" s="6" t="s">
        <v>6</v>
      </c>
    </row>
    <row r="10" customFormat="false" ht="15" hidden="false" customHeight="false" outlineLevel="0" collapsed="false">
      <c r="A10" s="3" t="s">
        <v>7</v>
      </c>
      <c r="B10" s="4"/>
      <c r="C10" s="4"/>
      <c r="D10" s="4"/>
      <c r="E10" s="4"/>
      <c r="F10" s="4"/>
    </row>
    <row r="11" customFormat="false" ht="15" hidden="false" customHeight="false" outlineLevel="0" collapsed="false">
      <c r="A11" s="6" t="s">
        <v>8</v>
      </c>
      <c r="B11" s="8" t="n">
        <v>1400000000</v>
      </c>
    </row>
    <row r="12" customFormat="false" ht="15" hidden="false" customHeight="false" outlineLevel="0" collapsed="false">
      <c r="A12" s="6" t="s">
        <v>9</v>
      </c>
      <c r="B12" s="8" t="n">
        <v>168000000</v>
      </c>
    </row>
    <row r="13" customFormat="false" ht="15" hidden="false" customHeight="false" outlineLevel="0" collapsed="false">
      <c r="A13" s="6" t="s">
        <v>10</v>
      </c>
      <c r="B13" s="8" t="n">
        <v>56000000</v>
      </c>
    </row>
    <row r="14" customFormat="false" ht="15" hidden="false" customHeight="false" outlineLevel="0" collapsed="false">
      <c r="A14" s="6" t="s">
        <v>11</v>
      </c>
      <c r="B14" s="8" t="n">
        <v>20000000</v>
      </c>
    </row>
    <row r="15" customFormat="false" ht="15" hidden="false" customHeight="false" outlineLevel="0" collapsed="false">
      <c r="A15" s="6" t="s">
        <v>12</v>
      </c>
      <c r="B15" s="9" t="n">
        <v>250</v>
      </c>
    </row>
    <row r="16" customFormat="false" ht="15" hidden="false" customHeight="false" outlineLevel="0" collapsed="false">
      <c r="A16" s="6" t="s">
        <v>13</v>
      </c>
      <c r="B16" s="10" t="n">
        <v>2.5</v>
      </c>
    </row>
    <row r="17" customFormat="false" ht="15" hidden="false" customHeight="false" outlineLevel="0" collapsed="false">
      <c r="A17" s="3" t="s">
        <v>14</v>
      </c>
      <c r="B17" s="4"/>
      <c r="C17" s="4"/>
      <c r="D17" s="4"/>
      <c r="E17" s="4"/>
      <c r="F17" s="4"/>
    </row>
    <row r="18" customFormat="false" ht="15" hidden="false" customHeight="false" outlineLevel="0" collapsed="false">
      <c r="A18" s="6" t="s">
        <v>15</v>
      </c>
      <c r="B18" s="8" t="n">
        <v>152000000</v>
      </c>
    </row>
    <row r="19" customFormat="false" ht="15" hidden="false" customHeight="false" outlineLevel="0" collapsed="false">
      <c r="A19" s="6" t="s">
        <v>16</v>
      </c>
      <c r="B19" s="11" t="n">
        <v>6</v>
      </c>
    </row>
    <row r="20" customFormat="false" ht="15" hidden="false" customHeight="false" outlineLevel="0" collapsed="false">
      <c r="A20" s="6" t="s">
        <v>17</v>
      </c>
      <c r="B20" s="12" t="n">
        <v>62000000</v>
      </c>
    </row>
    <row r="21" customFormat="false" ht="15" hidden="false" customHeight="false" outlineLevel="0" collapsed="false">
      <c r="A21" s="3" t="s">
        <v>18</v>
      </c>
      <c r="B21" s="4"/>
      <c r="C21" s="4"/>
      <c r="D21" s="4"/>
      <c r="E21" s="4"/>
      <c r="F21" s="4"/>
    </row>
    <row r="22" customFormat="false" ht="15" hidden="false" customHeight="false" outlineLevel="0" collapsed="false">
      <c r="A22" s="6" t="s">
        <v>19</v>
      </c>
      <c r="B22" s="13" t="n">
        <v>0.031</v>
      </c>
    </row>
    <row r="23" customFormat="false" ht="15" hidden="false" customHeight="false" outlineLevel="0" collapsed="false">
      <c r="A23" s="6" t="s">
        <v>20</v>
      </c>
      <c r="B23" s="13" t="n">
        <v>-0.058</v>
      </c>
    </row>
    <row r="24" customFormat="false" ht="15" hidden="false" customHeight="false" outlineLevel="0" collapsed="false">
      <c r="A24" s="6" t="s">
        <v>21</v>
      </c>
      <c r="B24" s="13" t="n">
        <v>0.012</v>
      </c>
    </row>
    <row r="25" customFormat="false" ht="15" hidden="false" customHeight="false" outlineLevel="0" collapsed="false">
      <c r="A25" s="6" t="s">
        <v>22</v>
      </c>
      <c r="B25" s="13" t="n">
        <v>0.047</v>
      </c>
    </row>
    <row r="26" customFormat="false" ht="15" hidden="false" customHeight="false" outlineLevel="0" collapsed="false">
      <c r="A26" s="6" t="s">
        <v>23</v>
      </c>
      <c r="B26" s="13" t="n">
        <v>-0.026</v>
      </c>
    </row>
    <row r="27" customFormat="false" ht="15" hidden="false" customHeight="false" outlineLevel="0" collapsed="false">
      <c r="A27" s="6" t="s">
        <v>24</v>
      </c>
      <c r="B27" s="13" t="n">
        <v>0.069</v>
      </c>
    </row>
    <row r="28" customFormat="false" ht="15" hidden="false" customHeight="false" outlineLevel="0" collapsed="false">
      <c r="A28" s="6" t="s">
        <v>25</v>
      </c>
      <c r="B28" s="13" t="n">
        <v>-0.041</v>
      </c>
    </row>
    <row r="29" customFormat="false" ht="15" hidden="false" customHeight="false" outlineLevel="0" collapsed="false">
      <c r="A29" s="6" t="s">
        <v>26</v>
      </c>
      <c r="B29" s="13" t="n">
        <v>0.008</v>
      </c>
    </row>
    <row r="30" customFormat="false" ht="15" hidden="false" customHeight="false" outlineLevel="0" collapsed="false">
      <c r="A30" s="6" t="s">
        <v>27</v>
      </c>
      <c r="B30" s="13" t="n">
        <v>-0.033</v>
      </c>
    </row>
    <row r="31" customFormat="false" ht="15" hidden="false" customHeight="false" outlineLevel="0" collapsed="false">
      <c r="A31" s="6" t="s">
        <v>28</v>
      </c>
      <c r="B31" s="13" t="n">
        <v>0.055</v>
      </c>
    </row>
    <row r="32" customFormat="false" ht="15" hidden="false" customHeight="false" outlineLevel="0" collapsed="false">
      <c r="A32" s="6" t="s">
        <v>29</v>
      </c>
      <c r="B32" s="13" t="n">
        <v>-0.019</v>
      </c>
    </row>
    <row r="33" customFormat="false" ht="15" hidden="false" customHeight="false" outlineLevel="0" collapsed="false">
      <c r="A33" s="6" t="s">
        <v>30</v>
      </c>
      <c r="B33" s="13" t="n">
        <v>0.024</v>
      </c>
    </row>
    <row r="34" customFormat="false" ht="15" hidden="false" customHeight="false" outlineLevel="0" collapsed="false">
      <c r="A34" s="6" t="s">
        <v>31</v>
      </c>
      <c r="B34" s="14" t="n">
        <v>1.645</v>
      </c>
    </row>
    <row r="35" customFormat="false" ht="15" hidden="false" customHeight="false" outlineLevel="0" collapsed="false">
      <c r="A35" s="6" t="s">
        <v>32</v>
      </c>
      <c r="B35" s="10" t="n">
        <v>2.326</v>
      </c>
    </row>
    <row r="36" customFormat="false" ht="15" hidden="false" customHeight="false" outlineLevel="0" collapsed="false">
      <c r="A36" s="6" t="s">
        <v>33</v>
      </c>
      <c r="B36" s="14" t="n">
        <v>3.09</v>
      </c>
    </row>
    <row r="37" customFormat="false" ht="15" hidden="false" customHeight="false" outlineLevel="0" collapsed="false">
      <c r="A37" s="3" t="s">
        <v>34</v>
      </c>
      <c r="B37" s="4"/>
      <c r="C37" s="4"/>
      <c r="D37" s="4"/>
      <c r="E37" s="4"/>
      <c r="F37" s="4"/>
    </row>
    <row r="38" customFormat="false" ht="15" hidden="false" customHeight="false" outlineLevel="0" collapsed="false">
      <c r="A38" s="6" t="s">
        <v>35</v>
      </c>
      <c r="B38" s="8" t="n">
        <v>300000000</v>
      </c>
    </row>
    <row r="39" customFormat="false" ht="15" hidden="false" customHeight="false" outlineLevel="0" collapsed="false">
      <c r="A39" s="6" t="s">
        <v>36</v>
      </c>
      <c r="B39" s="8" t="n">
        <v>250000000</v>
      </c>
    </row>
    <row r="40" customFormat="false" ht="15" hidden="false" customHeight="false" outlineLevel="0" collapsed="false">
      <c r="A40" s="6" t="s">
        <v>37</v>
      </c>
      <c r="B40" s="13" t="n">
        <v>0.03</v>
      </c>
    </row>
    <row r="41" customFormat="false" ht="15" hidden="false" customHeight="false" outlineLevel="0" collapsed="false">
      <c r="A41" s="6" t="s">
        <v>38</v>
      </c>
      <c r="B41" s="13" t="n">
        <v>0.0175</v>
      </c>
    </row>
    <row r="42" customFormat="false" ht="15" hidden="false" customHeight="false" outlineLevel="0" collapsed="false">
      <c r="A42" s="6" t="s">
        <v>39</v>
      </c>
      <c r="B42" s="13" t="n">
        <v>0.0425</v>
      </c>
    </row>
    <row r="43" customFormat="false" ht="15" hidden="false" customHeight="false" outlineLevel="0" collapsed="false">
      <c r="A43" s="6" t="s">
        <v>40</v>
      </c>
      <c r="B43" s="8" t="n">
        <v>250000000</v>
      </c>
    </row>
    <row r="44" customFormat="false" ht="15" hidden="false" customHeight="false" outlineLevel="0" collapsed="false">
      <c r="A44" s="6" t="s">
        <v>41</v>
      </c>
      <c r="B44" s="13" t="n">
        <v>0.015</v>
      </c>
    </row>
    <row r="45" customFormat="false" ht="15" hidden="false" customHeight="false" outlineLevel="0" collapsed="false">
      <c r="A45" s="6" t="s">
        <v>42</v>
      </c>
      <c r="B45" s="13" t="n">
        <v>0.35</v>
      </c>
    </row>
    <row r="46" customFormat="false" ht="15" hidden="false" customHeight="false" outlineLevel="0" collapsed="false">
      <c r="A46" s="6" t="s">
        <v>43</v>
      </c>
      <c r="B46" s="13" t="n">
        <v>0.005</v>
      </c>
    </row>
    <row r="47" customFormat="false" ht="15" hidden="false" customHeight="false" outlineLevel="0" collapsed="false">
      <c r="A47" s="6" t="s">
        <v>44</v>
      </c>
      <c r="B47" s="9" t="n">
        <v>5</v>
      </c>
    </row>
    <row r="48" customFormat="false" ht="15" hidden="false" customHeight="false" outlineLevel="0" collapsed="false">
      <c r="A48" s="6" t="s">
        <v>45</v>
      </c>
      <c r="B48" s="13" t="n">
        <v>0.026</v>
      </c>
    </row>
    <row r="49" customFormat="false" ht="15" hidden="false" customHeight="false" outlineLevel="0" collapsed="false">
      <c r="A49" s="6" t="s">
        <v>46</v>
      </c>
      <c r="B49" s="13" t="n">
        <v>0.6</v>
      </c>
    </row>
    <row r="50" customFormat="false" ht="15" hidden="false" customHeight="false" outlineLevel="0" collapsed="false">
      <c r="A50" s="6" t="s">
        <v>47</v>
      </c>
      <c r="B50" s="13" t="n">
        <v>0.032</v>
      </c>
    </row>
    <row r="51" customFormat="false" ht="15" hidden="false" customHeight="false" outlineLevel="0" collapsed="false">
      <c r="A51" s="6" t="s">
        <v>48</v>
      </c>
      <c r="B51" s="15" t="n">
        <v>3</v>
      </c>
    </row>
    <row r="52" customFormat="false" ht="15" hidden="false" customHeight="false" outlineLevel="0" collapsed="false">
      <c r="A52" s="6" t="s">
        <v>49</v>
      </c>
      <c r="B52" s="16" t="n">
        <v>4</v>
      </c>
    </row>
    <row r="53" customFormat="false" ht="15" hidden="false" customHeight="false" outlineLevel="0" collapsed="false">
      <c r="A53" s="6" t="s">
        <v>50</v>
      </c>
      <c r="B53" s="8" t="n">
        <v>35000000</v>
      </c>
    </row>
    <row r="54" customFormat="false" ht="15" hidden="false" customHeight="false" outlineLevel="0" collapsed="false">
      <c r="A54" s="6" t="s">
        <v>51</v>
      </c>
      <c r="B54" s="13" t="n">
        <v>0.055</v>
      </c>
    </row>
    <row r="55" customFormat="false" ht="15" hidden="false" customHeight="false" outlineLevel="0" collapsed="false">
      <c r="A55" s="6" t="s">
        <v>52</v>
      </c>
      <c r="B55" s="8" t="n">
        <v>131000000</v>
      </c>
    </row>
    <row r="56" customFormat="false" ht="15" hidden="false" customHeight="false" outlineLevel="0" collapsed="false">
      <c r="A56" s="6" t="s">
        <v>53</v>
      </c>
      <c r="B56" s="13" t="n">
        <v>0.021</v>
      </c>
    </row>
    <row r="57" customFormat="false" ht="15" hidden="false" customHeight="false" outlineLevel="0" collapsed="false">
      <c r="A57" s="3" t="s">
        <v>54</v>
      </c>
      <c r="B57" s="4"/>
      <c r="C57" s="4"/>
      <c r="D57" s="4"/>
      <c r="E57" s="4"/>
      <c r="F57" s="4"/>
    </row>
    <row r="58" customFormat="false" ht="15" hidden="false" customHeight="false" outlineLevel="0" collapsed="false">
      <c r="A58" s="6" t="s">
        <v>55</v>
      </c>
      <c r="B58" s="17" t="n">
        <v>0.1</v>
      </c>
    </row>
    <row r="59" customFormat="false" ht="15" hidden="false" customHeight="false" outlineLevel="0" collapsed="false">
      <c r="A59" s="6" t="s">
        <v>56</v>
      </c>
      <c r="B59" s="8" t="n">
        <v>12000000</v>
      </c>
    </row>
    <row r="60" customFormat="false" ht="15" hidden="false" customHeight="false" outlineLevel="0" collapsed="false">
      <c r="A60" s="6" t="s">
        <v>57</v>
      </c>
      <c r="B60" s="9" t="n">
        <v>58</v>
      </c>
    </row>
    <row r="61" customFormat="false" ht="15" hidden="false" customHeight="false" outlineLevel="0" collapsed="false">
      <c r="A61" s="6" t="s">
        <v>58</v>
      </c>
      <c r="B61" s="8" t="n">
        <v>66049315.0684932</v>
      </c>
    </row>
    <row r="63" customFormat="false" ht="15" hidden="false" customHeight="false" outlineLevel="0" collapsed="false">
      <c r="A63" s="18" t="s">
        <v>59</v>
      </c>
    </row>
    <row r="64" customFormat="false" ht="15" hidden="false" customHeight="false" outlineLevel="0" collapsed="false">
      <c r="A64" s="6" t="s">
        <v>60</v>
      </c>
      <c r="B64" s="8" t="n">
        <v>214000000</v>
      </c>
    </row>
    <row r="65" customFormat="false" ht="15" hidden="false" customHeight="false" outlineLevel="0" collapsed="false">
      <c r="A65" s="6" t="s">
        <v>61</v>
      </c>
      <c r="B65" s="13" t="n">
        <v>0.029</v>
      </c>
    </row>
    <row r="66" customFormat="false" ht="15" hidden="false" customHeight="false" outlineLevel="0" collapsed="false">
      <c r="A66" s="6" t="s">
        <v>62</v>
      </c>
      <c r="B66" s="8" t="n">
        <v>980000000</v>
      </c>
    </row>
    <row r="67" customFormat="false" ht="15" hidden="false" customHeight="false" outlineLevel="0" collapsed="false">
      <c r="A67" s="6" t="s">
        <v>63</v>
      </c>
      <c r="B67" s="9" t="n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64</v>
      </c>
    </row>
    <row r="3" customFormat="false" ht="15" hidden="false" customHeight="false" outlineLevel="0" collapsed="false">
      <c r="A3" s="6" t="s">
        <v>65</v>
      </c>
      <c r="B3" s="19" t="n">
        <f aca="false">Inputs!$B$11-Inputs!$B$12+Inputs!$B$13+Inputs!$B$14</f>
        <v>1308000000</v>
      </c>
    </row>
    <row r="4" customFormat="false" ht="15" hidden="false" customHeight="false" outlineLevel="0" collapsed="false">
      <c r="A4" s="6" t="s">
        <v>66</v>
      </c>
      <c r="B4" s="19" t="n">
        <f aca="false">$B$3/4</f>
        <v>327000000</v>
      </c>
    </row>
    <row r="5" customFormat="false" ht="15" hidden="false" customHeight="false" outlineLevel="0" collapsed="false">
      <c r="A5" s="6" t="s">
        <v>67</v>
      </c>
      <c r="B5" s="20" t="n">
        <f aca="false">AVERAGE(Inputs!$B$22,Inputs!$B$23,Inputs!$B$24,Inputs!$B$25,Inputs!$B$26,Inputs!$B$27,Inputs!$B$28,Inputs!$B$29,Inputs!$B$30,Inputs!$B$31,Inputs!$B$32,Inputs!$B$33)</f>
        <v>0.00575</v>
      </c>
    </row>
    <row r="6" customFormat="false" ht="15" hidden="false" customHeight="false" outlineLevel="0" collapsed="false">
      <c r="A6" s="6" t="s">
        <v>68</v>
      </c>
      <c r="B6" s="20" t="n">
        <f aca="false">STDEV(Inputs!$B$22,Inputs!$B$23,Inputs!$B$24,Inputs!$B$25,Inputs!$B$26,Inputs!$B$27,Inputs!$B$28,Inputs!$B$29,Inputs!$B$30,Inputs!$B$31,Inputs!$B$32,Inputs!$B$33)</f>
        <v>0.041025767955806</v>
      </c>
    </row>
    <row r="7" customFormat="false" ht="15" hidden="false" customHeight="false" outlineLevel="0" collapsed="false">
      <c r="A7" s="6" t="s">
        <v>69</v>
      </c>
      <c r="B7" s="19" t="n">
        <f aca="false">$B$6*$B$4</f>
        <v>13415426.1215486</v>
      </c>
    </row>
    <row r="8" customFormat="false" ht="15" hidden="false" customHeight="false" outlineLevel="0" collapsed="false">
      <c r="A8" s="6" t="s">
        <v>70</v>
      </c>
      <c r="B8" s="19" t="n">
        <f aca="false">$B$5*$B$4</f>
        <v>1880250</v>
      </c>
    </row>
    <row r="9" customFormat="false" ht="15" hidden="false" customHeight="false" outlineLevel="0" collapsed="false">
      <c r="A9" s="6" t="s">
        <v>71</v>
      </c>
      <c r="B9" s="19" t="n">
        <f aca="false">Inputs!$B$34*$B$7</f>
        <v>22068375.9699474</v>
      </c>
    </row>
    <row r="10" customFormat="false" ht="15" hidden="false" customHeight="false" outlineLevel="0" collapsed="false">
      <c r="A10" s="21" t="s">
        <v>72</v>
      </c>
      <c r="B10" s="22" t="n">
        <f aca="false">Inputs!$B$35*$B$7</f>
        <v>31204281.1587219</v>
      </c>
    </row>
    <row r="11" customFormat="false" ht="15" hidden="false" customHeight="false" outlineLevel="0" collapsed="false">
      <c r="A11" s="6" t="s">
        <v>73</v>
      </c>
      <c r="B11" s="19" t="n">
        <f aca="false">Inputs!$B$36*$B$7</f>
        <v>41453666.715585</v>
      </c>
    </row>
    <row r="12" customFormat="false" ht="15" hidden="false" customHeight="false" outlineLevel="0" collapsed="false">
      <c r="A12" s="6" t="s">
        <v>74</v>
      </c>
      <c r="B12" s="19" t="n">
        <f aca="false">$B$10+$B$8</f>
        <v>33084531.1587219</v>
      </c>
    </row>
    <row r="14" customFormat="false" ht="23.85" hidden="false" customHeight="false" outlineLevel="0" collapsed="false">
      <c r="A14" s="18" t="s">
        <v>75</v>
      </c>
      <c r="B14" s="18" t="s">
        <v>76</v>
      </c>
      <c r="C14" s="18" t="s">
        <v>77</v>
      </c>
    </row>
    <row r="15" customFormat="false" ht="15" hidden="false" customHeight="false" outlineLevel="0" collapsed="false">
      <c r="A15" s="6" t="s">
        <v>78</v>
      </c>
      <c r="B15" s="23" t="n">
        <f aca="false">Inputs!$B$22</f>
        <v>0.031</v>
      </c>
      <c r="C15" s="19" t="n">
        <f aca="false">B15*$B$4</f>
        <v>10137000</v>
      </c>
    </row>
    <row r="16" customFormat="false" ht="15" hidden="false" customHeight="false" outlineLevel="0" collapsed="false">
      <c r="A16" s="6" t="s">
        <v>79</v>
      </c>
      <c r="B16" s="23" t="n">
        <f aca="false">Inputs!$B$23</f>
        <v>-0.058</v>
      </c>
      <c r="C16" s="19" t="n">
        <f aca="false">B16*$B$4</f>
        <v>-18966000</v>
      </c>
    </row>
    <row r="17" customFormat="false" ht="15" hidden="false" customHeight="false" outlineLevel="0" collapsed="false">
      <c r="A17" s="6" t="s">
        <v>80</v>
      </c>
      <c r="B17" s="23" t="n">
        <f aca="false">Inputs!$B$24</f>
        <v>0.012</v>
      </c>
      <c r="C17" s="19" t="n">
        <f aca="false">B17*$B$4</f>
        <v>3924000</v>
      </c>
    </row>
    <row r="18" customFormat="false" ht="15" hidden="false" customHeight="false" outlineLevel="0" collapsed="false">
      <c r="A18" s="6" t="s">
        <v>81</v>
      </c>
      <c r="B18" s="23" t="n">
        <f aca="false">Inputs!$B$25</f>
        <v>0.047</v>
      </c>
      <c r="C18" s="19" t="n">
        <f aca="false">B18*$B$4</f>
        <v>15369000</v>
      </c>
    </row>
    <row r="19" customFormat="false" ht="15" hidden="false" customHeight="false" outlineLevel="0" collapsed="false">
      <c r="A19" s="6" t="s">
        <v>82</v>
      </c>
      <c r="B19" s="23" t="n">
        <f aca="false">Inputs!$B$26</f>
        <v>-0.026</v>
      </c>
      <c r="C19" s="19" t="n">
        <f aca="false">B19*$B$4</f>
        <v>-8502000</v>
      </c>
    </row>
    <row r="20" customFormat="false" ht="15" hidden="false" customHeight="false" outlineLevel="0" collapsed="false">
      <c r="A20" s="6" t="s">
        <v>83</v>
      </c>
      <c r="B20" s="23" t="n">
        <f aca="false">Inputs!$B$27</f>
        <v>0.069</v>
      </c>
      <c r="C20" s="19" t="n">
        <f aca="false">B20*$B$4</f>
        <v>22563000</v>
      </c>
    </row>
    <row r="21" customFormat="false" ht="15" hidden="false" customHeight="false" outlineLevel="0" collapsed="false">
      <c r="A21" s="6" t="s">
        <v>84</v>
      </c>
      <c r="B21" s="23" t="n">
        <f aca="false">Inputs!$B$28</f>
        <v>-0.041</v>
      </c>
      <c r="C21" s="19" t="n">
        <f aca="false">B21*$B$4</f>
        <v>-13407000</v>
      </c>
    </row>
    <row r="22" customFormat="false" ht="15" hidden="false" customHeight="false" outlineLevel="0" collapsed="false">
      <c r="A22" s="6" t="s">
        <v>85</v>
      </c>
      <c r="B22" s="23" t="n">
        <f aca="false">Inputs!$B$29</f>
        <v>0.008</v>
      </c>
      <c r="C22" s="19" t="n">
        <f aca="false">B22*$B$4</f>
        <v>2616000</v>
      </c>
    </row>
    <row r="23" customFormat="false" ht="15" hidden="false" customHeight="false" outlineLevel="0" collapsed="false">
      <c r="A23" s="6" t="s">
        <v>86</v>
      </c>
      <c r="B23" s="23" t="n">
        <f aca="false">Inputs!$B$30</f>
        <v>-0.033</v>
      </c>
      <c r="C23" s="19" t="n">
        <f aca="false">B23*$B$4</f>
        <v>-10791000</v>
      </c>
    </row>
    <row r="24" customFormat="false" ht="15" hidden="false" customHeight="false" outlineLevel="0" collapsed="false">
      <c r="A24" s="6" t="s">
        <v>87</v>
      </c>
      <c r="B24" s="23" t="n">
        <f aca="false">Inputs!$B$31</f>
        <v>0.055</v>
      </c>
      <c r="C24" s="19" t="n">
        <f aca="false">B24*$B$4</f>
        <v>17985000</v>
      </c>
    </row>
    <row r="25" customFormat="false" ht="15" hidden="false" customHeight="false" outlineLevel="0" collapsed="false">
      <c r="A25" s="6" t="s">
        <v>88</v>
      </c>
      <c r="B25" s="23" t="n">
        <f aca="false">Inputs!$B$32</f>
        <v>-0.019</v>
      </c>
      <c r="C25" s="19" t="n">
        <f aca="false">B25*$B$4</f>
        <v>-6213000</v>
      </c>
    </row>
    <row r="26" customFormat="false" ht="15" hidden="false" customHeight="false" outlineLevel="0" collapsed="false">
      <c r="A26" s="6" t="s">
        <v>89</v>
      </c>
      <c r="B26" s="23" t="n">
        <f aca="false">Inputs!$B$33</f>
        <v>0.024</v>
      </c>
      <c r="C26" s="19" t="n">
        <f aca="false">B26*$B$4</f>
        <v>7848000</v>
      </c>
    </row>
    <row r="28" customFormat="false" ht="15" hidden="false" customHeight="false" outlineLevel="0" collapsed="false">
      <c r="A28" s="6" t="s">
        <v>90</v>
      </c>
      <c r="B28" s="23" t="n">
        <f aca="false">MAX(Inputs!$B$22:$B$33)</f>
        <v>0.069</v>
      </c>
    </row>
    <row r="29" customFormat="false" ht="15" hidden="false" customHeight="false" outlineLevel="0" collapsed="false">
      <c r="A29" s="6" t="s">
        <v>91</v>
      </c>
      <c r="B29" s="23" t="n">
        <f aca="false">MIN(Inputs!$B$22:$B$33)</f>
        <v>-0.058</v>
      </c>
    </row>
    <row r="30" customFormat="false" ht="15" hidden="false" customHeight="false" outlineLevel="0" collapsed="false">
      <c r="A30" s="6" t="s">
        <v>92</v>
      </c>
      <c r="B30" s="19" t="n">
        <f aca="false">ROUND($B$6,6)*$B$4</f>
        <v>13415502</v>
      </c>
    </row>
    <row r="31" customFormat="false" ht="15" hidden="false" customHeight="false" outlineLevel="0" collapsed="false">
      <c r="A31" s="6" t="s">
        <v>93</v>
      </c>
      <c r="B31" s="19" t="n">
        <f aca="false">B30-$B$7</f>
        <v>75.8784514460713</v>
      </c>
    </row>
    <row r="32" customFormat="false" ht="15" hidden="false" customHeight="false" outlineLevel="0" collapsed="false">
      <c r="A32" s="6" t="s">
        <v>94</v>
      </c>
      <c r="B32" s="24" t="n">
        <f aca="false">B28/ROUND($B$6,6)</f>
        <v>1.68186028372252</v>
      </c>
    </row>
    <row r="33" customFormat="false" ht="15" hidden="false" customHeight="false" outlineLevel="0" collapsed="false">
      <c r="A33" s="6" t="s">
        <v>95</v>
      </c>
      <c r="B33" s="19" t="n">
        <f aca="false">$B$10-$B$9</f>
        <v>9135905.18877457</v>
      </c>
    </row>
    <row r="34" customFormat="false" ht="15" hidden="false" customHeight="false" outlineLevel="0" collapsed="false">
      <c r="A34" s="6" t="s">
        <v>96</v>
      </c>
      <c r="B34" s="19" t="n">
        <f aca="false">$B$11-$B$10</f>
        <v>10249385.5568631</v>
      </c>
    </row>
    <row r="35" customFormat="false" ht="15" hidden="false" customHeight="false" outlineLevel="0" collapsed="false">
      <c r="A35" s="6" t="s">
        <v>97</v>
      </c>
      <c r="B35" s="19" t="n">
        <f aca="false">$B$4/13</f>
        <v>25153846.1538462</v>
      </c>
    </row>
    <row r="36" customFormat="false" ht="15" hidden="false" customHeight="false" outlineLevel="0" collapsed="false">
      <c r="A36" s="6" t="s">
        <v>98</v>
      </c>
      <c r="B36" s="24" t="n">
        <f aca="false">Inputs!$B$60/7</f>
        <v>8.28571428571429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6" t="s">
        <v>101</v>
      </c>
      <c r="B4" s="19" t="n">
        <f aca="false">Forecast!$B$3/Inputs!$B$15</f>
        <v>5232000</v>
      </c>
    </row>
    <row r="5" customFormat="false" ht="15" hidden="false" customHeight="false" outlineLevel="0" collapsed="false">
      <c r="A5" s="6" t="s">
        <v>102</v>
      </c>
      <c r="B5" s="19" t="n">
        <f aca="false">Inputs!$B$19*$B$4</f>
        <v>31392000</v>
      </c>
    </row>
    <row r="6" customFormat="false" ht="15" hidden="false" customHeight="false" outlineLevel="0" collapsed="false">
      <c r="A6" s="6" t="s">
        <v>103</v>
      </c>
      <c r="B6" s="19" t="n">
        <f aca="false">Inputs!$B$18-$B$5</f>
        <v>120608000</v>
      </c>
    </row>
    <row r="7" customFormat="false" ht="15" hidden="false" customHeight="false" outlineLevel="0" collapsed="false">
      <c r="A7" s="21" t="s">
        <v>104</v>
      </c>
      <c r="B7" s="22" t="n">
        <f aca="false">$B$5+Forecast!$B$10+Inputs!$B$20</f>
        <v>124596281.158722</v>
      </c>
    </row>
    <row r="8" customFormat="false" ht="15" hidden="false" customHeight="false" outlineLevel="0" collapsed="false">
      <c r="A8" s="6" t="s">
        <v>105</v>
      </c>
      <c r="B8" s="19" t="n">
        <f aca="false">Forecast!$B$10+Inputs!$B$20</f>
        <v>93204281.1587219</v>
      </c>
    </row>
    <row r="10" customFormat="false" ht="15" hidden="false" customHeight="false" outlineLevel="0" collapsed="false">
      <c r="A10" s="25"/>
      <c r="B10" s="25" t="s">
        <v>106</v>
      </c>
      <c r="C10" s="25" t="s">
        <v>107</v>
      </c>
      <c r="D10" s="25"/>
      <c r="E10" s="25"/>
      <c r="F10" s="25"/>
    </row>
    <row r="11" customFormat="false" ht="15" hidden="false" customHeight="false" outlineLevel="0" collapsed="false">
      <c r="A11" s="6" t="s">
        <v>14</v>
      </c>
      <c r="B11" s="19" t="n">
        <f aca="false">$B$6</f>
        <v>120608000</v>
      </c>
      <c r="C11" s="19" t="n">
        <f aca="false">Inputs!$B$18</f>
        <v>152000000</v>
      </c>
    </row>
    <row r="12" customFormat="false" ht="15" hidden="false" customHeight="false" outlineLevel="0" collapsed="false">
      <c r="A12" s="6" t="s">
        <v>108</v>
      </c>
      <c r="B12" s="19" t="n">
        <f aca="false">Inputs!$B$43</f>
        <v>250000000</v>
      </c>
      <c r="C12" s="19" t="n">
        <f aca="false">Inputs!$B$43</f>
        <v>250000000</v>
      </c>
    </row>
    <row r="13" customFormat="false" ht="15" hidden="false" customHeight="false" outlineLevel="0" collapsed="false">
      <c r="A13" s="21" t="s">
        <v>109</v>
      </c>
      <c r="B13" s="22" t="n">
        <f aca="false">B11+B12</f>
        <v>370608000</v>
      </c>
      <c r="C13" s="22" t="n">
        <f aca="false">C11+C12</f>
        <v>402000000</v>
      </c>
    </row>
    <row r="14" customFormat="false" ht="15" hidden="false" customHeight="false" outlineLevel="0" collapsed="false">
      <c r="A14" s="6" t="s">
        <v>110</v>
      </c>
      <c r="B14" s="19" t="n">
        <f aca="false">$B$8</f>
        <v>93204281.1587219</v>
      </c>
      <c r="C14" s="19" t="n">
        <f aca="false">$B$7</f>
        <v>124596281.158722</v>
      </c>
    </row>
    <row r="15" customFormat="false" ht="15" hidden="false" customHeight="false" outlineLevel="0" collapsed="false">
      <c r="A15" s="21" t="s">
        <v>111</v>
      </c>
      <c r="B15" s="22" t="n">
        <f aca="false">B13-B14</f>
        <v>277403718.841278</v>
      </c>
      <c r="C15" s="22" t="n">
        <f aca="false">C13-C14</f>
        <v>277403718.841278</v>
      </c>
    </row>
    <row r="16" customFormat="false" ht="15" hidden="false" customHeight="false" outlineLevel="0" collapsed="false">
      <c r="A16" s="6" t="s">
        <v>112</v>
      </c>
      <c r="B16" s="26" t="n">
        <f aca="false">B13/B14</f>
        <v>3.97629803473163</v>
      </c>
      <c r="C16" s="26" t="n">
        <f aca="false">C13/C14</f>
        <v>3.22642053407594</v>
      </c>
    </row>
    <row r="17" customFormat="false" ht="15" hidden="false" customHeight="false" outlineLevel="0" collapsed="false">
      <c r="A17" s="21" t="s">
        <v>113</v>
      </c>
      <c r="B17" s="22" t="n">
        <f aca="false">B11-B14</f>
        <v>27403718.8412781</v>
      </c>
      <c r="C17" s="22" t="n">
        <f aca="false">C11-C14</f>
        <v>27403718.8412781</v>
      </c>
    </row>
    <row r="18" customFormat="false" ht="15" hidden="false" customHeight="false" outlineLevel="0" collapsed="false">
      <c r="A18" s="6" t="s">
        <v>114</v>
      </c>
      <c r="B18" s="24" t="n">
        <f aca="false">$B$17/$B$4</f>
        <v>5.23771384581003</v>
      </c>
    </row>
    <row r="19" customFormat="false" ht="15" hidden="false" customHeight="false" outlineLevel="0" collapsed="false">
      <c r="A19" s="6" t="s">
        <v>115</v>
      </c>
      <c r="B19" s="20" t="n">
        <f aca="false">Inputs!$B$43/$B$13</f>
        <v>0.674567197685965</v>
      </c>
    </row>
    <row r="20" customFormat="false" ht="15" hidden="false" customHeight="false" outlineLevel="0" collapsed="false">
      <c r="A20" s="6" t="s">
        <v>116</v>
      </c>
      <c r="B20" s="19" t="n">
        <f aca="false">$B$6-$B$7</f>
        <v>-3988281.15872194</v>
      </c>
    </row>
    <row r="21" customFormat="false" ht="15" hidden="false" customHeight="false" outlineLevel="0" collapsed="false">
      <c r="A21" s="6" t="s">
        <v>117</v>
      </c>
      <c r="B21" s="19" t="n">
        <f aca="false">$B$17-Inputs!$B$61</f>
        <v>-38645596.2272151</v>
      </c>
    </row>
    <row r="23" customFormat="false" ht="15" hidden="false" customHeight="false" outlineLevel="0" collapsed="false">
      <c r="A23" s="3" t="s">
        <v>118</v>
      </c>
      <c r="B23" s="4"/>
      <c r="C23" s="4"/>
      <c r="D23" s="4"/>
      <c r="E23" s="4"/>
      <c r="F23" s="4"/>
    </row>
    <row r="24" customFormat="false" ht="23.85" hidden="false" customHeight="false" outlineLevel="0" collapsed="false">
      <c r="A24" s="25" t="s">
        <v>119</v>
      </c>
      <c r="B24" s="25" t="s">
        <v>120</v>
      </c>
      <c r="C24" s="25" t="s">
        <v>121</v>
      </c>
      <c r="D24" s="25" t="s">
        <v>122</v>
      </c>
      <c r="E24" s="25"/>
      <c r="F24" s="25"/>
    </row>
    <row r="25" customFormat="false" ht="15" hidden="false" customHeight="false" outlineLevel="0" collapsed="false">
      <c r="A25" s="6" t="s">
        <v>123</v>
      </c>
      <c r="B25" s="19" t="n">
        <f aca="false">Forecast!$B$10+Inputs!$B$20</f>
        <v>93204281.1587219</v>
      </c>
      <c r="C25" s="19" t="n">
        <f aca="false">(Inputs!$B$18-4*$B$4)-B25</f>
        <v>37867718.8412781</v>
      </c>
      <c r="D25" s="24" t="n">
        <f aca="false">C25/$B$4</f>
        <v>7.23771384581003</v>
      </c>
    </row>
    <row r="26" customFormat="false" ht="15" hidden="false" customHeight="false" outlineLevel="0" collapsed="false">
      <c r="A26" s="6" t="s">
        <v>124</v>
      </c>
      <c r="B26" s="19" t="n">
        <f aca="false">Forecast!$B$10+Inputs!$B$20</f>
        <v>93204281.1587219</v>
      </c>
      <c r="C26" s="19" t="n">
        <f aca="false">(Inputs!$B$18-6*$B$4)-B26</f>
        <v>27403718.8412781</v>
      </c>
      <c r="D26" s="24" t="n">
        <f aca="false">C26/$B$4</f>
        <v>5.23771384581003</v>
      </c>
    </row>
    <row r="27" customFormat="false" ht="15" hidden="false" customHeight="false" outlineLevel="0" collapsed="false">
      <c r="A27" s="6" t="s">
        <v>125</v>
      </c>
      <c r="B27" s="19" t="n">
        <f aca="false">Forecast!$B$10+Inputs!$B$20</f>
        <v>93204281.1587219</v>
      </c>
      <c r="C27" s="19" t="n">
        <f aca="false">(Inputs!$B$18-8*$B$4)-B27</f>
        <v>16939718.8412781</v>
      </c>
      <c r="D27" s="24" t="n">
        <f aca="false">C27/$B$4</f>
        <v>3.23771384581003</v>
      </c>
    </row>
    <row r="28" customFormat="false" ht="15" hidden="false" customHeight="false" outlineLevel="0" collapsed="false">
      <c r="A28" s="6" t="s">
        <v>71</v>
      </c>
      <c r="B28" s="19" t="n">
        <f aca="false">Inputs!$B$34*Forecast!$B$7+Inputs!$B$20</f>
        <v>84068375.9699474</v>
      </c>
      <c r="C28" s="19" t="n">
        <f aca="false">$B$6-B28</f>
        <v>36539624.0300526</v>
      </c>
      <c r="D28" s="24" t="n">
        <f aca="false">C28/$B$4</f>
        <v>6.98387309442902</v>
      </c>
    </row>
    <row r="29" customFormat="false" ht="15" hidden="false" customHeight="false" outlineLevel="0" collapsed="false">
      <c r="A29" s="6" t="s">
        <v>73</v>
      </c>
      <c r="B29" s="19" t="n">
        <f aca="false">Inputs!$B$36*Forecast!$B$7+Inputs!$B$20</f>
        <v>103453666.715585</v>
      </c>
      <c r="C29" s="19" t="n">
        <f aca="false">$B$6-B29</f>
        <v>17154333.284415</v>
      </c>
      <c r="D29" s="24" t="n">
        <f aca="false">C29/$B$4</f>
        <v>3.27873342592029</v>
      </c>
    </row>
    <row r="31" customFormat="false" ht="15" hidden="false" customHeight="false" outlineLevel="0" collapsed="false">
      <c r="A31" s="6" t="s">
        <v>126</v>
      </c>
      <c r="B31" s="24" t="n">
        <f aca="false">$B$7/$B$4</f>
        <v>23.8142739217741</v>
      </c>
    </row>
    <row r="33" customFormat="false" ht="15" hidden="false" customHeight="false" outlineLevel="0" collapsed="false">
      <c r="A33" s="18" t="s">
        <v>127</v>
      </c>
      <c r="B33" s="18" t="s">
        <v>128</v>
      </c>
      <c r="C33" s="18" t="s">
        <v>129</v>
      </c>
      <c r="D33" s="18" t="s">
        <v>130</v>
      </c>
    </row>
    <row r="34" customFormat="false" ht="15" hidden="false" customHeight="false" outlineLevel="0" collapsed="false">
      <c r="A34" s="9" t="n">
        <v>4</v>
      </c>
      <c r="B34" s="19" t="n">
        <f aca="false">A34*$B$4</f>
        <v>20928000</v>
      </c>
      <c r="C34" s="19" t="n">
        <f aca="false">Inputs!$B$18-B34</f>
        <v>131072000</v>
      </c>
      <c r="D34" s="19" t="n">
        <f aca="false">B34+Forecast!$B$10+Inputs!$B$20</f>
        <v>114132281.158722</v>
      </c>
    </row>
    <row r="35" customFormat="false" ht="15" hidden="false" customHeight="false" outlineLevel="0" collapsed="false">
      <c r="A35" s="9" t="n">
        <v>6</v>
      </c>
      <c r="B35" s="19" t="n">
        <f aca="false">A35*$B$4</f>
        <v>31392000</v>
      </c>
      <c r="C35" s="19" t="n">
        <f aca="false">Inputs!$B$18-B35</f>
        <v>120608000</v>
      </c>
      <c r="D35" s="19" t="n">
        <f aca="false">B35+Forecast!$B$10+Inputs!$B$20</f>
        <v>124596281.158722</v>
      </c>
    </row>
    <row r="36" customFormat="false" ht="15" hidden="false" customHeight="false" outlineLevel="0" collapsed="false">
      <c r="A36" s="9" t="n">
        <v>8</v>
      </c>
      <c r="B36" s="19" t="n">
        <f aca="false">A36*$B$4</f>
        <v>41856000</v>
      </c>
      <c r="C36" s="19" t="n">
        <f aca="false">Inputs!$B$18-B36</f>
        <v>110144000</v>
      </c>
      <c r="D36" s="19" t="n">
        <f aca="false">B36+Forecast!$B$10+Inputs!$B$20</f>
        <v>135060281.158722</v>
      </c>
    </row>
    <row r="38" customFormat="false" ht="15" hidden="false" customHeight="false" outlineLevel="0" collapsed="false">
      <c r="A38" s="6" t="s">
        <v>131</v>
      </c>
      <c r="B38" s="19" t="n">
        <f aca="false">2*$B$5</f>
        <v>62784000</v>
      </c>
    </row>
    <row r="39" customFormat="false" ht="15" hidden="false" customHeight="false" outlineLevel="0" collapsed="false">
      <c r="A39" s="6" t="s">
        <v>132</v>
      </c>
      <c r="B39" s="19" t="n">
        <f aca="false">2*$B$4</f>
        <v>10464000</v>
      </c>
    </row>
    <row r="40" customFormat="false" ht="15" hidden="false" customHeight="false" outlineLevel="0" collapsed="false">
      <c r="A40" s="6" t="s">
        <v>133</v>
      </c>
      <c r="B40" s="19" t="n">
        <f aca="false">$B$5+Forecast!$B$9+Inputs!$B$20</f>
        <v>115460375.969947</v>
      </c>
    </row>
    <row r="41" customFormat="false" ht="15" hidden="false" customHeight="false" outlineLevel="0" collapsed="false">
      <c r="A41" s="6" t="s">
        <v>134</v>
      </c>
      <c r="B41" s="19" t="n">
        <f aca="false">$B$5+Forecast!$B$11+Inputs!$B$20</f>
        <v>134845666.715585</v>
      </c>
    </row>
    <row r="42" customFormat="false" ht="15" hidden="false" customHeight="false" outlineLevel="0" collapsed="false">
      <c r="A42" s="6" t="s">
        <v>135</v>
      </c>
      <c r="B42" s="19" t="n">
        <f aca="false">Inputs!$B$20+$B$17</f>
        <v>89403718.8412781</v>
      </c>
    </row>
    <row r="43" customFormat="false" ht="15" hidden="false" customHeight="false" outlineLevel="0" collapsed="false">
      <c r="A43" s="18" t="s">
        <v>136</v>
      </c>
    </row>
    <row r="44" customFormat="false" ht="15" hidden="false" customHeight="false" outlineLevel="0" collapsed="false">
      <c r="A44" s="6" t="s">
        <v>137</v>
      </c>
      <c r="B44" s="19" t="n">
        <f aca="false">SQRT($B$5^2+Forecast!$B$10^2+Inputs!$B$20^2)</f>
        <v>76178506.3297553</v>
      </c>
    </row>
    <row r="45" customFormat="false" ht="15" hidden="false" customHeight="false" outlineLevel="0" collapsed="false">
      <c r="A45" s="6" t="s">
        <v>138</v>
      </c>
      <c r="B45" s="19" t="n">
        <f aca="false">$B$7-B44</f>
        <v>48417774.8289666</v>
      </c>
    </row>
    <row r="46" customFormat="false" ht="15" hidden="false" customHeight="false" outlineLevel="0" collapsed="false">
      <c r="A46" s="6" t="s">
        <v>139</v>
      </c>
      <c r="B46" s="20" t="n">
        <f aca="false">B45/$B$7</f>
        <v>0.388597270951351</v>
      </c>
    </row>
    <row r="47" customFormat="false" ht="15" hidden="false" customHeight="false" outlineLevel="0" collapsed="false">
      <c r="A47" s="6" t="s">
        <v>140</v>
      </c>
      <c r="B47" s="19" t="n">
        <f aca="false">Inputs!$B$18-B44</f>
        <v>75821493.6702447</v>
      </c>
    </row>
    <row r="48" customFormat="false" ht="15" hidden="false" customHeight="false" outlineLevel="0" collapsed="false">
      <c r="A48" s="6" t="s">
        <v>141</v>
      </c>
      <c r="B48" s="20" t="n">
        <f aca="false">$B$17/$B$13</f>
        <v>0.0739425992997401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4" customFormat="false" ht="15" hidden="false" customHeight="false" outlineLevel="0" collapsed="false">
      <c r="A4" s="6" t="s">
        <v>144</v>
      </c>
      <c r="B4" s="19" t="n">
        <f aca="false">Inputs!$B$38+Inputs!$B$39</f>
        <v>550000000</v>
      </c>
    </row>
    <row r="5" customFormat="false" ht="15" hidden="false" customHeight="false" outlineLevel="0" collapsed="false">
      <c r="A5" s="6" t="s">
        <v>145</v>
      </c>
      <c r="B5" s="19" t="n">
        <f aca="false">$B$4-Inputs!$B$18</f>
        <v>398000000</v>
      </c>
    </row>
    <row r="6" customFormat="false" ht="15" hidden="false" customHeight="false" outlineLevel="0" collapsed="false">
      <c r="A6" s="21" t="s">
        <v>146</v>
      </c>
      <c r="B6" s="22" t="n">
        <f aca="false">$B$5/Inputs!$B$51</f>
        <v>132666666.666667</v>
      </c>
    </row>
    <row r="7" customFormat="false" ht="15" hidden="false" customHeight="false" outlineLevel="0" collapsed="false">
      <c r="A7" s="6" t="s">
        <v>147</v>
      </c>
      <c r="B7" s="20" t="n">
        <f aca="false">1-$B$6/Inputs!$B$12</f>
        <v>0.21031746031746</v>
      </c>
    </row>
    <row r="8" customFormat="false" ht="15" hidden="false" customHeight="false" outlineLevel="0" collapsed="false">
      <c r="A8" s="21" t="s">
        <v>148</v>
      </c>
      <c r="B8" s="27" t="n">
        <f aca="false">$B$7/Inputs!$B$16</f>
        <v>0.0841269841269841</v>
      </c>
    </row>
    <row r="9" customFormat="false" ht="15" hidden="false" customHeight="false" outlineLevel="0" collapsed="false">
      <c r="A9" s="6" t="s">
        <v>149</v>
      </c>
      <c r="B9" s="20" t="n">
        <f aca="false">$B$7/4</f>
        <v>0.0525793650793651</v>
      </c>
    </row>
    <row r="10" customFormat="false" ht="15" hidden="false" customHeight="false" outlineLevel="0" collapsed="false">
      <c r="A10" s="6" t="s">
        <v>150</v>
      </c>
      <c r="B10" s="20" t="n">
        <f aca="false">Inputs!$B$43/Minimum!$B$13</f>
        <v>0.674567197685965</v>
      </c>
    </row>
    <row r="12" customFormat="false" ht="15" hidden="false" customHeight="false" outlineLevel="0" collapsed="false">
      <c r="A12" s="3" t="s">
        <v>151</v>
      </c>
      <c r="B12" s="4"/>
      <c r="C12" s="4"/>
      <c r="D12" s="4"/>
      <c r="E12" s="4"/>
      <c r="F12" s="4"/>
    </row>
    <row r="13" customFormat="false" ht="15" hidden="false" customHeight="false" outlineLevel="0" collapsed="false">
      <c r="A13" s="6" t="s">
        <v>152</v>
      </c>
      <c r="B13" s="19" t="n">
        <f aca="false">Inputs!$B$12*(1-Inputs!$B$58*Inputs!$B$16)</f>
        <v>126000000</v>
      </c>
    </row>
    <row r="14" customFormat="false" ht="15" hidden="false" customHeight="false" outlineLevel="0" collapsed="false">
      <c r="A14" s="6" t="s">
        <v>153</v>
      </c>
      <c r="B14" s="26" t="n">
        <f aca="false">($B$4-Inputs!$B$64)/$B$13</f>
        <v>2.66666666666667</v>
      </c>
      <c r="C14" s="28" t="s">
        <v>154</v>
      </c>
    </row>
    <row r="15" customFormat="false" ht="15" hidden="false" customHeight="false" outlineLevel="0" collapsed="false">
      <c r="A15" s="21" t="s">
        <v>155</v>
      </c>
      <c r="B15" s="29" t="n">
        <f aca="false">$B$5/$B$13</f>
        <v>3.15873015873016</v>
      </c>
    </row>
    <row r="16" customFormat="false" ht="15" hidden="false" customHeight="false" outlineLevel="0" collapsed="false">
      <c r="A16" s="6" t="s">
        <v>156</v>
      </c>
      <c r="B16" s="19" t="n">
        <f aca="false">Inputs!$B$38*(Inputs!$B$40+Inputs!$B$41)+Inputs!$B$39*Inputs!$B$42+Inputs!$B$43*Inputs!$B$44*Inputs!$B$45+Inputs!$B$38*Inputs!$B$49*(Inputs!$B$50-Inputs!$B$40)</f>
        <v>26547500</v>
      </c>
    </row>
    <row r="17" customFormat="false" ht="15" hidden="false" customHeight="false" outlineLevel="0" collapsed="false">
      <c r="A17" s="6" t="s">
        <v>157</v>
      </c>
      <c r="B17" s="19" t="n">
        <f aca="false">Inputs!$B$12-Inputs!$B$13-Inputs!$B$14-$B$16</f>
        <v>65452500</v>
      </c>
    </row>
    <row r="18" customFormat="false" ht="15" hidden="false" customHeight="false" outlineLevel="0" collapsed="false">
      <c r="A18" s="6" t="s">
        <v>158</v>
      </c>
      <c r="B18" s="19" t="n">
        <f aca="false">$B$13-Inputs!$B$13-Inputs!$B$59-$B$16</f>
        <v>31452500</v>
      </c>
    </row>
    <row r="19" customFormat="false" ht="15" hidden="false" customHeight="false" outlineLevel="0" collapsed="false">
      <c r="A19" s="6" t="s">
        <v>159</v>
      </c>
      <c r="B19" s="19" t="n">
        <f aca="false">$B$18/4</f>
        <v>7863125</v>
      </c>
    </row>
    <row r="20" customFormat="false" ht="15" hidden="false" customHeight="false" outlineLevel="0" collapsed="false">
      <c r="A20" s="6" t="s">
        <v>160</v>
      </c>
      <c r="B20" s="20" t="n">
        <f aca="false">1-$B$18/$B$17</f>
        <v>0.519460677590619</v>
      </c>
    </row>
    <row r="21" customFormat="false" ht="15" hidden="false" customHeight="false" outlineLevel="0" collapsed="false">
      <c r="A21" s="6" t="s">
        <v>161</v>
      </c>
      <c r="B21" s="19" t="n">
        <f aca="false">Inputs!$B$11*Inputs!$B$58*Inputs!$B$60/365</f>
        <v>22246575.3424658</v>
      </c>
    </row>
    <row r="23" customFormat="false" ht="15" hidden="false" customHeight="false" outlineLevel="0" collapsed="false">
      <c r="A23" s="6" t="s">
        <v>162</v>
      </c>
      <c r="B23" s="19" t="n">
        <f aca="false">Inputs!$B$12-$B$6</f>
        <v>35333333.3333333</v>
      </c>
    </row>
    <row r="24" customFormat="false" ht="15" hidden="false" customHeight="false" outlineLevel="0" collapsed="false">
      <c r="A24" s="6" t="s">
        <v>163</v>
      </c>
      <c r="B24" s="19" t="n">
        <f aca="false">Inputs!$B$11*$B$8</f>
        <v>117777777.777778</v>
      </c>
    </row>
    <row r="25" customFormat="false" ht="15" hidden="false" customHeight="false" outlineLevel="0" collapsed="false">
      <c r="A25" s="6" t="s">
        <v>164</v>
      </c>
      <c r="B25" s="19" t="n">
        <f aca="false">Inputs!$B$11-B24</f>
        <v>1282222222.22222</v>
      </c>
    </row>
    <row r="27" customFormat="false" ht="15" hidden="false" customHeight="false" outlineLevel="0" collapsed="false">
      <c r="A27" s="18" t="s">
        <v>165</v>
      </c>
    </row>
    <row r="28" customFormat="false" ht="15" hidden="false" customHeight="false" outlineLevel="0" collapsed="false">
      <c r="A28" s="6" t="s">
        <v>166</v>
      </c>
      <c r="B28" s="19" t="n">
        <f aca="false">$B$4-Inputs!$B$64</f>
        <v>336000000</v>
      </c>
    </row>
    <row r="29" customFormat="false" ht="15" hidden="false" customHeight="false" outlineLevel="0" collapsed="false">
      <c r="A29" s="6" t="s">
        <v>167</v>
      </c>
      <c r="B29" s="19" t="n">
        <f aca="false">B28/Inputs!$B$51</f>
        <v>112000000</v>
      </c>
    </row>
    <row r="30" customFormat="false" ht="15" hidden="false" customHeight="false" outlineLevel="0" collapsed="false">
      <c r="A30" s="6" t="s">
        <v>168</v>
      </c>
      <c r="B30" s="20" t="n">
        <f aca="false">1-B29/Inputs!$B$12</f>
        <v>0.333333333333333</v>
      </c>
    </row>
    <row r="31" customFormat="false" ht="15" hidden="false" customHeight="false" outlineLevel="0" collapsed="false">
      <c r="A31" s="6" t="s">
        <v>169</v>
      </c>
      <c r="B31" s="20" t="n">
        <f aca="false">B30/Inputs!$B$16</f>
        <v>0.133333333333333</v>
      </c>
    </row>
    <row r="32" customFormat="false" ht="15" hidden="false" customHeight="false" outlineLevel="0" collapsed="false">
      <c r="A32" s="6" t="s">
        <v>170</v>
      </c>
      <c r="B32" s="20" t="n">
        <f aca="false">B31-$B$8</f>
        <v>0.0492063492063493</v>
      </c>
    </row>
    <row r="34" customFormat="false" ht="15" hidden="false" customHeight="false" outlineLevel="0" collapsed="false">
      <c r="A34" s="18" t="s">
        <v>171</v>
      </c>
    </row>
    <row r="35" customFormat="false" ht="15" hidden="false" customHeight="false" outlineLevel="0" collapsed="false">
      <c r="A35" s="6" t="s">
        <v>172</v>
      </c>
      <c r="B35" s="26" t="n">
        <f aca="false">$B$5/(Inputs!$B$12*(1-$B$9))</f>
        <v>2.50052356020942</v>
      </c>
    </row>
    <row r="36" customFormat="false" ht="15" hidden="false" customHeight="false" outlineLevel="0" collapsed="false">
      <c r="A36" s="6" t="s">
        <v>173</v>
      </c>
      <c r="B36" s="20" t="n">
        <f aca="false">2*$B$9</f>
        <v>0.10515873015873</v>
      </c>
    </row>
    <row r="37" customFormat="false" ht="15" hidden="false" customHeight="false" outlineLevel="0" collapsed="false">
      <c r="A37" s="6" t="s">
        <v>174</v>
      </c>
      <c r="B37" s="20" t="n">
        <f aca="false">3*$B$9</f>
        <v>0.157738095238095</v>
      </c>
    </row>
    <row r="39" customFormat="false" ht="15" hidden="false" customHeight="false" outlineLevel="0" collapsed="false">
      <c r="A39" s="18" t="s">
        <v>175</v>
      </c>
    </row>
    <row r="40" customFormat="false" ht="15" hidden="false" customHeight="false" outlineLevel="0" collapsed="false">
      <c r="A40" s="6" t="s">
        <v>176</v>
      </c>
      <c r="B40" s="19" t="n">
        <f aca="false">Inputs!$B$11*(1-Inputs!$B$58)</f>
        <v>1260000000</v>
      </c>
    </row>
    <row r="41" customFormat="false" ht="15" hidden="false" customHeight="false" outlineLevel="0" collapsed="false">
      <c r="A41" s="6" t="s">
        <v>177</v>
      </c>
      <c r="B41" s="24" t="n">
        <f aca="false">$B$20/Inputs!$B$58</f>
        <v>5.19460677590619</v>
      </c>
    </row>
    <row r="42" customFormat="false" ht="15" hidden="false" customHeight="false" outlineLevel="0" collapsed="false">
      <c r="A42" s="6" t="s">
        <v>178</v>
      </c>
      <c r="B42" s="19" t="n">
        <f aca="false">Inputs!$B$11*Inputs!$B$58</f>
        <v>140000000</v>
      </c>
    </row>
    <row r="43" customFormat="false" ht="15" hidden="false" customHeight="false" outlineLevel="0" collapsed="false">
      <c r="A43" s="6" t="s">
        <v>179</v>
      </c>
      <c r="B43" s="19" t="n">
        <f aca="false">$B$13*Inputs!$B$51</f>
        <v>378000000</v>
      </c>
    </row>
    <row r="44" customFormat="false" ht="15" hidden="false" customHeight="false" outlineLevel="0" collapsed="false">
      <c r="A44" s="6" t="s">
        <v>180</v>
      </c>
      <c r="B44" s="19" t="n">
        <f aca="false">$B$5-B43</f>
        <v>20000000</v>
      </c>
    </row>
    <row r="45" customFormat="false" ht="15" hidden="false" customHeight="false" outlineLevel="0" collapsed="false">
      <c r="A45" s="6" t="s">
        <v>181</v>
      </c>
      <c r="B45" s="19" t="n">
        <f aca="false">$B$21-B44</f>
        <v>2246575.34246575</v>
      </c>
    </row>
    <row r="47" customFormat="false" ht="15" hidden="false" customHeight="false" outlineLevel="0" collapsed="false">
      <c r="A47" s="18" t="s">
        <v>182</v>
      </c>
    </row>
    <row r="48" customFormat="false" ht="15" hidden="false" customHeight="false" outlineLevel="0" collapsed="false">
      <c r="A48" s="6" t="s">
        <v>183</v>
      </c>
      <c r="B48" s="19" t="n">
        <f aca="false">$B$4+Inputs!$B$43</f>
        <v>800000000</v>
      </c>
    </row>
    <row r="49" customFormat="false" ht="15" hidden="false" customHeight="false" outlineLevel="0" collapsed="false">
      <c r="A49" s="6" t="s">
        <v>184</v>
      </c>
      <c r="B49" s="19" t="n">
        <f aca="false">Inputs!$B$18+Inputs!$B$43</f>
        <v>402000000</v>
      </c>
    </row>
    <row r="50" customFormat="false" ht="15" hidden="false" customHeight="false" outlineLevel="0" collapsed="false">
      <c r="A50" s="6" t="s">
        <v>185</v>
      </c>
      <c r="B50" s="19" t="n">
        <f aca="false">B48-B49</f>
        <v>398000000</v>
      </c>
    </row>
    <row r="51" customFormat="false" ht="15" hidden="false" customHeight="false" outlineLevel="0" collapsed="false">
      <c r="A51" s="6" t="s">
        <v>186</v>
      </c>
      <c r="B51" s="26" t="n">
        <f aca="false">B50/Inputs!$B$12</f>
        <v>2.36904761904762</v>
      </c>
    </row>
    <row r="52" customFormat="false" ht="15" hidden="false" customHeight="false" outlineLevel="0" collapsed="false">
      <c r="A52" s="6" t="s">
        <v>187</v>
      </c>
      <c r="B52" s="19" t="n">
        <f aca="false">B49-Minimum!$B$7</f>
        <v>277403718.841278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188</v>
      </c>
    </row>
    <row r="3" customFormat="false" ht="15" hidden="false" customHeight="false" outlineLevel="0" collapsed="false">
      <c r="A3" s="6" t="s">
        <v>189</v>
      </c>
      <c r="B3" s="30" t="n">
        <f aca="false">Inputs!$B$44*Inputs!$B$45</f>
        <v>0.00525</v>
      </c>
    </row>
    <row r="4" customFormat="false" ht="15" hidden="false" customHeight="false" outlineLevel="0" collapsed="false">
      <c r="A4" s="6" t="s">
        <v>190</v>
      </c>
      <c r="B4" s="19" t="n">
        <f aca="false">Inputs!$B$43*$B$3</f>
        <v>1312500</v>
      </c>
    </row>
    <row r="5" customFormat="false" ht="15" hidden="false" customHeight="false" outlineLevel="0" collapsed="false">
      <c r="A5" s="6" t="s">
        <v>191</v>
      </c>
      <c r="B5" s="19" t="n">
        <f aca="false">Inputs!$B$43*Inputs!$B$46/Inputs!$B$47</f>
        <v>250000</v>
      </c>
    </row>
    <row r="6" customFormat="false" ht="15" hidden="false" customHeight="false" outlineLevel="0" collapsed="false">
      <c r="A6" s="21" t="s">
        <v>192</v>
      </c>
      <c r="B6" s="22" t="n">
        <f aca="false">$B$4+$B$5</f>
        <v>1562500</v>
      </c>
    </row>
    <row r="7" customFormat="false" ht="15" hidden="false" customHeight="false" outlineLevel="0" collapsed="false">
      <c r="A7" s="6" t="s">
        <v>193</v>
      </c>
      <c r="B7" s="23" t="n">
        <f aca="false">Inputs!$B$40+Inputs!$B$41-Inputs!$B$48</f>
        <v>0.0215</v>
      </c>
    </row>
    <row r="8" customFormat="false" ht="15" hidden="false" customHeight="false" outlineLevel="0" collapsed="false">
      <c r="A8" s="6" t="s">
        <v>194</v>
      </c>
      <c r="B8" s="19" t="n">
        <f aca="false">Inputs!$B$43*$B$7</f>
        <v>5375000</v>
      </c>
    </row>
    <row r="9" customFormat="false" ht="15" hidden="false" customHeight="false" outlineLevel="0" collapsed="false">
      <c r="A9" s="21" t="s">
        <v>195</v>
      </c>
      <c r="B9" s="22" t="n">
        <f aca="false">$B$8+$B$5</f>
        <v>5625000</v>
      </c>
    </row>
    <row r="10" customFormat="false" ht="15" hidden="false" customHeight="false" outlineLevel="0" collapsed="false">
      <c r="A10" s="21" t="s">
        <v>196</v>
      </c>
      <c r="B10" s="22" t="n">
        <f aca="false">Inputs!$B$43*(Inputs!$B$40+Inputs!$B$44-Inputs!$B$48)+$B$5</f>
        <v>5000000</v>
      </c>
    </row>
    <row r="11" customFormat="false" ht="15" hidden="false" customHeight="false" outlineLevel="0" collapsed="false">
      <c r="A11" s="21" t="s">
        <v>197</v>
      </c>
      <c r="B11" s="22" t="n">
        <f aca="false">$B$9-$B$6</f>
        <v>4062500</v>
      </c>
    </row>
    <row r="12" customFormat="false" ht="15" hidden="false" customHeight="false" outlineLevel="0" collapsed="false">
      <c r="A12" s="6" t="s">
        <v>198</v>
      </c>
      <c r="B12" s="24" t="n">
        <f aca="false">$B$9/$B$6</f>
        <v>3.6</v>
      </c>
    </row>
    <row r="13" customFormat="false" ht="15" hidden="false" customHeight="false" outlineLevel="0" collapsed="false">
      <c r="A13" s="6" t="s">
        <v>199</v>
      </c>
      <c r="B13" s="20" t="n">
        <f aca="false">$B$11/Inputs!$B$43</f>
        <v>0.01625</v>
      </c>
    </row>
    <row r="14" customFormat="false" ht="15" hidden="false" customHeight="false" outlineLevel="0" collapsed="false">
      <c r="A14" s="6" t="s">
        <v>200</v>
      </c>
      <c r="B14" s="19" t="n">
        <f aca="false">$B$10-$B$6</f>
        <v>3437500</v>
      </c>
    </row>
    <row r="16" customFormat="false" ht="15" hidden="false" customHeight="false" outlineLevel="0" collapsed="false">
      <c r="A16" s="3" t="s">
        <v>201</v>
      </c>
      <c r="B16" s="4"/>
      <c r="C16" s="4"/>
      <c r="D16" s="4"/>
      <c r="E16" s="4"/>
      <c r="F16" s="4"/>
    </row>
    <row r="17" customFormat="false" ht="15" hidden="false" customHeight="false" outlineLevel="0" collapsed="false">
      <c r="A17" s="6" t="s">
        <v>202</v>
      </c>
      <c r="B17" s="26" t="n">
        <f aca="false">Inputs!$B$12/Drawstop!$B$16</f>
        <v>6.32827949901121</v>
      </c>
    </row>
    <row r="18" customFormat="false" ht="15" hidden="false" customHeight="false" outlineLevel="0" collapsed="false">
      <c r="A18" s="6" t="s">
        <v>203</v>
      </c>
      <c r="B18" s="26" t="n">
        <f aca="false">Inputs!$B$12/(Drawstop!$B$16+$B$8)</f>
        <v>5.26274571227191</v>
      </c>
    </row>
    <row r="19" customFormat="false" ht="15" hidden="false" customHeight="false" outlineLevel="0" collapsed="false">
      <c r="A19" s="6" t="s">
        <v>204</v>
      </c>
      <c r="B19" s="26" t="n">
        <f aca="false">Inputs!$B$12/(Drawstop!$B$16+Inputs!$B$43*(Inputs!$B$40+Inputs!$B$41))</f>
        <v>4.37243802459496</v>
      </c>
    </row>
    <row r="20" customFormat="false" ht="15" hidden="false" customHeight="false" outlineLevel="0" collapsed="false">
      <c r="A20" s="6" t="s">
        <v>205</v>
      </c>
      <c r="B20" s="26" t="n">
        <f aca="false">Inputs!$B$12/(Drawstop!$B$16-$B$4+Inputs!$B$43*(Inputs!$B$40+Inputs!$B$44-Inputs!$B$48))</f>
        <v>5.60280140070035</v>
      </c>
    </row>
    <row r="21" customFormat="false" ht="15" hidden="false" customHeight="false" outlineLevel="0" collapsed="false">
      <c r="A21" s="6" t="s">
        <v>206</v>
      </c>
      <c r="B21" s="26" t="n">
        <f aca="false">Inputs!$B$12/(Drawstop!$B$16-$B$4+Inputs!$B$43*(Inputs!$B$40+Inputs!$B$44))</f>
        <v>4.60463204056462</v>
      </c>
    </row>
    <row r="22" customFormat="false" ht="15" hidden="false" customHeight="false" outlineLevel="0" collapsed="false">
      <c r="A22" s="3" t="s">
        <v>207</v>
      </c>
      <c r="B22" s="4"/>
      <c r="C22" s="4"/>
      <c r="D22" s="4"/>
      <c r="E22" s="4"/>
      <c r="F22" s="4"/>
    </row>
    <row r="23" customFormat="false" ht="15" hidden="false" customHeight="false" outlineLevel="0" collapsed="false">
      <c r="A23" s="6" t="s">
        <v>208</v>
      </c>
      <c r="B23" s="19" t="n">
        <f aca="false">Drawstop!$B$16+Inputs!$B$53*Inputs!$B$54</f>
        <v>28472500</v>
      </c>
    </row>
    <row r="24" customFormat="false" ht="15" hidden="false" customHeight="false" outlineLevel="0" collapsed="false">
      <c r="A24" s="6" t="s">
        <v>209</v>
      </c>
      <c r="B24" s="26" t="n">
        <f aca="false">Inputs!$B$12/$B$23</f>
        <v>5.90043023970498</v>
      </c>
    </row>
    <row r="25" customFormat="false" ht="15" hidden="false" customHeight="false" outlineLevel="0" collapsed="false">
      <c r="A25" s="6" t="s">
        <v>210</v>
      </c>
      <c r="B25" s="19" t="n">
        <f aca="false">$B$23-Inputs!$B$55*Inputs!$B$56</f>
        <v>25721500</v>
      </c>
    </row>
    <row r="26" customFormat="false" ht="15" hidden="false" customHeight="false" outlineLevel="0" collapsed="false">
      <c r="A26" s="6" t="s">
        <v>211</v>
      </c>
      <c r="B26" s="26" t="n">
        <f aca="false">Inputs!$B$12/$B$25</f>
        <v>6.53150088447408</v>
      </c>
    </row>
    <row r="27" customFormat="false" ht="15" hidden="false" customHeight="false" outlineLevel="0" collapsed="false">
      <c r="A27" s="6" t="s">
        <v>212</v>
      </c>
      <c r="B27" s="26" t="n">
        <f aca="false">Inputs!$B$12/($B$23+Inputs!$B$43*(Inputs!$B$40+Inputs!$B$41))</f>
        <v>4.16382675506537</v>
      </c>
    </row>
    <row r="28" customFormat="false" ht="15" hidden="false" customHeight="false" outlineLevel="0" collapsed="false">
      <c r="A28" s="6" t="s">
        <v>213</v>
      </c>
      <c r="B28" s="26" t="n">
        <f aca="false">Inputs!$B$12/($B$25+$B$8)</f>
        <v>5.40253726303603</v>
      </c>
    </row>
    <row r="30" customFormat="false" ht="15" hidden="false" customHeight="false" outlineLevel="0" collapsed="false">
      <c r="A30" s="6" t="s">
        <v>214</v>
      </c>
      <c r="B30" s="19" t="n">
        <f aca="false">Inputs!$B$43*Inputs!$B$46</f>
        <v>1250000</v>
      </c>
    </row>
    <row r="31" customFormat="false" ht="15" hidden="false" customHeight="false" outlineLevel="0" collapsed="false">
      <c r="A31" s="6" t="s">
        <v>215</v>
      </c>
      <c r="B31" s="19" t="n">
        <f aca="false">Inputs!$B$43*(Inputs!$B$40+Inputs!$B$44-Inputs!$B$48)</f>
        <v>4750000</v>
      </c>
    </row>
    <row r="32" customFormat="false" ht="15" hidden="false" customHeight="false" outlineLevel="0" collapsed="false">
      <c r="A32" s="6" t="s">
        <v>216</v>
      </c>
      <c r="B32" s="19" t="n">
        <f aca="false">$B$9-$B$10</f>
        <v>625000</v>
      </c>
    </row>
    <row r="33" customFormat="false" ht="15" hidden="false" customHeight="false" outlineLevel="0" collapsed="false">
      <c r="A33" s="6" t="s">
        <v>217</v>
      </c>
      <c r="B33" s="19" t="n">
        <f aca="false">Inputs!$B$43*(Inputs!$B$40+Inputs!$B$41-Inputs!$B$65)</f>
        <v>4625000</v>
      </c>
    </row>
    <row r="34" customFormat="false" ht="15" hidden="false" customHeight="false" outlineLevel="0" collapsed="false">
      <c r="A34" s="6" t="s">
        <v>218</v>
      </c>
      <c r="B34" s="19" t="n">
        <f aca="false">B33+$B$5</f>
        <v>4875000</v>
      </c>
    </row>
    <row r="35" customFormat="false" ht="15" hidden="false" customHeight="false" outlineLevel="0" collapsed="false">
      <c r="A35" s="6" t="s">
        <v>219</v>
      </c>
      <c r="B35" s="19" t="n">
        <f aca="false">B34-$B$6</f>
        <v>3312500</v>
      </c>
    </row>
    <row r="37" customFormat="false" ht="23.85" hidden="false" customHeight="false" outlineLevel="0" collapsed="false">
      <c r="A37" s="18" t="s">
        <v>220</v>
      </c>
    </row>
    <row r="38" customFormat="false" ht="15" hidden="false" customHeight="false" outlineLevel="0" collapsed="false">
      <c r="A38" s="6" t="s">
        <v>221</v>
      </c>
      <c r="B38" s="19" t="n">
        <f aca="false">Inputs!$B$43*(Inputs!$B$40+Inputs!$B$41)</f>
        <v>11875000</v>
      </c>
    </row>
    <row r="39" customFormat="false" ht="15" hidden="false" customHeight="false" outlineLevel="0" collapsed="false">
      <c r="A39" s="6" t="s">
        <v>222</v>
      </c>
      <c r="B39" s="19" t="n">
        <f aca="false">Inputs!$B$43*Inputs!$B$48</f>
        <v>6500000</v>
      </c>
    </row>
    <row r="40" customFormat="false" ht="15" hidden="false" customHeight="false" outlineLevel="0" collapsed="false">
      <c r="A40" s="6" t="s">
        <v>223</v>
      </c>
      <c r="B40" s="19" t="n">
        <f aca="false">Drawstop!$B$16+$B$8</f>
        <v>31922500</v>
      </c>
    </row>
    <row r="41" customFormat="false" ht="15" hidden="false" customHeight="false" outlineLevel="0" collapsed="false">
      <c r="A41" s="6" t="s">
        <v>224</v>
      </c>
      <c r="B41" s="19" t="n">
        <f aca="false">Drawstop!$B$16+B38</f>
        <v>38422500</v>
      </c>
    </row>
    <row r="42" customFormat="false" ht="15" hidden="false" customHeight="false" outlineLevel="0" collapsed="false">
      <c r="A42" s="6" t="s">
        <v>225</v>
      </c>
      <c r="B42" s="24" t="n">
        <f aca="false">$B$19-Inputs!$B$52</f>
        <v>0.372438024594964</v>
      </c>
    </row>
    <row r="43" customFormat="false" ht="15" hidden="false" customHeight="false" outlineLevel="0" collapsed="false">
      <c r="A43" s="6" t="s">
        <v>226</v>
      </c>
      <c r="B43" s="19" t="n">
        <f aca="false">Inputs!$B$43*(Inputs!$B$40+Inputs!$B$44)</f>
        <v>11250000</v>
      </c>
    </row>
    <row r="44" customFormat="false" ht="15" hidden="false" customHeight="false" outlineLevel="0" collapsed="false">
      <c r="A44" s="6" t="s">
        <v>227</v>
      </c>
      <c r="B44" s="19" t="n">
        <f aca="false">Drawstop!$B$16-$B$4+B31</f>
        <v>29985000</v>
      </c>
    </row>
    <row r="45" customFormat="false" ht="15" hidden="false" customHeight="false" outlineLevel="0" collapsed="false">
      <c r="A45" s="6" t="s">
        <v>228</v>
      </c>
      <c r="B45" s="19" t="n">
        <f aca="false">Drawstop!$B$16-$B$4+B43</f>
        <v>36485000</v>
      </c>
    </row>
    <row r="46" customFormat="false" ht="15" hidden="false" customHeight="false" outlineLevel="0" collapsed="false">
      <c r="A46" s="6" t="s">
        <v>229</v>
      </c>
      <c r="B46" s="19" t="n">
        <f aca="false">$B$23+B38</f>
        <v>40347500</v>
      </c>
    </row>
    <row r="47" customFormat="false" ht="15" hidden="false" customHeight="false" outlineLevel="0" collapsed="false">
      <c r="A47" s="6" t="s">
        <v>230</v>
      </c>
      <c r="B47" s="24" t="n">
        <f aca="false">$B$27-Inputs!$B$52</f>
        <v>0.16382675506537</v>
      </c>
    </row>
    <row r="48" customFormat="false" ht="15" hidden="false" customHeight="false" outlineLevel="0" collapsed="false">
      <c r="A48" s="6" t="s">
        <v>231</v>
      </c>
      <c r="B48" s="19" t="n">
        <f aca="false">$B$25+$B$8</f>
        <v>31096500</v>
      </c>
    </row>
    <row r="49" customFormat="false" ht="15" hidden="false" customHeight="false" outlineLevel="0" collapsed="false">
      <c r="A49" s="6" t="s">
        <v>232</v>
      </c>
      <c r="B49" s="19" t="n">
        <f aca="false">$B$23-$B$4+B43</f>
        <v>38410000</v>
      </c>
    </row>
    <row r="50" customFormat="false" ht="15" hidden="false" customHeight="false" outlineLevel="0" collapsed="false">
      <c r="A50" s="6" t="s">
        <v>233</v>
      </c>
      <c r="B50" s="26" t="n">
        <f aca="false">Inputs!$B$12/B49</f>
        <v>4.37386097370476</v>
      </c>
    </row>
    <row r="51" customFormat="false" ht="15" hidden="false" customHeight="false" outlineLevel="0" collapsed="false">
      <c r="A51" s="6" t="s">
        <v>234</v>
      </c>
      <c r="B51" s="19" t="n">
        <f aca="false">$B$25-$B$4+B31</f>
        <v>29159000</v>
      </c>
    </row>
    <row r="52" customFormat="false" ht="15" hidden="false" customHeight="false" outlineLevel="0" collapsed="false">
      <c r="A52" s="6" t="s">
        <v>233</v>
      </c>
      <c r="B52" s="26" t="n">
        <f aca="false">Inputs!$B$12/B51</f>
        <v>5.76151445522823</v>
      </c>
    </row>
    <row r="53" customFormat="false" ht="15" hidden="false" customHeight="false" outlineLevel="0" collapsed="false">
      <c r="A53" s="6" t="s">
        <v>235</v>
      </c>
      <c r="B53" s="24" t="n">
        <f aca="false">$B$17-$B$18</f>
        <v>1.0655337867393</v>
      </c>
    </row>
    <row r="54" customFormat="false" ht="15" hidden="false" customHeight="false" outlineLevel="0" collapsed="false">
      <c r="A54" s="6" t="s">
        <v>236</v>
      </c>
      <c r="B54" s="24" t="n">
        <f aca="false">$B$17-$B$19</f>
        <v>1.95584147441624</v>
      </c>
    </row>
    <row r="55" customFormat="false" ht="15" hidden="false" customHeight="false" outlineLevel="0" collapsed="false">
      <c r="A55" s="6" t="s">
        <v>237</v>
      </c>
      <c r="B55" s="24" t="n">
        <f aca="false">$B$17-$B$20</f>
        <v>0.725478098310855</v>
      </c>
    </row>
    <row r="56" customFormat="false" ht="15" hidden="false" customHeight="false" outlineLevel="0" collapsed="false">
      <c r="A56" s="6" t="s">
        <v>236</v>
      </c>
      <c r="B56" s="24" t="n">
        <f aca="false">$B$17-$B$21</f>
        <v>1.72364745844659</v>
      </c>
    </row>
    <row r="57" customFormat="false" ht="15" hidden="false" customHeight="false" outlineLevel="0" collapsed="false">
      <c r="A57" s="6" t="s">
        <v>238</v>
      </c>
      <c r="B57" s="19" t="n">
        <f aca="false">Drawstop!$B$4+Inputs!$B$43</f>
        <v>800000000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239</v>
      </c>
    </row>
    <row r="2" customFormat="false" ht="15" hidden="false" customHeight="false" outlineLevel="0" collapsed="false">
      <c r="A2" s="31" t="s">
        <v>240</v>
      </c>
    </row>
    <row r="4" customFormat="false" ht="15" hidden="false" customHeight="false" outlineLevel="0" collapsed="false">
      <c r="A4" s="6" t="s">
        <v>241</v>
      </c>
      <c r="B4" s="24" t="n">
        <f aca="false">PriceOfLiquidity!$B$17-Inputs!$B$52</f>
        <v>2.32827949901121</v>
      </c>
    </row>
    <row r="6" customFormat="false" ht="15" hidden="false" customHeight="false" outlineLevel="0" collapsed="false">
      <c r="A6" s="18" t="s">
        <v>242</v>
      </c>
      <c r="B6" s="18" t="s">
        <v>243</v>
      </c>
      <c r="C6" s="18" t="s">
        <v>168</v>
      </c>
    </row>
    <row r="7" customFormat="false" ht="15" hidden="false" customHeight="false" outlineLevel="0" collapsed="false">
      <c r="A7" s="6" t="s">
        <v>244</v>
      </c>
      <c r="B7" s="19" t="n">
        <f aca="false">(Drawstop!$B$4-Minimum!$B$6)/Inputs!$B$51</f>
        <v>143130666.666667</v>
      </c>
      <c r="C7" s="20" t="n">
        <f aca="false">1-B7/Inputs!$B$12</f>
        <v>0.148031746031746</v>
      </c>
    </row>
    <row r="8" customFormat="false" ht="15" hidden="false" customHeight="false" outlineLevel="0" collapsed="false">
      <c r="A8" s="6" t="s">
        <v>245</v>
      </c>
      <c r="B8" s="19" t="n">
        <f aca="false">Drawstop!$B$6</f>
        <v>132666666.666667</v>
      </c>
      <c r="C8" s="20" t="n">
        <f aca="false">1-B8/Inputs!$B$12</f>
        <v>0.21031746031746</v>
      </c>
    </row>
    <row r="9" customFormat="false" ht="15" hidden="false" customHeight="false" outlineLevel="0" collapsed="false">
      <c r="A9" s="6" t="s">
        <v>246</v>
      </c>
      <c r="B9" s="19" t="n">
        <f aca="false">Drawstop!$B$29</f>
        <v>112000000</v>
      </c>
      <c r="C9" s="20" t="n">
        <f aca="false">1-B9/Inputs!$B$12</f>
        <v>0.333333333333333</v>
      </c>
    </row>
    <row r="10" customFormat="false" ht="15" hidden="false" customHeight="false" outlineLevel="0" collapsed="false">
      <c r="A10" s="6" t="s">
        <v>247</v>
      </c>
      <c r="B10" s="19" t="n">
        <f aca="false">Inputs!$B$52*Drawstop!$B$16</f>
        <v>106190000</v>
      </c>
      <c r="C10" s="20" t="n">
        <f aca="false">1-B10/Inputs!$B$12</f>
        <v>0.367916666666667</v>
      </c>
    </row>
    <row r="11" customFormat="false" ht="15" hidden="false" customHeight="false" outlineLevel="0" collapsed="false">
      <c r="A11" s="6" t="s">
        <v>248</v>
      </c>
      <c r="B11" s="19" t="n">
        <f aca="false">Inputs!$B$52*PriceOfLiquidity!$B$23</f>
        <v>113890000</v>
      </c>
      <c r="C11" s="20" t="n">
        <f aca="false">1-B11/Inputs!$B$12</f>
        <v>0.322083333333333</v>
      </c>
    </row>
    <row r="12" customFormat="false" ht="15" hidden="false" customHeight="false" outlineLevel="0" collapsed="false">
      <c r="A12" s="6" t="s">
        <v>249</v>
      </c>
      <c r="B12" s="19" t="n">
        <f aca="false">Inputs!$B$52*PriceOfLiquidity!$B$25</f>
        <v>102886000</v>
      </c>
      <c r="C12" s="20" t="n">
        <f aca="false">1-B12/Inputs!$B$12</f>
        <v>0.387583333333333</v>
      </c>
    </row>
    <row r="14" customFormat="false" ht="15" hidden="false" customHeight="false" outlineLevel="0" collapsed="false">
      <c r="A14" s="6" t="s">
        <v>250</v>
      </c>
      <c r="B14" s="19" t="n">
        <f aca="false">Inputs!$B$12-B10</f>
        <v>61810000</v>
      </c>
    </row>
    <row r="15" customFormat="false" ht="15" hidden="false" customHeight="false" outlineLevel="0" collapsed="false">
      <c r="A15" s="6" t="s">
        <v>251</v>
      </c>
      <c r="B15" s="20" t="n">
        <f aca="false">C10-C8</f>
        <v>0.157599206349206</v>
      </c>
    </row>
    <row r="16" customFormat="false" ht="15" hidden="false" customHeight="false" outlineLevel="0" collapsed="false">
      <c r="A16" s="6" t="s">
        <v>252</v>
      </c>
      <c r="B16" s="20" t="n">
        <f aca="false">C9-C11</f>
        <v>0.01125</v>
      </c>
    </row>
    <row r="17" customFormat="false" ht="15" hidden="false" customHeight="false" outlineLevel="0" collapsed="false">
      <c r="A17" s="6" t="s">
        <v>253</v>
      </c>
      <c r="B17" s="20" t="n">
        <f aca="false">C10-C9</f>
        <v>0.0345833333333333</v>
      </c>
    </row>
    <row r="18" customFormat="false" ht="15" hidden="false" customHeight="false" outlineLevel="0" collapsed="false">
      <c r="A18" s="6" t="s">
        <v>254</v>
      </c>
      <c r="B18" s="26" t="n">
        <f aca="false">Drawstop!$B$13/Drawstop!$B$16</f>
        <v>4.7462096242584</v>
      </c>
    </row>
    <row r="19" customFormat="false" ht="15" hidden="false" customHeight="false" outlineLevel="0" collapsed="false">
      <c r="A19" s="6" t="s">
        <v>255</v>
      </c>
      <c r="B19" s="6" t="str">
        <f aca="false">IF(C8&lt;=MIN(C10:C12),"Leverage on the facility's definition","Interest cover")</f>
        <v>Leverage on the facility's definition</v>
      </c>
    </row>
    <row r="21" customFormat="false" ht="15" hidden="false" customHeight="false" outlineLevel="0" collapsed="false">
      <c r="A21" s="18" t="s">
        <v>256</v>
      </c>
    </row>
    <row r="22" customFormat="false" ht="15" hidden="false" customHeight="false" outlineLevel="0" collapsed="false">
      <c r="A22" s="6" t="s">
        <v>257</v>
      </c>
      <c r="B22" s="32" t="n">
        <f aca="false">Inputs!$B$67</f>
        <v>5</v>
      </c>
    </row>
    <row r="23" customFormat="false" ht="15" hidden="false" customHeight="false" outlineLevel="0" collapsed="false">
      <c r="A23" s="6" t="s">
        <v>258</v>
      </c>
      <c r="B23" s="19" t="n">
        <f aca="false">B22*Inputs!$B$66/365</f>
        <v>13424657.5342466</v>
      </c>
    </row>
    <row r="24" customFormat="false" ht="15" hidden="false" customHeight="false" outlineLevel="0" collapsed="false">
      <c r="A24" s="6" t="s">
        <v>259</v>
      </c>
      <c r="B24" s="24" t="n">
        <f aca="false">B23/Inputs!$B$12</f>
        <v>0.0799086757990868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1" t="s">
        <v>260</v>
      </c>
    </row>
    <row r="2" customFormat="false" ht="15" hidden="false" customHeight="false" outlineLevel="0" collapsed="false">
      <c r="A2" s="2" t="s">
        <v>261</v>
      </c>
    </row>
    <row r="4" customFormat="false" ht="15" hidden="false" customHeight="false" outlineLevel="0" collapsed="false">
      <c r="A4" s="25" t="s">
        <v>262</v>
      </c>
      <c r="B4" s="25" t="s">
        <v>263</v>
      </c>
      <c r="C4" s="25" t="s">
        <v>264</v>
      </c>
      <c r="D4" s="25" t="s">
        <v>265</v>
      </c>
      <c r="E4" s="25" t="s">
        <v>266</v>
      </c>
    </row>
    <row r="5" customFormat="false" ht="15" hidden="false" customHeight="false" outlineLevel="0" collapsed="false">
      <c r="A5" s="6" t="s">
        <v>66</v>
      </c>
      <c r="B5" s="8" t="n">
        <v>327000000</v>
      </c>
      <c r="C5" s="33" t="n">
        <f aca="false">Forecast!$B$4</f>
        <v>327000000</v>
      </c>
      <c r="D5" s="34" t="n">
        <f aca="false">C5-B5</f>
        <v>0</v>
      </c>
      <c r="E5" s="21" t="str">
        <f aca="false">IF(ABS(D5)&lt;0.005,"PASS","FAIL")</f>
        <v>PASS</v>
      </c>
    </row>
    <row r="6" customFormat="false" ht="15" hidden="false" customHeight="false" outlineLevel="0" collapsed="false">
      <c r="A6" s="6" t="s">
        <v>267</v>
      </c>
      <c r="B6" s="35" t="n">
        <v>0.00575</v>
      </c>
      <c r="C6" s="36" t="n">
        <f aca="false">Forecast!$B$5</f>
        <v>0.00575</v>
      </c>
      <c r="D6" s="37" t="n">
        <f aca="false">C6-B6</f>
        <v>0</v>
      </c>
      <c r="E6" s="21" t="str">
        <f aca="false">IF(ABS(D6)&lt;0.00005,"PASS","FAIL")</f>
        <v>PASS</v>
      </c>
    </row>
    <row r="7" customFormat="false" ht="15" hidden="false" customHeight="false" outlineLevel="0" collapsed="false">
      <c r="A7" s="6" t="s">
        <v>268</v>
      </c>
      <c r="B7" s="35" t="n">
        <v>0.041025767955806</v>
      </c>
      <c r="C7" s="36" t="n">
        <f aca="false">Forecast!$B$6</f>
        <v>0.041025767955806</v>
      </c>
      <c r="D7" s="37" t="n">
        <f aca="false">C7-B7</f>
        <v>0</v>
      </c>
      <c r="E7" s="21" t="str">
        <f aca="false">IF(ABS(D7)&lt;0.00005,"PASS","FAIL")</f>
        <v>PASS</v>
      </c>
    </row>
    <row r="8" customFormat="false" ht="15" hidden="false" customHeight="false" outlineLevel="0" collapsed="false">
      <c r="A8" s="6" t="s">
        <v>69</v>
      </c>
      <c r="B8" s="8" t="n">
        <v>13415426.1215486</v>
      </c>
      <c r="C8" s="33" t="n">
        <f aca="false">Forecast!$B$7</f>
        <v>13415426.1215486</v>
      </c>
      <c r="D8" s="34" t="n">
        <f aca="false">C8-B8</f>
        <v>0</v>
      </c>
      <c r="E8" s="21" t="str">
        <f aca="false">IF(ABS(D8)&lt;0.005,"PASS","FAIL")</f>
        <v>PASS</v>
      </c>
    </row>
    <row r="9" customFormat="false" ht="15" hidden="false" customHeight="false" outlineLevel="0" collapsed="false">
      <c r="A9" s="6" t="s">
        <v>269</v>
      </c>
      <c r="B9" s="8" t="n">
        <v>31204281.1587219</v>
      </c>
      <c r="C9" s="33" t="n">
        <f aca="false">Forecast!$B$10</f>
        <v>31204281.1587219</v>
      </c>
      <c r="D9" s="34" t="n">
        <f aca="false">C9-B9</f>
        <v>0</v>
      </c>
      <c r="E9" s="21" t="str">
        <f aca="false">IF(ABS(D9)&lt;0.005,"PASS","FAIL")</f>
        <v>PASS</v>
      </c>
    </row>
    <row r="10" customFormat="false" ht="15" hidden="false" customHeight="false" outlineLevel="0" collapsed="false">
      <c r="A10" s="6" t="s">
        <v>270</v>
      </c>
      <c r="B10" s="8" t="n">
        <v>33084531.1587219</v>
      </c>
      <c r="C10" s="33" t="n">
        <f aca="false">Forecast!$B$12</f>
        <v>33084531.1587219</v>
      </c>
      <c r="D10" s="34" t="n">
        <f aca="false">C10-B10</f>
        <v>0</v>
      </c>
      <c r="E10" s="21" t="str">
        <f aca="false">IF(ABS(D10)&lt;0.005,"PASS","FAIL")</f>
        <v>PASS</v>
      </c>
    </row>
    <row r="11" customFormat="false" ht="15" hidden="false" customHeight="false" outlineLevel="0" collapsed="false">
      <c r="A11" s="6" t="s">
        <v>271</v>
      </c>
      <c r="B11" s="8" t="n">
        <v>124596281.158722</v>
      </c>
      <c r="C11" s="33" t="n">
        <f aca="false">Minimum!$B$7</f>
        <v>124596281.158722</v>
      </c>
      <c r="D11" s="34" t="n">
        <f aca="false">C11-B11</f>
        <v>0</v>
      </c>
      <c r="E11" s="21" t="str">
        <f aca="false">IF(ABS(D11)&lt;0.005,"PASS","FAIL")</f>
        <v>PASS</v>
      </c>
    </row>
    <row r="12" customFormat="false" ht="15" hidden="false" customHeight="false" outlineLevel="0" collapsed="false">
      <c r="A12" s="6" t="s">
        <v>120</v>
      </c>
      <c r="B12" s="8" t="n">
        <v>93204281.1587219</v>
      </c>
      <c r="C12" s="33" t="n">
        <f aca="false">Minimum!$B$8</f>
        <v>93204281.1587219</v>
      </c>
      <c r="D12" s="34" t="n">
        <f aca="false">C12-B12</f>
        <v>0</v>
      </c>
      <c r="E12" s="21" t="str">
        <f aca="false">IF(ABS(D12)&lt;0.005,"PASS","FAIL")</f>
        <v>PASS</v>
      </c>
    </row>
    <row r="13" customFormat="false" ht="15" hidden="false" customHeight="false" outlineLevel="0" collapsed="false">
      <c r="A13" s="6" t="s">
        <v>272</v>
      </c>
      <c r="B13" s="8" t="n">
        <v>370608000</v>
      </c>
      <c r="C13" s="33" t="n">
        <f aca="false">Minimum!$B$13</f>
        <v>370608000</v>
      </c>
      <c r="D13" s="34" t="n">
        <f aca="false">C13-B13</f>
        <v>0</v>
      </c>
      <c r="E13" s="21" t="str">
        <f aca="false">IF(ABS(D13)&lt;0.005,"PASS","FAIL")</f>
        <v>PASS</v>
      </c>
    </row>
    <row r="14" customFormat="false" ht="15" hidden="false" customHeight="false" outlineLevel="0" collapsed="false">
      <c r="A14" s="6" t="s">
        <v>111</v>
      </c>
      <c r="B14" s="8" t="n">
        <v>277403718.841278</v>
      </c>
      <c r="C14" s="33" t="n">
        <f aca="false">Minimum!$B$15</f>
        <v>277403718.841278</v>
      </c>
      <c r="D14" s="34" t="n">
        <f aca="false">C14-B14</f>
        <v>0</v>
      </c>
      <c r="E14" s="21" t="str">
        <f aca="false">IF(ABS(D14)&lt;0.005,"PASS","FAIL")</f>
        <v>PASS</v>
      </c>
    </row>
    <row r="15" customFormat="false" ht="15" hidden="false" customHeight="false" outlineLevel="0" collapsed="false">
      <c r="A15" s="6" t="s">
        <v>112</v>
      </c>
      <c r="B15" s="16" t="n">
        <v>3.97629803473163</v>
      </c>
      <c r="C15" s="38" t="n">
        <f aca="false">Minimum!$B$16</f>
        <v>3.97629803473163</v>
      </c>
      <c r="D15" s="39" t="n">
        <f aca="false">C15-B15</f>
        <v>0</v>
      </c>
      <c r="E15" s="21" t="str">
        <f aca="false">IF(ABS(D15)&lt;0.00005,"PASS","FAIL")</f>
        <v>PASS</v>
      </c>
    </row>
    <row r="16" customFormat="false" ht="15" hidden="false" customHeight="false" outlineLevel="0" collapsed="false">
      <c r="A16" s="6" t="s">
        <v>273</v>
      </c>
      <c r="B16" s="8" t="n">
        <v>27403718.8412781</v>
      </c>
      <c r="C16" s="33" t="n">
        <f aca="false">Minimum!$B$17</f>
        <v>27403718.8412781</v>
      </c>
      <c r="D16" s="34" t="n">
        <f aca="false">C16-B16</f>
        <v>0</v>
      </c>
      <c r="E16" s="21" t="str">
        <f aca="false">IF(ABS(D16)&lt;0.005,"PASS","FAIL")</f>
        <v>PASS</v>
      </c>
    </row>
    <row r="17" customFormat="false" ht="15" hidden="false" customHeight="false" outlineLevel="0" collapsed="false">
      <c r="A17" s="6" t="s">
        <v>274</v>
      </c>
      <c r="B17" s="14" t="n">
        <v>5.23771384581003</v>
      </c>
      <c r="C17" s="40" t="n">
        <f aca="false">Minimum!$B$18</f>
        <v>5.23771384581003</v>
      </c>
      <c r="D17" s="41" t="n">
        <f aca="false">C17-B17</f>
        <v>0</v>
      </c>
      <c r="E17" s="21" t="str">
        <f aca="false">IF(ABS(D17)&lt;0.00005,"PASS","FAIL")</f>
        <v>PASS</v>
      </c>
    </row>
    <row r="18" customFormat="false" ht="15" hidden="false" customHeight="false" outlineLevel="0" collapsed="false">
      <c r="A18" s="6" t="s">
        <v>115</v>
      </c>
      <c r="B18" s="35" t="n">
        <v>0.674567197685965</v>
      </c>
      <c r="C18" s="36" t="n">
        <f aca="false">Minimum!$B$19</f>
        <v>0.674567197685965</v>
      </c>
      <c r="D18" s="37" t="n">
        <f aca="false">C18-B18</f>
        <v>0</v>
      </c>
      <c r="E18" s="21" t="str">
        <f aca="false">IF(ABS(D18)&lt;0.00005,"PASS","FAIL")</f>
        <v>PASS</v>
      </c>
    </row>
    <row r="19" customFormat="false" ht="15" hidden="false" customHeight="false" outlineLevel="0" collapsed="false">
      <c r="A19" s="6" t="s">
        <v>275</v>
      </c>
      <c r="B19" s="8" t="n">
        <v>-3988281.15872194</v>
      </c>
      <c r="C19" s="33" t="n">
        <f aca="false">Minimum!$B$20</f>
        <v>-3988281.15872194</v>
      </c>
      <c r="D19" s="34" t="n">
        <f aca="false">C19-B19</f>
        <v>0</v>
      </c>
      <c r="E19" s="21" t="str">
        <f aca="false">IF(ABS(D19)&lt;0.005,"PASS","FAIL")</f>
        <v>PASS</v>
      </c>
    </row>
    <row r="20" customFormat="false" ht="15" hidden="false" customHeight="false" outlineLevel="0" collapsed="false">
      <c r="A20" s="6" t="s">
        <v>276</v>
      </c>
      <c r="B20" s="8" t="n">
        <v>-38645596.2272151</v>
      </c>
      <c r="C20" s="33" t="n">
        <f aca="false">Minimum!$B$21</f>
        <v>-38645596.2272151</v>
      </c>
      <c r="D20" s="34" t="n">
        <f aca="false">C20-B20</f>
        <v>0</v>
      </c>
      <c r="E20" s="21" t="str">
        <f aca="false">IF(ABS(D20)&lt;0.005,"PASS","FAIL")</f>
        <v>PASS</v>
      </c>
    </row>
    <row r="21" customFormat="false" ht="15" hidden="false" customHeight="false" outlineLevel="0" collapsed="false">
      <c r="A21" s="6" t="s">
        <v>277</v>
      </c>
      <c r="B21" s="8" t="n">
        <v>132666666.666667</v>
      </c>
      <c r="C21" s="33" t="n">
        <f aca="false">Drawstop!$B$6</f>
        <v>132666666.666667</v>
      </c>
      <c r="D21" s="34" t="n">
        <f aca="false">C21-B21</f>
        <v>0</v>
      </c>
      <c r="E21" s="21" t="str">
        <f aca="false">IF(ABS(D21)&lt;0.005,"PASS","FAIL")</f>
        <v>PASS</v>
      </c>
    </row>
    <row r="22" customFormat="false" ht="15" hidden="false" customHeight="false" outlineLevel="0" collapsed="false">
      <c r="A22" s="6" t="s">
        <v>147</v>
      </c>
      <c r="B22" s="35" t="n">
        <v>0.21031746031746</v>
      </c>
      <c r="C22" s="36" t="n">
        <f aca="false">Drawstop!$B$7</f>
        <v>0.21031746031746</v>
      </c>
      <c r="D22" s="37" t="n">
        <f aca="false">C22-B22</f>
        <v>0</v>
      </c>
      <c r="E22" s="21" t="str">
        <f aca="false">IF(ABS(D22)&lt;0.00005,"PASS","FAIL")</f>
        <v>PASS</v>
      </c>
    </row>
    <row r="23" customFormat="false" ht="15" hidden="false" customHeight="false" outlineLevel="0" collapsed="false">
      <c r="A23" s="6" t="s">
        <v>278</v>
      </c>
      <c r="B23" s="35" t="n">
        <v>0.0841269841269841</v>
      </c>
      <c r="C23" s="36" t="n">
        <f aca="false">Drawstop!$B$8</f>
        <v>0.0841269841269841</v>
      </c>
      <c r="D23" s="37" t="n">
        <f aca="false">C23-B23</f>
        <v>0</v>
      </c>
      <c r="E23" s="21" t="str">
        <f aca="false">IF(ABS(D23)&lt;0.00005,"PASS","FAIL")</f>
        <v>PASS</v>
      </c>
    </row>
    <row r="24" customFormat="false" ht="15" hidden="false" customHeight="false" outlineLevel="0" collapsed="false">
      <c r="A24" s="6" t="s">
        <v>279</v>
      </c>
      <c r="B24" s="35" t="n">
        <v>0.0525793650793651</v>
      </c>
      <c r="C24" s="36" t="n">
        <f aca="false">Drawstop!$B$9</f>
        <v>0.0525793650793651</v>
      </c>
      <c r="D24" s="37" t="n">
        <f aca="false">C24-B24</f>
        <v>0</v>
      </c>
      <c r="E24" s="21" t="str">
        <f aca="false">IF(ABS(D24)&lt;0.00005,"PASS","FAIL")</f>
        <v>PASS</v>
      </c>
    </row>
    <row r="25" customFormat="false" ht="15" hidden="false" customHeight="false" outlineLevel="0" collapsed="false">
      <c r="A25" s="6" t="s">
        <v>152</v>
      </c>
      <c r="B25" s="8" t="n">
        <v>126000000</v>
      </c>
      <c r="C25" s="33" t="n">
        <f aca="false">Drawstop!$B$13</f>
        <v>126000000</v>
      </c>
      <c r="D25" s="34" t="n">
        <f aca="false">C25-B25</f>
        <v>0</v>
      </c>
      <c r="E25" s="21" t="str">
        <f aca="false">IF(ABS(D25)&lt;0.005,"PASS","FAIL")</f>
        <v>PASS</v>
      </c>
    </row>
    <row r="26" customFormat="false" ht="15" hidden="false" customHeight="false" outlineLevel="0" collapsed="false">
      <c r="A26" s="6" t="s">
        <v>280</v>
      </c>
      <c r="B26" s="16" t="n">
        <v>2.66666666666667</v>
      </c>
      <c r="C26" s="38" t="n">
        <f aca="false">Drawstop!$B$14</f>
        <v>2.66666666666667</v>
      </c>
      <c r="D26" s="39" t="n">
        <f aca="false">C26-B26</f>
        <v>0</v>
      </c>
      <c r="E26" s="21" t="str">
        <f aca="false">IF(ABS(D26)&lt;0.00005,"PASS","FAIL")</f>
        <v>PASS</v>
      </c>
    </row>
    <row r="27" customFormat="false" ht="15" hidden="false" customHeight="false" outlineLevel="0" collapsed="false">
      <c r="A27" s="6" t="s">
        <v>281</v>
      </c>
      <c r="B27" s="16" t="n">
        <v>3.15873015873016</v>
      </c>
      <c r="C27" s="38" t="n">
        <f aca="false">Drawstop!$B$15</f>
        <v>3.15873015873016</v>
      </c>
      <c r="D27" s="39" t="n">
        <f aca="false">C27-B27</f>
        <v>0</v>
      </c>
      <c r="E27" s="21" t="str">
        <f aca="false">IF(ABS(D27)&lt;0.00005,"PASS","FAIL")</f>
        <v>PASS</v>
      </c>
    </row>
    <row r="28" customFormat="false" ht="15" hidden="false" customHeight="false" outlineLevel="0" collapsed="false">
      <c r="A28" s="6" t="s">
        <v>282</v>
      </c>
      <c r="B28" s="8" t="n">
        <v>26547500</v>
      </c>
      <c r="C28" s="33" t="n">
        <f aca="false">Drawstop!$B$16</f>
        <v>26547500</v>
      </c>
      <c r="D28" s="34" t="n">
        <f aca="false">C28-B28</f>
        <v>0</v>
      </c>
      <c r="E28" s="21" t="str">
        <f aca="false">IF(ABS(D28)&lt;0.005,"PASS","FAIL")</f>
        <v>PASS</v>
      </c>
    </row>
    <row r="29" customFormat="false" ht="15" hidden="false" customHeight="false" outlineLevel="0" collapsed="false">
      <c r="A29" s="6" t="s">
        <v>157</v>
      </c>
      <c r="B29" s="8" t="n">
        <v>65452500</v>
      </c>
      <c r="C29" s="33" t="n">
        <f aca="false">Drawstop!$B$17</f>
        <v>65452500</v>
      </c>
      <c r="D29" s="34" t="n">
        <f aca="false">C29-B29</f>
        <v>0</v>
      </c>
      <c r="E29" s="21" t="str">
        <f aca="false">IF(ABS(D29)&lt;0.005,"PASS","FAIL")</f>
        <v>PASS</v>
      </c>
    </row>
    <row r="30" customFormat="false" ht="15" hidden="false" customHeight="false" outlineLevel="0" collapsed="false">
      <c r="A30" s="6" t="s">
        <v>158</v>
      </c>
      <c r="B30" s="8" t="n">
        <v>31452500</v>
      </c>
      <c r="C30" s="33" t="n">
        <f aca="false">Drawstop!$B$18</f>
        <v>31452500</v>
      </c>
      <c r="D30" s="34" t="n">
        <f aca="false">C30-B30</f>
        <v>0</v>
      </c>
      <c r="E30" s="21" t="str">
        <f aca="false">IF(ABS(D30)&lt;0.005,"PASS","FAIL")</f>
        <v>PASS</v>
      </c>
    </row>
    <row r="31" customFormat="false" ht="15" hidden="false" customHeight="false" outlineLevel="0" collapsed="false">
      <c r="A31" s="6" t="s">
        <v>283</v>
      </c>
      <c r="B31" s="8" t="n">
        <v>22246575.3424658</v>
      </c>
      <c r="C31" s="33" t="n">
        <f aca="false">Drawstop!$B$21</f>
        <v>22246575.3424658</v>
      </c>
      <c r="D31" s="34" t="n">
        <f aca="false">C31-B31</f>
        <v>0</v>
      </c>
      <c r="E31" s="21" t="str">
        <f aca="false">IF(ABS(D31)&lt;0.005,"PASS","FAIL")</f>
        <v>PASS</v>
      </c>
    </row>
    <row r="32" customFormat="false" ht="15" hidden="false" customHeight="false" outlineLevel="0" collapsed="false">
      <c r="A32" s="6" t="s">
        <v>284</v>
      </c>
      <c r="B32" s="8" t="n">
        <v>1562500</v>
      </c>
      <c r="C32" s="33" t="n">
        <f aca="false">PriceOfLiquidity!$B$6</f>
        <v>1562500</v>
      </c>
      <c r="D32" s="34" t="n">
        <f aca="false">C32-B32</f>
        <v>0</v>
      </c>
      <c r="E32" s="21" t="str">
        <f aca="false">IF(ABS(D32)&lt;0.005,"PASS","FAIL")</f>
        <v>PASS</v>
      </c>
    </row>
    <row r="33" customFormat="false" ht="15" hidden="false" customHeight="false" outlineLevel="0" collapsed="false">
      <c r="A33" s="6" t="s">
        <v>285</v>
      </c>
      <c r="B33" s="8" t="n">
        <v>5625000</v>
      </c>
      <c r="C33" s="33" t="n">
        <f aca="false">PriceOfLiquidity!$B$9</f>
        <v>5625000</v>
      </c>
      <c r="D33" s="34" t="n">
        <f aca="false">C33-B33</f>
        <v>0</v>
      </c>
      <c r="E33" s="21" t="str">
        <f aca="false">IF(ABS(D33)&lt;0.005,"PASS","FAIL")</f>
        <v>PASS</v>
      </c>
    </row>
    <row r="34" customFormat="false" ht="15" hidden="false" customHeight="false" outlineLevel="0" collapsed="false">
      <c r="A34" s="6" t="s">
        <v>286</v>
      </c>
      <c r="B34" s="8" t="n">
        <v>5000000</v>
      </c>
      <c r="C34" s="33" t="n">
        <f aca="false">PriceOfLiquidity!$B$10</f>
        <v>5000000</v>
      </c>
      <c r="D34" s="34" t="n">
        <f aca="false">C34-B34</f>
        <v>0</v>
      </c>
      <c r="E34" s="21" t="str">
        <f aca="false">IF(ABS(D34)&lt;0.005,"PASS","FAIL")</f>
        <v>PASS</v>
      </c>
    </row>
    <row r="35" customFormat="false" ht="15" hidden="false" customHeight="false" outlineLevel="0" collapsed="false">
      <c r="A35" s="6" t="s">
        <v>287</v>
      </c>
      <c r="B35" s="8" t="n">
        <v>4062500</v>
      </c>
      <c r="C35" s="33" t="n">
        <f aca="false">PriceOfLiquidity!$B$11</f>
        <v>4062500</v>
      </c>
      <c r="D35" s="34" t="n">
        <f aca="false">C35-B35</f>
        <v>0</v>
      </c>
      <c r="E35" s="21" t="str">
        <f aca="false">IF(ABS(D35)&lt;0.005,"PASS","FAIL")</f>
        <v>PASS</v>
      </c>
    </row>
    <row r="36" customFormat="false" ht="15" hidden="false" customHeight="false" outlineLevel="0" collapsed="false">
      <c r="A36" s="6" t="s">
        <v>198</v>
      </c>
      <c r="B36" s="14" t="n">
        <v>3.6</v>
      </c>
      <c r="C36" s="40" t="n">
        <f aca="false">PriceOfLiquidity!$B$12</f>
        <v>3.6</v>
      </c>
      <c r="D36" s="41" t="n">
        <f aca="false">C36-B36</f>
        <v>0</v>
      </c>
      <c r="E36" s="21" t="str">
        <f aca="false">IF(ABS(D36)&lt;0.00005,"PASS","FAIL")</f>
        <v>PASS</v>
      </c>
    </row>
    <row r="37" customFormat="false" ht="15" hidden="false" customHeight="false" outlineLevel="0" collapsed="false">
      <c r="A37" s="6" t="s">
        <v>202</v>
      </c>
      <c r="B37" s="16" t="n">
        <v>6.32827949901121</v>
      </c>
      <c r="C37" s="38" t="n">
        <f aca="false">PriceOfLiquidity!$B$17</f>
        <v>6.32827949901121</v>
      </c>
      <c r="D37" s="39" t="n">
        <f aca="false">C37-B37</f>
        <v>0</v>
      </c>
      <c r="E37" s="21" t="str">
        <f aca="false">IF(ABS(D37)&lt;0.00005,"PASS","FAIL")</f>
        <v>PASS</v>
      </c>
    </row>
    <row r="38" customFormat="false" ht="15" hidden="false" customHeight="false" outlineLevel="0" collapsed="false">
      <c r="A38" s="6" t="s">
        <v>288</v>
      </c>
      <c r="B38" s="16" t="n">
        <v>5.26274571227191</v>
      </c>
      <c r="C38" s="38" t="n">
        <f aca="false">PriceOfLiquidity!$B$18</f>
        <v>5.26274571227191</v>
      </c>
      <c r="D38" s="39" t="n">
        <f aca="false">C38-B38</f>
        <v>0</v>
      </c>
      <c r="E38" s="21" t="str">
        <f aca="false">IF(ABS(D38)&lt;0.00005,"PASS","FAIL")</f>
        <v>PASS</v>
      </c>
    </row>
    <row r="39" customFormat="false" ht="15" hidden="false" customHeight="false" outlineLevel="0" collapsed="false">
      <c r="A39" s="6" t="s">
        <v>204</v>
      </c>
      <c r="B39" s="16" t="n">
        <v>4.37243802459496</v>
      </c>
      <c r="C39" s="38" t="n">
        <f aca="false">PriceOfLiquidity!$B$19</f>
        <v>4.37243802459496</v>
      </c>
      <c r="D39" s="39" t="n">
        <f aca="false">C39-B39</f>
        <v>0</v>
      </c>
      <c r="E39" s="21" t="str">
        <f aca="false">IF(ABS(D39)&lt;0.00005,"PASS","FAIL")</f>
        <v>PASS</v>
      </c>
    </row>
    <row r="40" customFormat="false" ht="15" hidden="false" customHeight="false" outlineLevel="0" collapsed="false">
      <c r="A40" s="6" t="s">
        <v>289</v>
      </c>
      <c r="B40" s="16" t="n">
        <v>5.60280140070035</v>
      </c>
      <c r="C40" s="38" t="n">
        <f aca="false">PriceOfLiquidity!$B$20</f>
        <v>5.60280140070035</v>
      </c>
      <c r="D40" s="39" t="n">
        <f aca="false">C40-B40</f>
        <v>0</v>
      </c>
      <c r="E40" s="21" t="str">
        <f aca="false">IF(ABS(D40)&lt;0.00005,"PASS","FAIL")</f>
        <v>PASS</v>
      </c>
    </row>
    <row r="41" customFormat="false" ht="15" hidden="false" customHeight="false" outlineLevel="0" collapsed="false">
      <c r="A41" s="6" t="s">
        <v>206</v>
      </c>
      <c r="B41" s="16" t="n">
        <v>4.60463204056462</v>
      </c>
      <c r="C41" s="38" t="n">
        <f aca="false">PriceOfLiquidity!$B$21</f>
        <v>4.60463204056462</v>
      </c>
      <c r="D41" s="39" t="n">
        <f aca="false">C41-B41</f>
        <v>0</v>
      </c>
      <c r="E41" s="21" t="str">
        <f aca="false">IF(ABS(D41)&lt;0.00005,"PASS","FAIL")</f>
        <v>PASS</v>
      </c>
    </row>
    <row r="42" customFormat="false" ht="15" hidden="false" customHeight="false" outlineLevel="0" collapsed="false">
      <c r="A42" s="6" t="s">
        <v>290</v>
      </c>
      <c r="B42" s="16" t="n">
        <v>5.90043023970498</v>
      </c>
      <c r="C42" s="38" t="n">
        <f aca="false">PriceOfLiquidity!$B$24</f>
        <v>5.90043023970498</v>
      </c>
      <c r="D42" s="39" t="n">
        <f aca="false">C42-B42</f>
        <v>0</v>
      </c>
      <c r="E42" s="21" t="str">
        <f aca="false">IF(ABS(D42)&lt;0.00005,"PASS","FAIL")</f>
        <v>PASS</v>
      </c>
    </row>
    <row r="43" customFormat="false" ht="15" hidden="false" customHeight="false" outlineLevel="0" collapsed="false">
      <c r="A43" s="6" t="s">
        <v>291</v>
      </c>
      <c r="B43" s="16" t="n">
        <v>6.53150088447408</v>
      </c>
      <c r="C43" s="38" t="n">
        <f aca="false">PriceOfLiquidity!$B$26</f>
        <v>6.53150088447408</v>
      </c>
      <c r="D43" s="39" t="n">
        <f aca="false">C43-B43</f>
        <v>0</v>
      </c>
      <c r="E43" s="21" t="str">
        <f aca="false">IF(ABS(D43)&lt;0.00005,"PASS","FAIL")</f>
        <v>PASS</v>
      </c>
    </row>
    <row r="44" customFormat="false" ht="15" hidden="false" customHeight="false" outlineLevel="0" collapsed="false">
      <c r="A44" s="6" t="s">
        <v>292</v>
      </c>
      <c r="B44" s="16" t="n">
        <v>4.16382675506537</v>
      </c>
      <c r="C44" s="38" t="n">
        <f aca="false">PriceOfLiquidity!$B$27</f>
        <v>4.16382675506537</v>
      </c>
      <c r="D44" s="39" t="n">
        <f aca="false">C44-B44</f>
        <v>0</v>
      </c>
      <c r="E44" s="21" t="str">
        <f aca="false">IF(ABS(D44)&lt;0.00005,"PASS","FAIL")</f>
        <v>PASS</v>
      </c>
    </row>
    <row r="45" customFormat="false" ht="15" hidden="false" customHeight="false" outlineLevel="0" collapsed="false">
      <c r="A45" s="6" t="s">
        <v>231</v>
      </c>
      <c r="B45" s="16" t="n">
        <v>5.40253726303603</v>
      </c>
      <c r="C45" s="38" t="n">
        <f aca="false">PriceOfLiquidity!$B$28</f>
        <v>5.40253726303603</v>
      </c>
      <c r="D45" s="39" t="n">
        <f aca="false">C45-B45</f>
        <v>0</v>
      </c>
      <c r="E45" s="21" t="str">
        <f aca="false">IF(ABS(D45)&lt;0.00005,"PASS","FAIL")</f>
        <v>PASS</v>
      </c>
    </row>
    <row r="46" customFormat="false" ht="15" hidden="false" customHeight="false" outlineLevel="0" collapsed="false">
      <c r="A46" s="6" t="s">
        <v>293</v>
      </c>
      <c r="B46" s="8" t="n">
        <v>10137000</v>
      </c>
      <c r="C46" s="33" t="n">
        <f aca="false">Forecast!$C$15</f>
        <v>10137000</v>
      </c>
      <c r="D46" s="42" t="n">
        <f aca="false">C46-B46</f>
        <v>0</v>
      </c>
      <c r="E46" s="21" t="str">
        <f aca="false">IF(ABS(D46)&lt;0.005000000005,"PASS","FAIL")</f>
        <v>PASS</v>
      </c>
    </row>
    <row r="47" customFormat="false" ht="15" hidden="false" customHeight="false" outlineLevel="0" collapsed="false">
      <c r="A47" s="6" t="s">
        <v>294</v>
      </c>
      <c r="B47" s="8" t="n">
        <v>-18966000</v>
      </c>
      <c r="C47" s="33" t="n">
        <f aca="false">Forecast!$C$16</f>
        <v>-18966000</v>
      </c>
      <c r="D47" s="42" t="n">
        <f aca="false">C47-B47</f>
        <v>0</v>
      </c>
      <c r="E47" s="21" t="str">
        <f aca="false">IF(ABS(D47)&lt;0.005000000005,"PASS","FAIL")</f>
        <v>PASS</v>
      </c>
    </row>
    <row r="48" customFormat="false" ht="15" hidden="false" customHeight="false" outlineLevel="0" collapsed="false">
      <c r="A48" s="6" t="s">
        <v>295</v>
      </c>
      <c r="B48" s="8" t="n">
        <v>3924000</v>
      </c>
      <c r="C48" s="33" t="n">
        <f aca="false">Forecast!$C$17</f>
        <v>3924000</v>
      </c>
      <c r="D48" s="42" t="n">
        <f aca="false">C48-B48</f>
        <v>0</v>
      </c>
      <c r="E48" s="21" t="str">
        <f aca="false">IF(ABS(D48)&lt;0.005000000005,"PASS","FAIL")</f>
        <v>PASS</v>
      </c>
    </row>
    <row r="49" customFormat="false" ht="15" hidden="false" customHeight="false" outlineLevel="0" collapsed="false">
      <c r="A49" s="6" t="s">
        <v>296</v>
      </c>
      <c r="B49" s="8" t="n">
        <v>15369000</v>
      </c>
      <c r="C49" s="33" t="n">
        <f aca="false">Forecast!$C$18</f>
        <v>15369000</v>
      </c>
      <c r="D49" s="42" t="n">
        <f aca="false">C49-B49</f>
        <v>0</v>
      </c>
      <c r="E49" s="21" t="str">
        <f aca="false">IF(ABS(D49)&lt;0.005000000005,"PASS","FAIL")</f>
        <v>PASS</v>
      </c>
    </row>
    <row r="50" customFormat="false" ht="15" hidden="false" customHeight="false" outlineLevel="0" collapsed="false">
      <c r="A50" s="6" t="s">
        <v>297</v>
      </c>
      <c r="B50" s="8" t="n">
        <v>-8502000</v>
      </c>
      <c r="C50" s="33" t="n">
        <f aca="false">Forecast!$C$19</f>
        <v>-8502000</v>
      </c>
      <c r="D50" s="42" t="n">
        <f aca="false">C50-B50</f>
        <v>0</v>
      </c>
      <c r="E50" s="21" t="str">
        <f aca="false">IF(ABS(D50)&lt;0.005000000005,"PASS","FAIL")</f>
        <v>PASS</v>
      </c>
    </row>
    <row r="51" customFormat="false" ht="15" hidden="false" customHeight="false" outlineLevel="0" collapsed="false">
      <c r="A51" s="6" t="s">
        <v>298</v>
      </c>
      <c r="B51" s="8" t="n">
        <v>22563000</v>
      </c>
      <c r="C51" s="33" t="n">
        <f aca="false">Forecast!$C$20</f>
        <v>22563000</v>
      </c>
      <c r="D51" s="42" t="n">
        <f aca="false">C51-B51</f>
        <v>0</v>
      </c>
      <c r="E51" s="21" t="str">
        <f aca="false">IF(ABS(D51)&lt;0.005000000005,"PASS","FAIL")</f>
        <v>PASS</v>
      </c>
    </row>
    <row r="52" customFormat="false" ht="15" hidden="false" customHeight="false" outlineLevel="0" collapsed="false">
      <c r="A52" s="6" t="s">
        <v>299</v>
      </c>
      <c r="B52" s="8" t="n">
        <v>-13407000</v>
      </c>
      <c r="C52" s="33" t="n">
        <f aca="false">Forecast!$C$21</f>
        <v>-13407000</v>
      </c>
      <c r="D52" s="42" t="n">
        <f aca="false">C52-B52</f>
        <v>0</v>
      </c>
      <c r="E52" s="21" t="str">
        <f aca="false">IF(ABS(D52)&lt;0.005000000005,"PASS","FAIL")</f>
        <v>PASS</v>
      </c>
    </row>
    <row r="53" customFormat="false" ht="15" hidden="false" customHeight="false" outlineLevel="0" collapsed="false">
      <c r="A53" s="6" t="s">
        <v>300</v>
      </c>
      <c r="B53" s="8" t="n">
        <v>2616000</v>
      </c>
      <c r="C53" s="33" t="n">
        <f aca="false">Forecast!$C$22</f>
        <v>2616000</v>
      </c>
      <c r="D53" s="42" t="n">
        <f aca="false">C53-B53</f>
        <v>0</v>
      </c>
      <c r="E53" s="21" t="str">
        <f aca="false">IF(ABS(D53)&lt;0.005000000005,"PASS","FAIL")</f>
        <v>PASS</v>
      </c>
    </row>
    <row r="54" customFormat="false" ht="15" hidden="false" customHeight="false" outlineLevel="0" collapsed="false">
      <c r="A54" s="6" t="s">
        <v>301</v>
      </c>
      <c r="B54" s="8" t="n">
        <v>-10791000</v>
      </c>
      <c r="C54" s="33" t="n">
        <f aca="false">Forecast!$C$23</f>
        <v>-10791000</v>
      </c>
      <c r="D54" s="42" t="n">
        <f aca="false">C54-B54</f>
        <v>0</v>
      </c>
      <c r="E54" s="21" t="str">
        <f aca="false">IF(ABS(D54)&lt;0.005000000005,"PASS","FAIL")</f>
        <v>PASS</v>
      </c>
    </row>
    <row r="55" customFormat="false" ht="15" hidden="false" customHeight="false" outlineLevel="0" collapsed="false">
      <c r="A55" s="6" t="s">
        <v>302</v>
      </c>
      <c r="B55" s="8" t="n">
        <v>17985000</v>
      </c>
      <c r="C55" s="33" t="n">
        <f aca="false">Forecast!$C$24</f>
        <v>17985000</v>
      </c>
      <c r="D55" s="42" t="n">
        <f aca="false">C55-B55</f>
        <v>0</v>
      </c>
      <c r="E55" s="21" t="str">
        <f aca="false">IF(ABS(D55)&lt;0.005000000005,"PASS","FAIL")</f>
        <v>PASS</v>
      </c>
    </row>
    <row r="56" customFormat="false" ht="15" hidden="false" customHeight="false" outlineLevel="0" collapsed="false">
      <c r="A56" s="6" t="s">
        <v>303</v>
      </c>
      <c r="B56" s="8" t="n">
        <v>-6213000</v>
      </c>
      <c r="C56" s="33" t="n">
        <f aca="false">Forecast!$C$25</f>
        <v>-6213000</v>
      </c>
      <c r="D56" s="42" t="n">
        <f aca="false">C56-B56</f>
        <v>0</v>
      </c>
      <c r="E56" s="21" t="str">
        <f aca="false">IF(ABS(D56)&lt;0.005000000005,"PASS","FAIL")</f>
        <v>PASS</v>
      </c>
    </row>
    <row r="57" customFormat="false" ht="15" hidden="false" customHeight="false" outlineLevel="0" collapsed="false">
      <c r="A57" s="6" t="s">
        <v>304</v>
      </c>
      <c r="B57" s="8" t="n">
        <v>7848000</v>
      </c>
      <c r="C57" s="33" t="n">
        <f aca="false">Forecast!$C$26</f>
        <v>7848000</v>
      </c>
      <c r="D57" s="42" t="n">
        <f aca="false">C57-B57</f>
        <v>0</v>
      </c>
      <c r="E57" s="21" t="str">
        <f aca="false">IF(ABS(D57)&lt;0.005000000005,"PASS","FAIL")</f>
        <v>PASS</v>
      </c>
    </row>
    <row r="58" customFormat="false" ht="15" hidden="false" customHeight="false" outlineLevel="0" collapsed="false">
      <c r="A58" s="6" t="s">
        <v>90</v>
      </c>
      <c r="B58" s="13" t="n">
        <v>0.069</v>
      </c>
      <c r="C58" s="43" t="n">
        <f aca="false">Forecast!$B$28</f>
        <v>0.069</v>
      </c>
      <c r="D58" s="42" t="n">
        <f aca="false">C58-B58</f>
        <v>0</v>
      </c>
      <c r="E58" s="21" t="str">
        <f aca="false">IF(ABS(D58)&lt;0.00005000000005,"PASS","FAIL")</f>
        <v>PASS</v>
      </c>
    </row>
    <row r="59" customFormat="false" ht="15" hidden="false" customHeight="false" outlineLevel="0" collapsed="false">
      <c r="A59" s="6" t="s">
        <v>91</v>
      </c>
      <c r="B59" s="13" t="n">
        <v>-0.058</v>
      </c>
      <c r="C59" s="43" t="n">
        <f aca="false">Forecast!$B$29</f>
        <v>-0.058</v>
      </c>
      <c r="D59" s="42" t="n">
        <f aca="false">C59-B59</f>
        <v>0</v>
      </c>
      <c r="E59" s="21" t="str">
        <f aca="false">IF(ABS(D59)&lt;0.00005000000005,"PASS","FAIL")</f>
        <v>PASS</v>
      </c>
    </row>
    <row r="60" customFormat="false" ht="15" hidden="false" customHeight="false" outlineLevel="0" collapsed="false">
      <c r="A60" s="6" t="s">
        <v>305</v>
      </c>
      <c r="B60" s="9" t="n">
        <v>13415502</v>
      </c>
      <c r="C60" s="44" t="n">
        <f aca="false">Forecast!$B$30</f>
        <v>13415502</v>
      </c>
      <c r="D60" s="42" t="n">
        <f aca="false">C60-B60</f>
        <v>0</v>
      </c>
      <c r="E60" s="21" t="str">
        <f aca="false">IF(ABS(D60)&lt;0.5000000005,"PASS","FAIL")</f>
        <v>PASS</v>
      </c>
    </row>
    <row r="61" customFormat="false" ht="15" hidden="false" customHeight="false" outlineLevel="0" collapsed="false">
      <c r="A61" s="6" t="s">
        <v>306</v>
      </c>
      <c r="B61" s="8" t="n">
        <v>75.88</v>
      </c>
      <c r="C61" s="33" t="n">
        <f aca="false">Forecast!$B$31</f>
        <v>75.8784514460713</v>
      </c>
      <c r="D61" s="42" t="n">
        <f aca="false">C61-B61</f>
        <v>-0.00154855392872832</v>
      </c>
      <c r="E61" s="21" t="str">
        <f aca="false">IF(ABS(D61)&lt;0.005000000005,"PASS","FAIL")</f>
        <v>PASS</v>
      </c>
    </row>
    <row r="62" customFormat="false" ht="15" hidden="false" customHeight="false" outlineLevel="0" collapsed="false">
      <c r="A62" s="6" t="s">
        <v>307</v>
      </c>
      <c r="B62" s="45" t="n">
        <v>1.6819</v>
      </c>
      <c r="C62" s="46" t="n">
        <f aca="false">Forecast!$B$32</f>
        <v>1.68186028372252</v>
      </c>
      <c r="D62" s="42" t="n">
        <f aca="false">C62-B62</f>
        <v>-3.97162774823379E-005</v>
      </c>
      <c r="E62" s="21" t="str">
        <f aca="false">IF(ABS(D62)&lt;0.00005000000005,"PASS","FAIL")</f>
        <v>PASS</v>
      </c>
    </row>
    <row r="63" customFormat="false" ht="15" hidden="false" customHeight="false" outlineLevel="0" collapsed="false">
      <c r="A63" s="6" t="s">
        <v>71</v>
      </c>
      <c r="B63" s="8" t="n">
        <v>22068375.97</v>
      </c>
      <c r="C63" s="33" t="n">
        <f aca="false">Forecast!$B$9</f>
        <v>22068375.9699474</v>
      </c>
      <c r="D63" s="42" t="n">
        <f aca="false">C63-B63</f>
        <v>-5.26271760463715E-005</v>
      </c>
      <c r="E63" s="21" t="str">
        <f aca="false">IF(ABS(D63)&lt;0.005000000005,"PASS","FAIL")</f>
        <v>PASS</v>
      </c>
    </row>
    <row r="64" customFormat="false" ht="15" hidden="false" customHeight="false" outlineLevel="0" collapsed="false">
      <c r="A64" s="6" t="s">
        <v>73</v>
      </c>
      <c r="B64" s="8" t="n">
        <v>41453666.72</v>
      </c>
      <c r="C64" s="33" t="n">
        <f aca="false">Forecast!$B$11</f>
        <v>41453666.715585</v>
      </c>
      <c r="D64" s="42" t="n">
        <f aca="false">C64-B64</f>
        <v>-0.00441496819257736</v>
      </c>
      <c r="E64" s="21" t="str">
        <f aca="false">IF(ABS(D64)&lt;0.005000000005,"PASS","FAIL")</f>
        <v>PASS</v>
      </c>
    </row>
    <row r="65" customFormat="false" ht="15" hidden="false" customHeight="false" outlineLevel="0" collapsed="false">
      <c r="A65" s="6" t="s">
        <v>308</v>
      </c>
      <c r="B65" s="8" t="n">
        <v>9135905.19</v>
      </c>
      <c r="C65" s="33" t="n">
        <f aca="false">Forecast!$B$33</f>
        <v>9135905.18877457</v>
      </c>
      <c r="D65" s="42" t="n">
        <f aca="false">C65-B65</f>
        <v>-0.0012254323810339</v>
      </c>
      <c r="E65" s="21" t="str">
        <f aca="false">IF(ABS(D65)&lt;0.005000000005,"PASS","FAIL")</f>
        <v>PASS</v>
      </c>
    </row>
    <row r="66" customFormat="false" ht="15" hidden="false" customHeight="false" outlineLevel="0" collapsed="false">
      <c r="A66" s="6" t="s">
        <v>309</v>
      </c>
      <c r="B66" s="8" t="n">
        <v>10249385.56</v>
      </c>
      <c r="C66" s="33" t="n">
        <f aca="false">Forecast!$B$34</f>
        <v>10249385.5568631</v>
      </c>
      <c r="D66" s="42" t="n">
        <f aca="false">C66-B66</f>
        <v>-0.00313690863549709</v>
      </c>
      <c r="E66" s="21" t="str">
        <f aca="false">IF(ABS(D66)&lt;0.005000000005,"PASS","FAIL")</f>
        <v>PASS</v>
      </c>
    </row>
    <row r="67" customFormat="false" ht="15" hidden="false" customHeight="false" outlineLevel="0" collapsed="false">
      <c r="A67" s="6" t="s">
        <v>310</v>
      </c>
      <c r="B67" s="9" t="n">
        <v>1880250</v>
      </c>
      <c r="C67" s="44" t="n">
        <f aca="false">Forecast!$B$8</f>
        <v>1880250</v>
      </c>
      <c r="D67" s="42" t="n">
        <f aca="false">C67-B67</f>
        <v>0</v>
      </c>
      <c r="E67" s="21" t="str">
        <f aca="false">IF(ABS(D67)&lt;0.5000000005,"PASS","FAIL")</f>
        <v>PASS</v>
      </c>
    </row>
    <row r="68" customFormat="false" ht="15" hidden="false" customHeight="false" outlineLevel="0" collapsed="false">
      <c r="A68" s="6" t="s">
        <v>311</v>
      </c>
      <c r="B68" s="8" t="n">
        <v>25153846.15</v>
      </c>
      <c r="C68" s="33" t="n">
        <f aca="false">Forecast!$B$35</f>
        <v>25153846.1538462</v>
      </c>
      <c r="D68" s="42" t="n">
        <f aca="false">C68-B68</f>
        <v>0.00384615361690521</v>
      </c>
      <c r="E68" s="21" t="str">
        <f aca="false">IF(ABS(D68)&lt;0.005000000005,"PASS","FAIL")</f>
        <v>PASS</v>
      </c>
    </row>
    <row r="69" customFormat="false" ht="15" hidden="false" customHeight="false" outlineLevel="0" collapsed="false">
      <c r="A69" s="6" t="s">
        <v>98</v>
      </c>
      <c r="B69" s="45" t="n">
        <v>8.2857</v>
      </c>
      <c r="C69" s="46" t="n">
        <f aca="false">Forecast!$B$36</f>
        <v>8.28571428571429</v>
      </c>
      <c r="D69" s="42" t="n">
        <f aca="false">C69-B69</f>
        <v>1.42857142861885E-005</v>
      </c>
      <c r="E69" s="21" t="str">
        <f aca="false">IF(ABS(D69)&lt;0.00005000000005,"PASS","FAIL")</f>
        <v>PASS</v>
      </c>
    </row>
    <row r="70" customFormat="false" ht="15" hidden="false" customHeight="false" outlineLevel="0" collapsed="false">
      <c r="A70" s="6" t="s">
        <v>312</v>
      </c>
      <c r="B70" s="45" t="n">
        <v>23.8143</v>
      </c>
      <c r="C70" s="46" t="n">
        <f aca="false">Minimum!$B$31</f>
        <v>23.8142739217741</v>
      </c>
      <c r="D70" s="42" t="n">
        <f aca="false">C70-B70</f>
        <v>-2.60782259289272E-005</v>
      </c>
      <c r="E70" s="21" t="str">
        <f aca="false">IF(ABS(D70)&lt;0.00005000000005,"PASS","FAIL")</f>
        <v>PASS</v>
      </c>
    </row>
    <row r="71" customFormat="false" ht="15" hidden="false" customHeight="false" outlineLevel="0" collapsed="false">
      <c r="A71" s="6" t="s">
        <v>313</v>
      </c>
      <c r="B71" s="8" t="n">
        <v>114132281.16</v>
      </c>
      <c r="C71" s="33" t="n">
        <f aca="false">Minimum!$D$34</f>
        <v>114132281.158722</v>
      </c>
      <c r="D71" s="42" t="n">
        <f aca="false">C71-B71</f>
        <v>-0.00127805769443512</v>
      </c>
      <c r="E71" s="21" t="str">
        <f aca="false">IF(ABS(D71)&lt;0.005000000005,"PASS","FAIL")</f>
        <v>PASS</v>
      </c>
    </row>
    <row r="72" customFormat="false" ht="15" hidden="false" customHeight="false" outlineLevel="0" collapsed="false">
      <c r="A72" s="6" t="s">
        <v>314</v>
      </c>
      <c r="B72" s="8" t="n">
        <v>135060281.16</v>
      </c>
      <c r="C72" s="33" t="n">
        <f aca="false">Minimum!$D$36</f>
        <v>135060281.158722</v>
      </c>
      <c r="D72" s="42" t="n">
        <f aca="false">C72-B72</f>
        <v>-0.00127807259559631</v>
      </c>
      <c r="E72" s="21" t="str">
        <f aca="false">IF(ABS(D72)&lt;0.005000000005,"PASS","FAIL")</f>
        <v>PASS</v>
      </c>
    </row>
    <row r="73" customFormat="false" ht="15" hidden="false" customHeight="false" outlineLevel="0" collapsed="false">
      <c r="A73" s="6" t="s">
        <v>315</v>
      </c>
      <c r="B73" s="9" t="n">
        <v>62784000</v>
      </c>
      <c r="C73" s="44" t="n">
        <f aca="false">Minimum!$B$38</f>
        <v>62784000</v>
      </c>
      <c r="D73" s="42" t="n">
        <f aca="false">C73-B73</f>
        <v>0</v>
      </c>
      <c r="E73" s="21" t="str">
        <f aca="false">IF(ABS(D73)&lt;0.5000000005,"PASS","FAIL")</f>
        <v>PASS</v>
      </c>
    </row>
    <row r="74" customFormat="false" ht="15" hidden="false" customHeight="false" outlineLevel="0" collapsed="false">
      <c r="A74" s="6" t="s">
        <v>316</v>
      </c>
      <c r="B74" s="9" t="n">
        <v>10464000</v>
      </c>
      <c r="C74" s="44" t="n">
        <f aca="false">Minimum!$B$39</f>
        <v>10464000</v>
      </c>
      <c r="D74" s="42" t="n">
        <f aca="false">C74-B74</f>
        <v>0</v>
      </c>
      <c r="E74" s="21" t="str">
        <f aca="false">IF(ABS(D74)&lt;0.5000000005,"PASS","FAIL")</f>
        <v>PASS</v>
      </c>
    </row>
    <row r="75" customFormat="false" ht="15" hidden="false" customHeight="false" outlineLevel="0" collapsed="false">
      <c r="A75" s="6" t="s">
        <v>317</v>
      </c>
      <c r="B75" s="8" t="n">
        <v>115460375.97</v>
      </c>
      <c r="C75" s="33" t="n">
        <f aca="false">Minimum!$B$40</f>
        <v>115460375.969947</v>
      </c>
      <c r="D75" s="42" t="n">
        <f aca="false">C75-B75</f>
        <v>-5.26309013366699E-005</v>
      </c>
      <c r="E75" s="21" t="str">
        <f aca="false">IF(ABS(D75)&lt;0.005000000005,"PASS","FAIL")</f>
        <v>PASS</v>
      </c>
    </row>
    <row r="76" customFormat="false" ht="15" hidden="false" customHeight="false" outlineLevel="0" collapsed="false">
      <c r="A76" s="6" t="s">
        <v>318</v>
      </c>
      <c r="B76" s="8" t="n">
        <v>134845666.72</v>
      </c>
      <c r="C76" s="33" t="n">
        <f aca="false">Minimum!$B$41</f>
        <v>134845666.715585</v>
      </c>
      <c r="D76" s="42" t="n">
        <f aca="false">C76-B76</f>
        <v>-0.00441497564315796</v>
      </c>
      <c r="E76" s="21" t="str">
        <f aca="false">IF(ABS(D76)&lt;0.005000000005,"PASS","FAIL")</f>
        <v>PASS</v>
      </c>
    </row>
    <row r="77" customFormat="false" ht="15" hidden="false" customHeight="false" outlineLevel="0" collapsed="false">
      <c r="A77" s="6" t="s">
        <v>319</v>
      </c>
      <c r="B77" s="8" t="n">
        <v>89403718.84</v>
      </c>
      <c r="C77" s="33" t="n">
        <f aca="false">Minimum!$B$42</f>
        <v>89403718.8412781</v>
      </c>
      <c r="D77" s="42" t="n">
        <f aca="false">C77-B77</f>
        <v>0.00127805769443512</v>
      </c>
      <c r="E77" s="21" t="str">
        <f aca="false">IF(ABS(D77)&lt;0.005000000005,"PASS","FAIL")</f>
        <v>PASS</v>
      </c>
    </row>
    <row r="78" customFormat="false" ht="15" hidden="false" customHeight="false" outlineLevel="0" collapsed="false">
      <c r="A78" s="6" t="s">
        <v>320</v>
      </c>
      <c r="B78" s="8" t="n">
        <v>76178506.33</v>
      </c>
      <c r="C78" s="33" t="n">
        <f aca="false">Minimum!$B$44</f>
        <v>76178506.3297553</v>
      </c>
      <c r="D78" s="42" t="n">
        <f aca="false">C78-B78</f>
        <v>-0.000244691967964172</v>
      </c>
      <c r="E78" s="21" t="str">
        <f aca="false">IF(ABS(D78)&lt;0.005000000005,"PASS","FAIL")</f>
        <v>PASS</v>
      </c>
    </row>
    <row r="79" customFormat="false" ht="15" hidden="false" customHeight="false" outlineLevel="0" collapsed="false">
      <c r="A79" s="6" t="s">
        <v>138</v>
      </c>
      <c r="B79" s="8" t="n">
        <v>48417774.83</v>
      </c>
      <c r="C79" s="33" t="n">
        <f aca="false">Minimum!$B$45</f>
        <v>48417774.8289666</v>
      </c>
      <c r="D79" s="42" t="n">
        <f aca="false">C79-B79</f>
        <v>-0.00103336572647095</v>
      </c>
      <c r="E79" s="21" t="str">
        <f aca="false">IF(ABS(D79)&lt;0.005000000005,"PASS","FAIL")</f>
        <v>PASS</v>
      </c>
    </row>
    <row r="80" customFormat="false" ht="15" hidden="false" customHeight="false" outlineLevel="0" collapsed="false">
      <c r="A80" s="6" t="s">
        <v>321</v>
      </c>
      <c r="B80" s="35" t="n">
        <v>0.388597</v>
      </c>
      <c r="C80" s="36" t="n">
        <f aca="false">Minimum!$B$46</f>
        <v>0.388597270951351</v>
      </c>
      <c r="D80" s="42" t="n">
        <f aca="false">C80-B80</f>
        <v>2.70951351410975E-007</v>
      </c>
      <c r="E80" s="21" t="str">
        <f aca="false">IF(ABS(D80)&lt;0.0000005000000005,"PASS","FAIL")</f>
        <v>PASS</v>
      </c>
    </row>
    <row r="81" customFormat="false" ht="15" hidden="false" customHeight="false" outlineLevel="0" collapsed="false">
      <c r="A81" s="6" t="s">
        <v>322</v>
      </c>
      <c r="B81" s="8" t="n">
        <v>75821493.67</v>
      </c>
      <c r="C81" s="33" t="n">
        <f aca="false">Minimum!$B$47</f>
        <v>75821493.6702447</v>
      </c>
      <c r="D81" s="42" t="n">
        <f aca="false">C81-B81</f>
        <v>0.000244691967964172</v>
      </c>
      <c r="E81" s="21" t="str">
        <f aca="false">IF(ABS(D81)&lt;0.005000000005,"PASS","FAIL")</f>
        <v>PASS</v>
      </c>
    </row>
    <row r="82" customFormat="false" ht="15" hidden="false" customHeight="false" outlineLevel="0" collapsed="false">
      <c r="A82" s="6" t="s">
        <v>323</v>
      </c>
      <c r="B82" s="35" t="n">
        <v>0.073943</v>
      </c>
      <c r="C82" s="36" t="n">
        <f aca="false">Minimum!$B$48</f>
        <v>0.0739425992997401</v>
      </c>
      <c r="D82" s="42" t="n">
        <f aca="false">C82-B82</f>
        <v>-4.00700259958753E-007</v>
      </c>
      <c r="E82" s="21" t="str">
        <f aca="false">IF(ABS(D82)&lt;0.0000005000000005,"PASS","FAIL")</f>
        <v>PASS</v>
      </c>
    </row>
    <row r="83" customFormat="false" ht="15" hidden="false" customHeight="false" outlineLevel="0" collapsed="false">
      <c r="A83" s="6" t="s">
        <v>324</v>
      </c>
      <c r="B83" s="9" t="n">
        <v>402000000</v>
      </c>
      <c r="C83" s="44" t="n">
        <f aca="false">Minimum!$C$13</f>
        <v>402000000</v>
      </c>
      <c r="D83" s="42" t="n">
        <f aca="false">C83-B83</f>
        <v>0</v>
      </c>
      <c r="E83" s="21" t="str">
        <f aca="false">IF(ABS(D83)&lt;0.5000000005,"PASS","FAIL")</f>
        <v>PASS</v>
      </c>
    </row>
    <row r="84" customFormat="false" ht="15" hidden="false" customHeight="false" outlineLevel="0" collapsed="false">
      <c r="A84" s="6" t="s">
        <v>325</v>
      </c>
      <c r="B84" s="16" t="n">
        <v>3.2264</v>
      </c>
      <c r="C84" s="38" t="n">
        <f aca="false">Minimum!$C$16</f>
        <v>3.22642053407594</v>
      </c>
      <c r="D84" s="42" t="n">
        <f aca="false">C84-B84</f>
        <v>2.05340759431572E-005</v>
      </c>
      <c r="E84" s="21" t="str">
        <f aca="false">IF(ABS(D84)&lt;0.00005000000005,"PASS","FAIL")</f>
        <v>PASS</v>
      </c>
    </row>
    <row r="85" customFormat="false" ht="15" hidden="false" customHeight="false" outlineLevel="0" collapsed="false">
      <c r="A85" s="6" t="s">
        <v>326</v>
      </c>
      <c r="B85" s="8" t="n">
        <v>37867718.84</v>
      </c>
      <c r="C85" s="33" t="n">
        <f aca="false">Minimum!$C$25</f>
        <v>37867718.8412781</v>
      </c>
      <c r="D85" s="42" t="n">
        <f aca="false">C85-B85</f>
        <v>0.00127805769443512</v>
      </c>
      <c r="E85" s="21" t="str">
        <f aca="false">IF(ABS(D85)&lt;0.005000000005,"PASS","FAIL")</f>
        <v>PASS</v>
      </c>
    </row>
    <row r="86" customFormat="false" ht="15" hidden="false" customHeight="false" outlineLevel="0" collapsed="false">
      <c r="A86" s="6" t="s">
        <v>274</v>
      </c>
      <c r="B86" s="45" t="n">
        <v>7.2377</v>
      </c>
      <c r="C86" s="46" t="n">
        <f aca="false">Minimum!$D$25</f>
        <v>7.23771384581003</v>
      </c>
      <c r="D86" s="42" t="n">
        <f aca="false">C86-B86</f>
        <v>1.38458100265026E-005</v>
      </c>
      <c r="E86" s="21" t="str">
        <f aca="false">IF(ABS(D86)&lt;0.00005000000005,"PASS","FAIL")</f>
        <v>PASS</v>
      </c>
    </row>
    <row r="87" customFormat="false" ht="15" hidden="false" customHeight="false" outlineLevel="0" collapsed="false">
      <c r="A87" s="6" t="s">
        <v>327</v>
      </c>
      <c r="B87" s="8" t="n">
        <v>16939718.84</v>
      </c>
      <c r="C87" s="33" t="n">
        <f aca="false">Minimum!$C$27</f>
        <v>16939718.8412781</v>
      </c>
      <c r="D87" s="42" t="n">
        <f aca="false">C87-B87</f>
        <v>0.00127806141972542</v>
      </c>
      <c r="E87" s="21" t="str">
        <f aca="false">IF(ABS(D87)&lt;0.005000000005,"PASS","FAIL")</f>
        <v>PASS</v>
      </c>
    </row>
    <row r="88" customFormat="false" ht="15" hidden="false" customHeight="false" outlineLevel="0" collapsed="false">
      <c r="A88" s="6" t="s">
        <v>274</v>
      </c>
      <c r="B88" s="45" t="n">
        <v>3.2377</v>
      </c>
      <c r="C88" s="46" t="n">
        <f aca="false">Minimum!$D$27</f>
        <v>3.23771384581003</v>
      </c>
      <c r="D88" s="42" t="n">
        <f aca="false">C88-B88</f>
        <v>1.38458100273908E-005</v>
      </c>
      <c r="E88" s="21" t="str">
        <f aca="false">IF(ABS(D88)&lt;0.00005000000005,"PASS","FAIL")</f>
        <v>PASS</v>
      </c>
    </row>
    <row r="89" customFormat="false" ht="15" hidden="false" customHeight="false" outlineLevel="0" collapsed="false">
      <c r="A89" s="6" t="s">
        <v>328</v>
      </c>
      <c r="B89" s="8" t="n">
        <v>36539624.03</v>
      </c>
      <c r="C89" s="33" t="n">
        <f aca="false">Minimum!$C$28</f>
        <v>36539624.0300526</v>
      </c>
      <c r="D89" s="42" t="n">
        <f aca="false">C89-B89</f>
        <v>5.26309013366699E-005</v>
      </c>
      <c r="E89" s="21" t="str">
        <f aca="false">IF(ABS(D89)&lt;0.005000000005,"PASS","FAIL")</f>
        <v>PASS</v>
      </c>
    </row>
    <row r="90" customFormat="false" ht="15" hidden="false" customHeight="false" outlineLevel="0" collapsed="false">
      <c r="A90" s="6" t="s">
        <v>274</v>
      </c>
      <c r="B90" s="45" t="n">
        <v>6.9839</v>
      </c>
      <c r="C90" s="46" t="n">
        <f aca="false">Minimum!$D$28</f>
        <v>6.98387309442902</v>
      </c>
      <c r="D90" s="42" t="n">
        <f aca="false">C90-B90</f>
        <v>-2.69055709800625E-005</v>
      </c>
      <c r="E90" s="21" t="str">
        <f aca="false">IF(ABS(D90)&lt;0.00005000000005,"PASS","FAIL")</f>
        <v>PASS</v>
      </c>
    </row>
    <row r="91" customFormat="false" ht="15" hidden="false" customHeight="false" outlineLevel="0" collapsed="false">
      <c r="A91" s="6" t="s">
        <v>329</v>
      </c>
      <c r="B91" s="8" t="n">
        <v>17154333.28</v>
      </c>
      <c r="C91" s="33" t="n">
        <f aca="false">Minimum!$C$29</f>
        <v>17154333.284415</v>
      </c>
      <c r="D91" s="42" t="n">
        <f aca="false">C91-B91</f>
        <v>0.00441497564315796</v>
      </c>
      <c r="E91" s="21" t="str">
        <f aca="false">IF(ABS(D91)&lt;0.005000000005,"PASS","FAIL")</f>
        <v>PASS</v>
      </c>
    </row>
    <row r="92" customFormat="false" ht="15" hidden="false" customHeight="false" outlineLevel="0" collapsed="false">
      <c r="A92" s="6" t="s">
        <v>274</v>
      </c>
      <c r="B92" s="45" t="n">
        <v>3.2787</v>
      </c>
      <c r="C92" s="46" t="n">
        <f aca="false">Minimum!$D$29</f>
        <v>3.27873342592029</v>
      </c>
      <c r="D92" s="42" t="n">
        <f aca="false">C92-B92</f>
        <v>3.34259202934284E-005</v>
      </c>
      <c r="E92" s="21" t="str">
        <f aca="false">IF(ABS(D92)&lt;0.00005000000005,"PASS","FAIL")</f>
        <v>PASS</v>
      </c>
    </row>
    <row r="93" customFormat="false" ht="15" hidden="false" customHeight="false" outlineLevel="0" collapsed="false">
      <c r="A93" s="6" t="s">
        <v>330</v>
      </c>
      <c r="B93" s="8" t="n">
        <v>35333333.33</v>
      </c>
      <c r="C93" s="33" t="n">
        <f aca="false">Drawstop!$B$23</f>
        <v>35333333.3333333</v>
      </c>
      <c r="D93" s="42" t="n">
        <f aca="false">C93-B93</f>
        <v>0.00333333015441895</v>
      </c>
      <c r="E93" s="21" t="str">
        <f aca="false">IF(ABS(D93)&lt;0.005000000005,"PASS","FAIL")</f>
        <v>PASS</v>
      </c>
    </row>
    <row r="94" customFormat="false" ht="15" hidden="false" customHeight="false" outlineLevel="0" collapsed="false">
      <c r="A94" s="6" t="s">
        <v>163</v>
      </c>
      <c r="B94" s="8" t="n">
        <v>117777777.78</v>
      </c>
      <c r="C94" s="33" t="n">
        <f aca="false">Drawstop!$B$24</f>
        <v>117777777.777778</v>
      </c>
      <c r="D94" s="42" t="n">
        <f aca="false">C94-B94</f>
        <v>-0.00222226977348328</v>
      </c>
      <c r="E94" s="21" t="str">
        <f aca="false">IF(ABS(D94)&lt;0.005000000005,"PASS","FAIL")</f>
        <v>PASS</v>
      </c>
    </row>
    <row r="95" customFormat="false" ht="15" hidden="false" customHeight="false" outlineLevel="0" collapsed="false">
      <c r="A95" s="6" t="s">
        <v>331</v>
      </c>
      <c r="B95" s="8" t="n">
        <v>1282222222.22</v>
      </c>
      <c r="C95" s="33" t="n">
        <f aca="false">Drawstop!$B$25</f>
        <v>1282222222.22222</v>
      </c>
      <c r="D95" s="42" t="n">
        <f aca="false">C95-B95</f>
        <v>0.00222229957580566</v>
      </c>
      <c r="E95" s="21" t="str">
        <f aca="false">IF(ABS(D95)&lt;0.005000000005,"PASS","FAIL")</f>
        <v>PASS</v>
      </c>
    </row>
    <row r="96" customFormat="false" ht="15" hidden="false" customHeight="false" outlineLevel="0" collapsed="false">
      <c r="A96" s="6" t="s">
        <v>332</v>
      </c>
      <c r="B96" s="9" t="n">
        <v>112000000</v>
      </c>
      <c r="C96" s="44" t="n">
        <f aca="false">Drawstop!$B$29</f>
        <v>112000000</v>
      </c>
      <c r="D96" s="42" t="n">
        <f aca="false">C96-B96</f>
        <v>0</v>
      </c>
      <c r="E96" s="21" t="str">
        <f aca="false">IF(ABS(D96)&lt;0.5000000005,"PASS","FAIL")</f>
        <v>PASS</v>
      </c>
    </row>
    <row r="97" customFormat="false" ht="15" hidden="false" customHeight="false" outlineLevel="0" collapsed="false">
      <c r="A97" s="6" t="s">
        <v>333</v>
      </c>
      <c r="B97" s="35" t="n">
        <v>0.333333</v>
      </c>
      <c r="C97" s="36" t="n">
        <f aca="false">Drawstop!$B$30</f>
        <v>0.333333333333333</v>
      </c>
      <c r="D97" s="42" t="n">
        <f aca="false">C97-B97</f>
        <v>3.33333333379926E-007</v>
      </c>
      <c r="E97" s="21" t="str">
        <f aca="false">IF(ABS(D97)&lt;0.0000005000000005,"PASS","FAIL")</f>
        <v>PASS</v>
      </c>
    </row>
    <row r="98" customFormat="false" ht="15" hidden="false" customHeight="false" outlineLevel="0" collapsed="false">
      <c r="A98" s="6" t="s">
        <v>334</v>
      </c>
      <c r="B98" s="35" t="n">
        <v>0.133333</v>
      </c>
      <c r="C98" s="36" t="n">
        <f aca="false">Drawstop!$B$31</f>
        <v>0.133333333333333</v>
      </c>
      <c r="D98" s="42" t="n">
        <f aca="false">C98-B98</f>
        <v>3.3333333335217E-007</v>
      </c>
      <c r="E98" s="21" t="str">
        <f aca="false">IF(ABS(D98)&lt;0.0000005000000005,"PASS","FAIL")</f>
        <v>PASS</v>
      </c>
    </row>
    <row r="99" customFormat="false" ht="15" hidden="false" customHeight="false" outlineLevel="0" collapsed="false">
      <c r="A99" s="6" t="s">
        <v>335</v>
      </c>
      <c r="B99" s="35" t="n">
        <v>0.049206</v>
      </c>
      <c r="C99" s="36" t="n">
        <f aca="false">Drawstop!$B$32</f>
        <v>0.0492063492063493</v>
      </c>
      <c r="D99" s="42" t="n">
        <f aca="false">C99-B99</f>
        <v>3.49206349267717E-007</v>
      </c>
      <c r="E99" s="21" t="str">
        <f aca="false">IF(ABS(D99)&lt;0.0000005000000005,"PASS","FAIL")</f>
        <v>PASS</v>
      </c>
    </row>
    <row r="100" customFormat="false" ht="15" hidden="false" customHeight="false" outlineLevel="0" collapsed="false">
      <c r="A100" s="6" t="s">
        <v>336</v>
      </c>
      <c r="B100" s="16" t="n">
        <v>2.5005</v>
      </c>
      <c r="C100" s="38" t="n">
        <f aca="false">Drawstop!$B$35</f>
        <v>2.50052356020942</v>
      </c>
      <c r="D100" s="42" t="n">
        <f aca="false">C100-B100</f>
        <v>2.35602094242893E-005</v>
      </c>
      <c r="E100" s="21" t="str">
        <f aca="false">IF(ABS(D100)&lt;0.00005000000005,"PASS","FAIL")</f>
        <v>PASS</v>
      </c>
    </row>
    <row r="101" customFormat="false" ht="15" hidden="false" customHeight="false" outlineLevel="0" collapsed="false">
      <c r="A101" s="6" t="s">
        <v>337</v>
      </c>
      <c r="B101" s="35" t="n">
        <v>0.105159</v>
      </c>
      <c r="C101" s="36" t="n">
        <f aca="false">Drawstop!$B$36</f>
        <v>0.10515873015873</v>
      </c>
      <c r="D101" s="42" t="n">
        <f aca="false">C101-B101</f>
        <v>-2.69841269884275E-007</v>
      </c>
      <c r="E101" s="21" t="str">
        <f aca="false">IF(ABS(D101)&lt;0.0000005000000005,"PASS","FAIL")</f>
        <v>PASS</v>
      </c>
    </row>
    <row r="102" customFormat="false" ht="15" hidden="false" customHeight="false" outlineLevel="0" collapsed="false">
      <c r="A102" s="6" t="s">
        <v>338</v>
      </c>
      <c r="B102" s="35" t="n">
        <v>0.157738</v>
      </c>
      <c r="C102" s="36" t="n">
        <f aca="false">Drawstop!$B$37</f>
        <v>0.157738095238095</v>
      </c>
      <c r="D102" s="42" t="n">
        <f aca="false">C102-B102</f>
        <v>9.52380951879661E-008</v>
      </c>
      <c r="E102" s="21" t="str">
        <f aca="false">IF(ABS(D102)&lt;0.0000005000000005,"PASS","FAIL")</f>
        <v>PASS</v>
      </c>
    </row>
    <row r="103" customFormat="false" ht="15" hidden="false" customHeight="false" outlineLevel="0" collapsed="false">
      <c r="A103" s="6" t="s">
        <v>176</v>
      </c>
      <c r="B103" s="9" t="n">
        <v>1260000000</v>
      </c>
      <c r="C103" s="44" t="n">
        <f aca="false">Drawstop!$B$40</f>
        <v>1260000000</v>
      </c>
      <c r="D103" s="42" t="n">
        <f aca="false">C103-B103</f>
        <v>0</v>
      </c>
      <c r="E103" s="21" t="str">
        <f aca="false">IF(ABS(D103)&lt;0.5000000005,"PASS","FAIL")</f>
        <v>PASS</v>
      </c>
    </row>
    <row r="104" customFormat="false" ht="15" hidden="false" customHeight="false" outlineLevel="0" collapsed="false">
      <c r="A104" s="6" t="s">
        <v>339</v>
      </c>
      <c r="B104" s="45" t="n">
        <v>5.1946</v>
      </c>
      <c r="C104" s="46" t="n">
        <f aca="false">Drawstop!$B$41</f>
        <v>5.19460677590619</v>
      </c>
      <c r="D104" s="42" t="n">
        <f aca="false">C104-B104</f>
        <v>6.77590619169166E-006</v>
      </c>
      <c r="E104" s="21" t="str">
        <f aca="false">IF(ABS(D104)&lt;0.00005000000005,"PASS","FAIL")</f>
        <v>PASS</v>
      </c>
    </row>
    <row r="105" customFormat="false" ht="15" hidden="false" customHeight="false" outlineLevel="0" collapsed="false">
      <c r="A105" s="6" t="s">
        <v>178</v>
      </c>
      <c r="B105" s="9" t="n">
        <v>140000000</v>
      </c>
      <c r="C105" s="44" t="n">
        <f aca="false">Drawstop!$B$42</f>
        <v>140000000</v>
      </c>
      <c r="D105" s="42" t="n">
        <f aca="false">C105-B105</f>
        <v>0</v>
      </c>
      <c r="E105" s="21" t="str">
        <f aca="false">IF(ABS(D105)&lt;0.5000000005,"PASS","FAIL")</f>
        <v>PASS</v>
      </c>
    </row>
    <row r="106" customFormat="false" ht="15" hidden="false" customHeight="false" outlineLevel="0" collapsed="false">
      <c r="A106" s="6" t="s">
        <v>340</v>
      </c>
      <c r="B106" s="9" t="n">
        <v>378000000</v>
      </c>
      <c r="C106" s="44" t="n">
        <f aca="false">Drawstop!$B$43</f>
        <v>378000000</v>
      </c>
      <c r="D106" s="42" t="n">
        <f aca="false">C106-B106</f>
        <v>0</v>
      </c>
      <c r="E106" s="21" t="str">
        <f aca="false">IF(ABS(D106)&lt;0.5000000005,"PASS","FAIL")</f>
        <v>PASS</v>
      </c>
    </row>
    <row r="107" customFormat="false" ht="15" hidden="false" customHeight="false" outlineLevel="0" collapsed="false">
      <c r="A107" s="6" t="s">
        <v>341</v>
      </c>
      <c r="B107" s="9" t="n">
        <v>20000000</v>
      </c>
      <c r="C107" s="44" t="n">
        <f aca="false">Drawstop!$B$44</f>
        <v>20000000</v>
      </c>
      <c r="D107" s="42" t="n">
        <f aca="false">C107-B107</f>
        <v>0</v>
      </c>
      <c r="E107" s="21" t="str">
        <f aca="false">IF(ABS(D107)&lt;0.5000000005,"PASS","FAIL")</f>
        <v>PASS</v>
      </c>
    </row>
    <row r="108" customFormat="false" ht="15" hidden="false" customHeight="false" outlineLevel="0" collapsed="false">
      <c r="A108" s="6" t="s">
        <v>342</v>
      </c>
      <c r="B108" s="8" t="n">
        <v>2246575.34</v>
      </c>
      <c r="C108" s="33" t="n">
        <f aca="false">Drawstop!$B$45</f>
        <v>2246575.34246575</v>
      </c>
      <c r="D108" s="42" t="n">
        <f aca="false">C108-B108</f>
        <v>0.00246575474739075</v>
      </c>
      <c r="E108" s="21" t="str">
        <f aca="false">IF(ABS(D108)&lt;0.005000000005,"PASS","FAIL")</f>
        <v>PASS</v>
      </c>
    </row>
    <row r="109" customFormat="false" ht="15" hidden="false" customHeight="false" outlineLevel="0" collapsed="false">
      <c r="A109" s="6" t="s">
        <v>183</v>
      </c>
      <c r="B109" s="9" t="n">
        <v>800000000</v>
      </c>
      <c r="C109" s="44" t="n">
        <f aca="false">Drawstop!$B$48</f>
        <v>800000000</v>
      </c>
      <c r="D109" s="42" t="n">
        <f aca="false">C109-B109</f>
        <v>0</v>
      </c>
      <c r="E109" s="21" t="str">
        <f aca="false">IF(ABS(D109)&lt;0.5000000005,"PASS","FAIL")</f>
        <v>PASS</v>
      </c>
    </row>
    <row r="110" customFormat="false" ht="15" hidden="false" customHeight="false" outlineLevel="0" collapsed="false">
      <c r="A110" s="6" t="s">
        <v>184</v>
      </c>
      <c r="B110" s="9" t="n">
        <v>402000000</v>
      </c>
      <c r="C110" s="44" t="n">
        <f aca="false">Drawstop!$B$49</f>
        <v>402000000</v>
      </c>
      <c r="D110" s="42" t="n">
        <f aca="false">C110-B110</f>
        <v>0</v>
      </c>
      <c r="E110" s="21" t="str">
        <f aca="false">IF(ABS(D110)&lt;0.5000000005,"PASS","FAIL")</f>
        <v>PASS</v>
      </c>
    </row>
    <row r="111" customFormat="false" ht="15" hidden="false" customHeight="false" outlineLevel="0" collapsed="false">
      <c r="A111" s="6" t="s">
        <v>186</v>
      </c>
      <c r="B111" s="16" t="n">
        <v>2.369</v>
      </c>
      <c r="C111" s="38" t="n">
        <f aca="false">Drawstop!$B$51</f>
        <v>2.36904761904762</v>
      </c>
      <c r="D111" s="42" t="n">
        <f aca="false">C111-B111</f>
        <v>4.76190476188521E-005</v>
      </c>
      <c r="E111" s="21" t="str">
        <f aca="false">IF(ABS(D111)&lt;0.00005000000005,"PASS","FAIL")</f>
        <v>PASS</v>
      </c>
    </row>
    <row r="112" customFormat="false" ht="15" hidden="false" customHeight="false" outlineLevel="0" collapsed="false">
      <c r="A112" s="6" t="s">
        <v>343</v>
      </c>
      <c r="B112" s="8" t="n">
        <v>277403718.84</v>
      </c>
      <c r="C112" s="33" t="n">
        <f aca="false">Drawstop!$B$52</f>
        <v>277403718.841278</v>
      </c>
      <c r="D112" s="42" t="n">
        <f aca="false">C112-B112</f>
        <v>0.0012781023979187</v>
      </c>
      <c r="E112" s="21" t="str">
        <f aca="false">IF(ABS(D112)&lt;0.005000000005,"PASS","FAIL")</f>
        <v>PASS</v>
      </c>
    </row>
    <row r="113" customFormat="false" ht="15" hidden="false" customHeight="false" outlineLevel="0" collapsed="false">
      <c r="A113" s="6" t="s">
        <v>344</v>
      </c>
      <c r="B113" s="9" t="n">
        <v>1250000</v>
      </c>
      <c r="C113" s="44" t="n">
        <f aca="false">PriceOfLiquidity!$B$30</f>
        <v>1250000</v>
      </c>
      <c r="D113" s="42" t="n">
        <f aca="false">C113-B113</f>
        <v>0</v>
      </c>
      <c r="E113" s="21" t="str">
        <f aca="false">IF(ABS(D113)&lt;0.5000000005,"PASS","FAIL")</f>
        <v>PASS</v>
      </c>
    </row>
    <row r="114" customFormat="false" ht="15" hidden="false" customHeight="false" outlineLevel="0" collapsed="false">
      <c r="A114" s="6" t="s">
        <v>345</v>
      </c>
      <c r="B114" s="9" t="n">
        <v>4750000</v>
      </c>
      <c r="C114" s="44" t="n">
        <f aca="false">PriceOfLiquidity!$B$31</f>
        <v>4750000</v>
      </c>
      <c r="D114" s="42" t="n">
        <f aca="false">C114-B114</f>
        <v>0</v>
      </c>
      <c r="E114" s="21" t="str">
        <f aca="false">IF(ABS(D114)&lt;0.5000000005,"PASS","FAIL")</f>
        <v>PASS</v>
      </c>
    </row>
    <row r="115" customFormat="false" ht="15" hidden="false" customHeight="false" outlineLevel="0" collapsed="false">
      <c r="A115" s="6" t="s">
        <v>346</v>
      </c>
      <c r="B115" s="9" t="n">
        <v>625000</v>
      </c>
      <c r="C115" s="44" t="n">
        <f aca="false">PriceOfLiquidity!$B$32</f>
        <v>625000</v>
      </c>
      <c r="D115" s="42" t="n">
        <f aca="false">C115-B115</f>
        <v>0</v>
      </c>
      <c r="E115" s="21" t="str">
        <f aca="false">IF(ABS(D115)&lt;0.5000000005,"PASS","FAIL")</f>
        <v>PASS</v>
      </c>
    </row>
    <row r="116" customFormat="false" ht="15" hidden="false" customHeight="false" outlineLevel="0" collapsed="false">
      <c r="A116" s="6" t="s">
        <v>347</v>
      </c>
      <c r="B116" s="9" t="n">
        <v>4625000</v>
      </c>
      <c r="C116" s="44" t="n">
        <f aca="false">PriceOfLiquidity!$B$33</f>
        <v>4625000</v>
      </c>
      <c r="D116" s="42" t="n">
        <f aca="false">C116-B116</f>
        <v>0</v>
      </c>
      <c r="E116" s="21" t="str">
        <f aca="false">IF(ABS(D116)&lt;0.5000000005,"PASS","FAIL")</f>
        <v>PASS</v>
      </c>
    </row>
    <row r="117" customFormat="false" ht="15" hidden="false" customHeight="false" outlineLevel="0" collapsed="false">
      <c r="A117" s="6" t="s">
        <v>348</v>
      </c>
      <c r="B117" s="9" t="n">
        <v>4875000</v>
      </c>
      <c r="C117" s="44" t="n">
        <f aca="false">PriceOfLiquidity!$B$34</f>
        <v>4875000</v>
      </c>
      <c r="D117" s="42" t="n">
        <f aca="false">C117-B117</f>
        <v>0</v>
      </c>
      <c r="E117" s="21" t="str">
        <f aca="false">IF(ABS(D117)&lt;0.5000000005,"PASS","FAIL")</f>
        <v>PASS</v>
      </c>
    </row>
    <row r="118" customFormat="false" ht="15" hidden="false" customHeight="false" outlineLevel="0" collapsed="false">
      <c r="A118" s="6" t="s">
        <v>349</v>
      </c>
      <c r="B118" s="9" t="n">
        <v>3312500</v>
      </c>
      <c r="C118" s="44" t="n">
        <f aca="false">PriceOfLiquidity!$B$35</f>
        <v>3312500</v>
      </c>
      <c r="D118" s="42" t="n">
        <f aca="false">C118-B118</f>
        <v>0</v>
      </c>
      <c r="E118" s="21" t="str">
        <f aca="false">IF(ABS(D118)&lt;0.5000000005,"PASS","FAIL")</f>
        <v>PASS</v>
      </c>
    </row>
    <row r="119" customFormat="false" ht="15" hidden="false" customHeight="false" outlineLevel="0" collapsed="false">
      <c r="A119" s="6" t="s">
        <v>350</v>
      </c>
      <c r="B119" s="9" t="n">
        <v>11875000</v>
      </c>
      <c r="C119" s="44" t="n">
        <f aca="false">PriceOfLiquidity!$B$38</f>
        <v>11875000</v>
      </c>
      <c r="D119" s="42" t="n">
        <f aca="false">C119-B119</f>
        <v>0</v>
      </c>
      <c r="E119" s="21" t="str">
        <f aca="false">IF(ABS(D119)&lt;0.5000000005,"PASS","FAIL")</f>
        <v>PASS</v>
      </c>
    </row>
    <row r="120" customFormat="false" ht="15" hidden="false" customHeight="false" outlineLevel="0" collapsed="false">
      <c r="A120" s="6" t="s">
        <v>351</v>
      </c>
      <c r="B120" s="9" t="n">
        <v>6500000</v>
      </c>
      <c r="C120" s="44" t="n">
        <f aca="false">PriceOfLiquidity!$B$39</f>
        <v>6500000</v>
      </c>
      <c r="D120" s="42" t="n">
        <f aca="false">C120-B120</f>
        <v>0</v>
      </c>
      <c r="E120" s="21" t="str">
        <f aca="false">IF(ABS(D120)&lt;0.5000000005,"PASS","FAIL")</f>
        <v>PASS</v>
      </c>
    </row>
    <row r="121" customFormat="false" ht="15" hidden="false" customHeight="false" outlineLevel="0" collapsed="false">
      <c r="A121" s="6" t="s">
        <v>352</v>
      </c>
      <c r="B121" s="9" t="n">
        <v>31922500</v>
      </c>
      <c r="C121" s="44" t="n">
        <f aca="false">PriceOfLiquidity!$B$40</f>
        <v>31922500</v>
      </c>
      <c r="D121" s="42" t="n">
        <f aca="false">C121-B121</f>
        <v>0</v>
      </c>
      <c r="E121" s="21" t="str">
        <f aca="false">IF(ABS(D121)&lt;0.5000000005,"PASS","FAIL")</f>
        <v>PASS</v>
      </c>
    </row>
    <row r="122" customFormat="false" ht="15" hidden="false" customHeight="false" outlineLevel="0" collapsed="false">
      <c r="A122" s="6" t="s">
        <v>353</v>
      </c>
      <c r="B122" s="9" t="n">
        <v>38422500</v>
      </c>
      <c r="C122" s="44" t="n">
        <f aca="false">PriceOfLiquidity!$B$41</f>
        <v>38422500</v>
      </c>
      <c r="D122" s="42" t="n">
        <f aca="false">C122-B122</f>
        <v>0</v>
      </c>
      <c r="E122" s="21" t="str">
        <f aca="false">IF(ABS(D122)&lt;0.5000000005,"PASS","FAIL")</f>
        <v>PASS</v>
      </c>
    </row>
    <row r="123" customFormat="false" ht="15" hidden="false" customHeight="false" outlineLevel="0" collapsed="false">
      <c r="A123" s="6" t="s">
        <v>354</v>
      </c>
      <c r="B123" s="45" t="n">
        <v>0.3724</v>
      </c>
      <c r="C123" s="46" t="n">
        <f aca="false">PriceOfLiquidity!$B$42</f>
        <v>0.372438024594964</v>
      </c>
      <c r="D123" s="42" t="n">
        <f aca="false">C123-B123</f>
        <v>3.80245949641034E-005</v>
      </c>
      <c r="E123" s="21" t="str">
        <f aca="false">IF(ABS(D123)&lt;0.00005000000005,"PASS","FAIL")</f>
        <v>PASS</v>
      </c>
    </row>
    <row r="124" customFormat="false" ht="15" hidden="false" customHeight="false" outlineLevel="0" collapsed="false">
      <c r="A124" s="6" t="s">
        <v>355</v>
      </c>
      <c r="B124" s="9" t="n">
        <v>11250000</v>
      </c>
      <c r="C124" s="44" t="n">
        <f aca="false">PriceOfLiquidity!$B$43</f>
        <v>11250000</v>
      </c>
      <c r="D124" s="42" t="n">
        <f aca="false">C124-B124</f>
        <v>0</v>
      </c>
      <c r="E124" s="21" t="str">
        <f aca="false">IF(ABS(D124)&lt;0.5000000005,"PASS","FAIL")</f>
        <v>PASS</v>
      </c>
    </row>
    <row r="125" customFormat="false" ht="15" hidden="false" customHeight="false" outlineLevel="0" collapsed="false">
      <c r="A125" s="6" t="s">
        <v>356</v>
      </c>
      <c r="B125" s="9" t="n">
        <v>29985000</v>
      </c>
      <c r="C125" s="44" t="n">
        <f aca="false">PriceOfLiquidity!$B$44</f>
        <v>29985000</v>
      </c>
      <c r="D125" s="42" t="n">
        <f aca="false">C125-B125</f>
        <v>0</v>
      </c>
      <c r="E125" s="21" t="str">
        <f aca="false">IF(ABS(D125)&lt;0.5000000005,"PASS","FAIL")</f>
        <v>PASS</v>
      </c>
    </row>
    <row r="126" customFormat="false" ht="15" hidden="false" customHeight="false" outlineLevel="0" collapsed="false">
      <c r="A126" s="6" t="s">
        <v>357</v>
      </c>
      <c r="B126" s="9" t="n">
        <v>36485000</v>
      </c>
      <c r="C126" s="44" t="n">
        <f aca="false">PriceOfLiquidity!$B$45</f>
        <v>36485000</v>
      </c>
      <c r="D126" s="42" t="n">
        <f aca="false">C126-B126</f>
        <v>0</v>
      </c>
      <c r="E126" s="21" t="str">
        <f aca="false">IF(ABS(D126)&lt;0.5000000005,"PASS","FAIL")</f>
        <v>PASS</v>
      </c>
    </row>
    <row r="127" customFormat="false" ht="15" hidden="false" customHeight="false" outlineLevel="0" collapsed="false">
      <c r="A127" s="6" t="s">
        <v>358</v>
      </c>
      <c r="B127" s="9" t="n">
        <v>40347500</v>
      </c>
      <c r="C127" s="44" t="n">
        <f aca="false">PriceOfLiquidity!$B$46</f>
        <v>40347500</v>
      </c>
      <c r="D127" s="42" t="n">
        <f aca="false">C127-B127</f>
        <v>0</v>
      </c>
      <c r="E127" s="21" t="str">
        <f aca="false">IF(ABS(D127)&lt;0.5000000005,"PASS","FAIL")</f>
        <v>PASS</v>
      </c>
    </row>
    <row r="128" customFormat="false" ht="15" hidden="false" customHeight="false" outlineLevel="0" collapsed="false">
      <c r="A128" s="6" t="s">
        <v>359</v>
      </c>
      <c r="B128" s="45" t="n">
        <v>0.1638</v>
      </c>
      <c r="C128" s="46" t="n">
        <f aca="false">PriceOfLiquidity!$B$47</f>
        <v>0.16382675506537</v>
      </c>
      <c r="D128" s="42" t="n">
        <f aca="false">C128-B128</f>
        <v>2.67550653695881E-005</v>
      </c>
      <c r="E128" s="21" t="str">
        <f aca="false">IF(ABS(D128)&lt;0.00005000000005,"PASS","FAIL")</f>
        <v>PASS</v>
      </c>
    </row>
    <row r="129" customFormat="false" ht="15" hidden="false" customHeight="false" outlineLevel="0" collapsed="false">
      <c r="A129" s="6" t="s">
        <v>360</v>
      </c>
      <c r="B129" s="9" t="n">
        <v>31096500</v>
      </c>
      <c r="C129" s="44" t="n">
        <f aca="false">PriceOfLiquidity!$B$48</f>
        <v>31096500</v>
      </c>
      <c r="D129" s="42" t="n">
        <f aca="false">C129-B129</f>
        <v>0</v>
      </c>
      <c r="E129" s="21" t="str">
        <f aca="false">IF(ABS(D129)&lt;0.5000000005,"PASS","FAIL")</f>
        <v>PASS</v>
      </c>
    </row>
    <row r="130" customFormat="false" ht="15" hidden="false" customHeight="false" outlineLevel="0" collapsed="false">
      <c r="A130" s="6" t="s">
        <v>361</v>
      </c>
      <c r="B130" s="9" t="n">
        <v>38410000</v>
      </c>
      <c r="C130" s="44" t="n">
        <f aca="false">PriceOfLiquidity!$B$49</f>
        <v>38410000</v>
      </c>
      <c r="D130" s="42" t="n">
        <f aca="false">C130-B130</f>
        <v>0</v>
      </c>
      <c r="E130" s="21" t="str">
        <f aca="false">IF(ABS(D130)&lt;0.5000000005,"PASS","FAIL")</f>
        <v>PASS</v>
      </c>
    </row>
    <row r="131" customFormat="false" ht="15" hidden="false" customHeight="false" outlineLevel="0" collapsed="false">
      <c r="A131" s="6" t="s">
        <v>233</v>
      </c>
      <c r="B131" s="16" t="n">
        <v>4.3739</v>
      </c>
      <c r="C131" s="38" t="n">
        <f aca="false">PriceOfLiquidity!$B$50</f>
        <v>4.37386097370476</v>
      </c>
      <c r="D131" s="42" t="n">
        <f aca="false">C131-B131</f>
        <v>-3.90262952354448E-005</v>
      </c>
      <c r="E131" s="21" t="str">
        <f aca="false">IF(ABS(D131)&lt;0.00005000000005,"PASS","FAIL")</f>
        <v>PASS</v>
      </c>
    </row>
    <row r="132" customFormat="false" ht="15" hidden="false" customHeight="false" outlineLevel="0" collapsed="false">
      <c r="A132" s="6" t="s">
        <v>362</v>
      </c>
      <c r="B132" s="9" t="n">
        <v>29159000</v>
      </c>
      <c r="C132" s="44" t="n">
        <f aca="false">PriceOfLiquidity!$B$51</f>
        <v>29159000</v>
      </c>
      <c r="D132" s="42" t="n">
        <f aca="false">C132-B132</f>
        <v>0</v>
      </c>
      <c r="E132" s="21" t="str">
        <f aca="false">IF(ABS(D132)&lt;0.5000000005,"PASS","FAIL")</f>
        <v>PASS</v>
      </c>
    </row>
    <row r="133" customFormat="false" ht="15" hidden="false" customHeight="false" outlineLevel="0" collapsed="false">
      <c r="A133" s="6" t="s">
        <v>233</v>
      </c>
      <c r="B133" s="16" t="n">
        <v>5.7615</v>
      </c>
      <c r="C133" s="38" t="n">
        <f aca="false">PriceOfLiquidity!$B$52</f>
        <v>5.76151445522823</v>
      </c>
      <c r="D133" s="42" t="n">
        <f aca="false">C133-B133</f>
        <v>1.44552282312915E-005</v>
      </c>
      <c r="E133" s="21" t="str">
        <f aca="false">IF(ABS(D133)&lt;0.00005000000005,"PASS","FAIL")</f>
        <v>PASS</v>
      </c>
    </row>
    <row r="134" customFormat="false" ht="15" hidden="false" customHeight="false" outlineLevel="0" collapsed="false">
      <c r="A134" s="6" t="s">
        <v>363</v>
      </c>
      <c r="B134" s="45" t="n">
        <v>1.0655</v>
      </c>
      <c r="C134" s="46" t="n">
        <f aca="false">PriceOfLiquidity!$B$53</f>
        <v>1.0655337867393</v>
      </c>
      <c r="D134" s="42" t="n">
        <f aca="false">C134-B134</f>
        <v>3.37867392972147E-005</v>
      </c>
      <c r="E134" s="21" t="str">
        <f aca="false">IF(ABS(D134)&lt;0.00005000000005,"PASS","FAIL")</f>
        <v>PASS</v>
      </c>
    </row>
    <row r="135" customFormat="false" ht="15" hidden="false" customHeight="false" outlineLevel="0" collapsed="false">
      <c r="A135" s="6" t="s">
        <v>364</v>
      </c>
      <c r="B135" s="45" t="n">
        <v>1.9558</v>
      </c>
      <c r="C135" s="46" t="n">
        <f aca="false">PriceOfLiquidity!$B$54</f>
        <v>1.95584147441624</v>
      </c>
      <c r="D135" s="42" t="n">
        <f aca="false">C135-B135</f>
        <v>4.14744162418046E-005</v>
      </c>
      <c r="E135" s="21" t="str">
        <f aca="false">IF(ABS(D135)&lt;0.00005000000005,"PASS","FAIL")</f>
        <v>PASS</v>
      </c>
    </row>
    <row r="136" customFormat="false" ht="15" hidden="false" customHeight="false" outlineLevel="0" collapsed="false">
      <c r="A136" s="6" t="s">
        <v>365</v>
      </c>
      <c r="B136" s="45" t="n">
        <v>0.7255</v>
      </c>
      <c r="C136" s="46" t="n">
        <f aca="false">PriceOfLiquidity!$B$55</f>
        <v>0.725478098310855</v>
      </c>
      <c r="D136" s="42" t="n">
        <f aca="false">C136-B136</f>
        <v>-2.19016891447321E-005</v>
      </c>
      <c r="E136" s="21" t="str">
        <f aca="false">IF(ABS(D136)&lt;0.00005000000005,"PASS","FAIL")</f>
        <v>PASS</v>
      </c>
    </row>
    <row r="137" customFormat="false" ht="15" hidden="false" customHeight="false" outlineLevel="0" collapsed="false">
      <c r="A137" s="6" t="s">
        <v>366</v>
      </c>
      <c r="B137" s="45" t="n">
        <v>1.7236</v>
      </c>
      <c r="C137" s="46" t="n">
        <f aca="false">PriceOfLiquidity!$B$56</f>
        <v>1.72364745844659</v>
      </c>
      <c r="D137" s="42" t="n">
        <f aca="false">C137-B137</f>
        <v>4.74584465905981E-005</v>
      </c>
      <c r="E137" s="21" t="str">
        <f aca="false">IF(ABS(D137)&lt;0.00005000000005,"PASS","FAIL")</f>
        <v>PASS</v>
      </c>
    </row>
    <row r="138" customFormat="false" ht="15" hidden="false" customHeight="false" outlineLevel="0" collapsed="false">
      <c r="A138" s="6" t="s">
        <v>367</v>
      </c>
      <c r="B138" s="9" t="n">
        <v>800000000</v>
      </c>
      <c r="C138" s="44" t="n">
        <f aca="false">PriceOfLiquidity!$B$57</f>
        <v>800000000</v>
      </c>
      <c r="D138" s="42" t="n">
        <f aca="false">C138-B138</f>
        <v>0</v>
      </c>
      <c r="E138" s="21" t="str">
        <f aca="false">IF(ABS(D138)&lt;0.5000000005,"PASS","FAIL")</f>
        <v>PASS</v>
      </c>
    </row>
    <row r="139" customFormat="false" ht="15" hidden="false" customHeight="false" outlineLevel="0" collapsed="false">
      <c r="A139" s="6" t="s">
        <v>368</v>
      </c>
      <c r="B139" s="45" t="n">
        <v>2.3283</v>
      </c>
      <c r="C139" s="46" t="n">
        <f aca="false">WhichTestBinds!$B$4</f>
        <v>2.32827949901121</v>
      </c>
      <c r="D139" s="42" t="n">
        <f aca="false">C139-B139</f>
        <v>-2.05009887941365E-005</v>
      </c>
      <c r="E139" s="21" t="str">
        <f aca="false">IF(ABS(D139)&lt;0.00005000000005,"PASS","FAIL")</f>
        <v>PASS</v>
      </c>
    </row>
    <row r="140" customFormat="false" ht="15" hidden="false" customHeight="false" outlineLevel="0" collapsed="false">
      <c r="A140" s="6" t="s">
        <v>369</v>
      </c>
      <c r="B140" s="8" t="n">
        <v>143130666.67</v>
      </c>
      <c r="C140" s="33" t="n">
        <f aca="false">WhichTestBinds!$B$7</f>
        <v>143130666.666667</v>
      </c>
      <c r="D140" s="42" t="n">
        <f aca="false">C140-B140</f>
        <v>-0.00333333015441895</v>
      </c>
      <c r="E140" s="21" t="str">
        <f aca="false">IF(ABS(D140)&lt;0.005000000005,"PASS","FAIL")</f>
        <v>PASS</v>
      </c>
    </row>
    <row r="141" customFormat="false" ht="15" hidden="false" customHeight="false" outlineLevel="0" collapsed="false">
      <c r="A141" s="6" t="s">
        <v>370</v>
      </c>
      <c r="B141" s="35" t="n">
        <v>0.148032</v>
      </c>
      <c r="C141" s="36" t="n">
        <f aca="false">WhichTestBinds!$C$7</f>
        <v>0.148031746031746</v>
      </c>
      <c r="D141" s="42" t="n">
        <f aca="false">C141-B141</f>
        <v>-2.53968253927095E-007</v>
      </c>
      <c r="E141" s="21" t="str">
        <f aca="false">IF(ABS(D141)&lt;0.0000005000000005,"PASS","FAIL")</f>
        <v>PASS</v>
      </c>
    </row>
    <row r="142" customFormat="false" ht="15" hidden="false" customHeight="false" outlineLevel="0" collapsed="false">
      <c r="A142" s="6" t="s">
        <v>371</v>
      </c>
      <c r="B142" s="9" t="n">
        <v>106190000</v>
      </c>
      <c r="C142" s="44" t="n">
        <f aca="false">WhichTestBinds!$B$10</f>
        <v>106190000</v>
      </c>
      <c r="D142" s="42" t="n">
        <f aca="false">C142-B142</f>
        <v>0</v>
      </c>
      <c r="E142" s="21" t="str">
        <f aca="false">IF(ABS(D142)&lt;0.5000000005,"PASS","FAIL")</f>
        <v>PASS</v>
      </c>
    </row>
    <row r="143" customFormat="false" ht="15" hidden="false" customHeight="false" outlineLevel="0" collapsed="false">
      <c r="A143" s="6" t="s">
        <v>370</v>
      </c>
      <c r="B143" s="35" t="n">
        <v>0.367917</v>
      </c>
      <c r="C143" s="36" t="n">
        <f aca="false">WhichTestBinds!$C$10</f>
        <v>0.367916666666667</v>
      </c>
      <c r="D143" s="42" t="n">
        <f aca="false">C143-B143</f>
        <v>-3.33333333324415E-007</v>
      </c>
      <c r="E143" s="21" t="str">
        <f aca="false">IF(ABS(D143)&lt;0.0000005000000005,"PASS","FAIL")</f>
        <v>PASS</v>
      </c>
    </row>
    <row r="144" customFormat="false" ht="15" hidden="false" customHeight="false" outlineLevel="0" collapsed="false">
      <c r="A144" s="6" t="s">
        <v>372</v>
      </c>
      <c r="B144" s="9" t="n">
        <v>61810000</v>
      </c>
      <c r="C144" s="44" t="n">
        <f aca="false">WhichTestBinds!$B$14</f>
        <v>61810000</v>
      </c>
      <c r="D144" s="42" t="n">
        <f aca="false">C144-B144</f>
        <v>0</v>
      </c>
      <c r="E144" s="21" t="str">
        <f aca="false">IF(ABS(D144)&lt;0.5000000005,"PASS","FAIL")</f>
        <v>PASS</v>
      </c>
    </row>
    <row r="145" customFormat="false" ht="15" hidden="false" customHeight="false" outlineLevel="0" collapsed="false">
      <c r="A145" s="6" t="s">
        <v>373</v>
      </c>
      <c r="B145" s="9" t="n">
        <v>113890000</v>
      </c>
      <c r="C145" s="44" t="n">
        <f aca="false">WhichTestBinds!$B$11</f>
        <v>113890000</v>
      </c>
      <c r="D145" s="42" t="n">
        <f aca="false">C145-B145</f>
        <v>0</v>
      </c>
      <c r="E145" s="21" t="str">
        <f aca="false">IF(ABS(D145)&lt;0.5000000005,"PASS","FAIL")</f>
        <v>PASS</v>
      </c>
    </row>
    <row r="146" customFormat="false" ht="15" hidden="false" customHeight="false" outlineLevel="0" collapsed="false">
      <c r="A146" s="6" t="s">
        <v>370</v>
      </c>
      <c r="B146" s="35" t="n">
        <v>0.322083</v>
      </c>
      <c r="C146" s="36" t="n">
        <f aca="false">WhichTestBinds!$C$11</f>
        <v>0.322083333333333</v>
      </c>
      <c r="D146" s="42" t="n">
        <f aca="false">C146-B146</f>
        <v>3.33333333379926E-007</v>
      </c>
      <c r="E146" s="21" t="str">
        <f aca="false">IF(ABS(D146)&lt;0.0000005000000005,"PASS","FAIL")</f>
        <v>PASS</v>
      </c>
    </row>
    <row r="147" customFormat="false" ht="15" hidden="false" customHeight="false" outlineLevel="0" collapsed="false">
      <c r="A147" s="6" t="s">
        <v>374</v>
      </c>
      <c r="B147" s="9" t="n">
        <v>102886000</v>
      </c>
      <c r="C147" s="44" t="n">
        <f aca="false">WhichTestBinds!$B$12</f>
        <v>102886000</v>
      </c>
      <c r="D147" s="42" t="n">
        <f aca="false">C147-B147</f>
        <v>0</v>
      </c>
      <c r="E147" s="21" t="str">
        <f aca="false">IF(ABS(D147)&lt;0.5000000005,"PASS","FAIL")</f>
        <v>PASS</v>
      </c>
    </row>
    <row r="148" customFormat="false" ht="15" hidden="false" customHeight="false" outlineLevel="0" collapsed="false">
      <c r="A148" s="6" t="s">
        <v>370</v>
      </c>
      <c r="B148" s="35" t="n">
        <v>0.387583</v>
      </c>
      <c r="C148" s="36" t="n">
        <f aca="false">WhichTestBinds!$C$12</f>
        <v>0.387583333333333</v>
      </c>
      <c r="D148" s="42" t="n">
        <f aca="false">C148-B148</f>
        <v>3.33333333268904E-007</v>
      </c>
      <c r="E148" s="21" t="str">
        <f aca="false">IF(ABS(D148)&lt;0.0000005000000005,"PASS","FAIL")</f>
        <v>PASS</v>
      </c>
    </row>
    <row r="149" customFormat="false" ht="15" hidden="false" customHeight="false" outlineLevel="0" collapsed="false">
      <c r="A149" s="6" t="s">
        <v>375</v>
      </c>
      <c r="B149" s="35" t="n">
        <v>0.157599</v>
      </c>
      <c r="C149" s="36" t="n">
        <f aca="false">WhichTestBinds!$B$15</f>
        <v>0.157599206349206</v>
      </c>
      <c r="D149" s="42" t="n">
        <f aca="false">C149-B149</f>
        <v>2.06349206444134E-007</v>
      </c>
      <c r="E149" s="21" t="str">
        <f aca="false">IF(ABS(D149)&lt;0.0000005000000005,"PASS","FAIL")</f>
        <v>PASS</v>
      </c>
    </row>
    <row r="150" customFormat="false" ht="15" hidden="false" customHeight="false" outlineLevel="0" collapsed="false">
      <c r="A150" s="6" t="s">
        <v>376</v>
      </c>
      <c r="B150" s="35" t="n">
        <v>0.01125</v>
      </c>
      <c r="C150" s="36" t="n">
        <f aca="false">WhichTestBinds!$B$16</f>
        <v>0.01125</v>
      </c>
      <c r="D150" s="42" t="n">
        <f aca="false">C150-B150</f>
        <v>0</v>
      </c>
      <c r="E150" s="21" t="str">
        <f aca="false">IF(ABS(D150)&lt;0.0000005000000005,"PASS","FAIL")</f>
        <v>PASS</v>
      </c>
    </row>
    <row r="151" customFormat="false" ht="15" hidden="false" customHeight="false" outlineLevel="0" collapsed="false">
      <c r="A151" s="6" t="s">
        <v>377</v>
      </c>
      <c r="B151" s="35" t="n">
        <v>0.034583</v>
      </c>
      <c r="C151" s="36" t="n">
        <f aca="false">WhichTestBinds!$B$17</f>
        <v>0.0345833333333333</v>
      </c>
      <c r="D151" s="42" t="n">
        <f aca="false">C151-B151</f>
        <v>3.33333333296659E-007</v>
      </c>
      <c r="E151" s="21" t="str">
        <f aca="false">IF(ABS(D151)&lt;0.0000005000000005,"PASS","FAIL")</f>
        <v>PASS</v>
      </c>
    </row>
    <row r="152" customFormat="false" ht="15" hidden="false" customHeight="false" outlineLevel="0" collapsed="false">
      <c r="A152" s="6" t="s">
        <v>378</v>
      </c>
      <c r="B152" s="16" t="n">
        <v>4.7462</v>
      </c>
      <c r="C152" s="38" t="n">
        <f aca="false">WhichTestBinds!$B$18</f>
        <v>4.7462096242584</v>
      </c>
      <c r="D152" s="42" t="n">
        <f aca="false">C152-B152</f>
        <v>9.62425840445036E-006</v>
      </c>
      <c r="E152" s="21" t="str">
        <f aca="false">IF(ABS(D152)&lt;0.00005000000005,"PASS","FAIL")</f>
        <v>PASS</v>
      </c>
    </row>
    <row r="153" customFormat="false" ht="15" hidden="false" customHeight="false" outlineLevel="0" collapsed="false">
      <c r="A153" s="6" t="s">
        <v>379</v>
      </c>
      <c r="B153" s="8" t="n">
        <v>13424657.53</v>
      </c>
      <c r="C153" s="33" t="n">
        <f aca="false">WhichTestBinds!$B$23</f>
        <v>13424657.5342466</v>
      </c>
      <c r="D153" s="42" t="n">
        <f aca="false">C153-B153</f>
        <v>0.00424657575786114</v>
      </c>
      <c r="E153" s="21" t="str">
        <f aca="false">IF(ABS(D153)&lt;0.005000000005,"PASS","FAIL")</f>
        <v>PASS</v>
      </c>
    </row>
    <row r="154" customFormat="false" ht="15" hidden="false" customHeight="false" outlineLevel="0" collapsed="false">
      <c r="A154" s="6" t="s">
        <v>380</v>
      </c>
      <c r="B154" s="45" t="n">
        <v>0.0799</v>
      </c>
      <c r="C154" s="46" t="n">
        <f aca="false">WhichTestBinds!$B$24</f>
        <v>0.0799086757990868</v>
      </c>
      <c r="D154" s="42" t="n">
        <f aca="false">C154-B154</f>
        <v>8.67579908675475E-006</v>
      </c>
      <c r="E154" s="21" t="str">
        <f aca="false">IF(ABS(D154)&lt;0.00005000000005,"PASS","FAIL")</f>
        <v>PASS</v>
      </c>
    </row>
    <row r="156" customFormat="false" ht="15" hidden="false" customHeight="false" outlineLevel="0" collapsed="false">
      <c r="A156" s="21" t="s">
        <v>381</v>
      </c>
      <c r="E156" s="21" t="str">
        <f aca="false">IF(COUNTIF(E5:E154,"FAIL")=0,"PASS","FAIL")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2026-09-04T00:26:15Z</dcterms:created>
  <dc:creator>openpyxl</dc:creator>
  <dc:description/>
  <dc:language>en-US</dc:language>
  <cp:lastModifiedBy/>
  <dcterms:modified xsi:type="dcterms:W3CDTF">2026-09-24T01:44:21Z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