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Inputs" sheetId="2" state="visible" r:id="rId4"/>
    <sheet name="2. NAV-Years" sheetId="3" state="visible" r:id="rId5"/>
    <sheet name="3. The Blended Cost" sheetId="4" state="visible" r:id="rId6"/>
    <sheet name="4. The Break-Even" sheetId="5" state="visible" r:id="rId7"/>
    <sheet name="5. Deal Count" sheetId="6" state="visible" r:id="rId8"/>
    <sheet name="6. The Collision" sheetId="7" state="visible" r:id="rId9"/>
    <sheet name="7. 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<sst xmlns="http://schemas.openxmlformats.org/spreadsheetml/2006/main" count="208" uniqueCount="183">
  <si>
    <t xml:space="preserve">What a Co-Investment Programme Actually Saves</t>
  </si>
  <si>
    <t xml:space="preserve">A companion to Appendix F, and to Chapter 14</t>
  </si>
  <si>
    <t xml:space="preserve">This book is unusually numerate. Seventeen per cent of its blocks carry a figure, it has fourteen tables, and Chapter 5 solves a pacing problem properly — the NAV-years multiplier, the commitment budget, the build-up path, the sensitivities. Chapter 14 is the exception. It is the chapter about moving money between instruments and it contains one price, one budget percentage and one per-deal cap. It performs no arithmetic at all.</t>
  </si>
  <si>
    <t xml:space="preserve">That would be a small thing except for one sentence. Chapter 3, having built the gross-to-net bridge, says of co-investment and secondaries: "Chapter 14 owns those mechanics." Chapter 14 does not own them. It disposes of the question in one clause — a co-investment programme "of any scale meaningfully lowers the blended cost of the whole portfolio" — and moves on. This file closes that loop, on the book's own figures.</t>
  </si>
  <si>
    <t xml:space="preserve">What the arithmetic says</t>
  </si>
  <si>
    <t xml:space="preserve">One. The saving is 37 basis points. On the chapter's own fifteen per cent budget the blended cost falls from 2.54 to 2.17 per cent of net asset value — about 4.4 million a year on a cost line of 38. That is real and it is not nothing. It is also one ninth of the cost line, bought with a new decision process, dedicated staff, a five-business-day standard and roughly three executions a year. To HALVE the cost line you would need fifty-three per cent of commitments in co-investment and 58 per cent of net asset value sitting in single assets — which violates the chapter's own sizing discipline four paragraphs earlier.</t>
  </si>
  <si>
    <t xml:space="preserve">Two. "Of any scale" is precisely the wrong phrase. Most of the incremental cost is fixed — a process, a named decision-maker, standing counsel, screening capacity — so below roughly twenty million a year of co-investment budget the overhead eats most of the saving. There is a minimum viable scale and the chapter asserts the opposite.</t>
  </si>
  <si>
    <t xml:space="preserve">Three. The whole fee advantage is consumed by a 22.8 per cent total-loss rate on co-invested capital. A primary dollar returns 1.544 times net; a free co-investment at the same gross returns 2.000. Break-even is a 1.544 gross multiple, or 9.08 per cent a year against 14.87. Sheet 4 solves it.</t>
  </si>
  <si>
    <t xml:space="preserve">Four, and this is the finding. The binding constraint is not the budget and not the per-deal cap. It is DEAL COUNT. At the chapter's cap of one third of a fund commitment, a fifteen per cent budget buys 2.7 deals a year, so a single total loss is 37 per cent of the annual cohort — well above the 22.8 per cent break-even. You need at least 4.4 deals a year to survive one loss, which means a cap of about 8 rather than 13. The chapter's own cap is 1.6 times too large for its own budget.</t>
  </si>
  <si>
    <t xml:space="preserve">Five. Meanwhile Chapter 14 warns about co-investments sized at "three or four times a typical fund commitment" — 120 to 160 million. The annual budget is 35.7 million. The chapter is warning about a failure mode its own policy cannot fund, and is silent about the one its policy produces.</t>
  </si>
  <si>
    <t xml:space="preserve">And a collision the book does not notice</t>
  </si>
  <si>
    <t xml:space="preserve">A co-investment is drawn in full at close and compounds for five years. That is 7.73 NAV-years per dollar committed against 6.30 for a primary — twenty-three per cent more net asset value per dollar. So an investor that adopts Chapter 14's fifteen per cent policy AND keeps Chapter 5's commitment budget lands at 1,551 against a 1,500 target: 3.4 per cent over, without a single new decision. At thirty per cent it is 6.8 per cent over. Chapter 5 warns about exactly this kind of mechanical drift from the other direction and neither chapter connects them.</t>
  </si>
  <si>
    <t xml:space="preserve">The sheets</t>
  </si>
  <si>
    <t xml:space="preserve">1. The Inputs — every figure, in one place, and where in the book it comes from</t>
  </si>
  <si>
    <t xml:space="preserve">2. NAV-Years — the step nobody does</t>
  </si>
  <si>
    <t xml:space="preserve">3. The Blended Cost — the saving, at six programme sizes</t>
  </si>
  <si>
    <t xml:space="preserve">4. The Break-Even — what the fee advantage buys, and what erases it</t>
  </si>
  <si>
    <t xml:space="preserve">5. Deal Count — the constraint that actually binds</t>
  </si>
  <si>
    <t xml:space="preserve">6. The Collision with Chapter 5 — and the hold period that decides it</t>
  </si>
  <si>
    <t xml:space="preserve">7. Checks — every figure in the appendix, recomputed here</t>
  </si>
  <si>
    <t xml:space="preserve">Conventions</t>
  </si>
  <si>
    <t xml:space="preserve">Amber cells are inputs. Grey cells are formulas. Nothing is locked or protected.</t>
  </si>
  <si>
    <t xml:space="preserve">Every figure is illustrative. The plan, the funds and the deals are invented; the parameters are chosen so that the arithmetic ties back to Chapters 3, 5 and 6 rather than because they describe any particular market.</t>
  </si>
  <si>
    <t xml:space="preserve">Every figure in this file</t>
  </si>
  <si>
    <t xml:space="preserve">Almost all of it is already in the book — in Chapters 3, 5 and 6. Chapter 14 supplies three numbers and joins none of them.</t>
  </si>
  <si>
    <t xml:space="preserve">Value</t>
  </si>
  <si>
    <t xml:space="preserve">Where in the book</t>
  </si>
  <si>
    <t xml:space="preserve">Plan assets</t>
  </si>
  <si>
    <t xml:space="preserve">Chapter 5</t>
  </si>
  <si>
    <t xml:space="preserve">Target allocation to private markets</t>
  </si>
  <si>
    <t xml:space="preserve">NAV-years per unit of PRIMARY commitment</t>
  </si>
  <si>
    <t xml:space="preserve">Chapter 5 — the multiplier the pacing answer rests on</t>
  </si>
  <si>
    <t xml:space="preserve">Fund gross multiple</t>
  </si>
  <si>
    <t xml:space="preserve">Chapter 3</t>
  </si>
  <si>
    <t xml:space="preserve">Fund NET multiple, after fees and carry</t>
  </si>
  <si>
    <t xml:space="preserve">Chapter 3's gross-to-net bridge</t>
  </si>
  <si>
    <t xml:space="preserve">Fees and expenses, share of commitment over life</t>
  </si>
  <si>
    <t xml:space="preserve">Chapter 3: 150 of fees + 10 of expenses on 1,000</t>
  </si>
  <si>
    <t xml:space="preserve">Average fund commitment</t>
  </si>
  <si>
    <t xml:space="preserve">Chapter 6 table</t>
  </si>
  <si>
    <t xml:space="preserve">Per-deal cap, share of the fund commitment</t>
  </si>
  <si>
    <t xml:space="preserve">Chapter 14 [780]</t>
  </si>
  <si>
    <t xml:space="preserve">Co-investment budget, share of commitments</t>
  </si>
  <si>
    <t xml:space="preserve">Co-investment hold period, years</t>
  </si>
  <si>
    <t xml:space="preserve">implied by Chapter 14</t>
  </si>
  <si>
    <t xml:space="preserve">Dedicated staff cost, per year</t>
  </si>
  <si>
    <t xml:space="preserve">Chapter 14 [780] names two staff</t>
  </si>
  <si>
    <t xml:space="preserve">Legal and confirmatory diligence, per execution</t>
  </si>
  <si>
    <t xml:space="preserve">illustrative</t>
  </si>
  <si>
    <t xml:space="preserve">Screening cost, per deal looked at and declined</t>
  </si>
  <si>
    <t xml:space="preserve">Deals screened for each one executed</t>
  </si>
  <si>
    <t xml:space="preserve">Chapter 14: "declined more than it accepted"</t>
  </si>
  <si>
    <t xml:space="preserve">Row 7 is the number that makes the whole file tie to the book: 0.16 of commitment in fees and expenses reproduces Chapter 3's programme cost line of 30 on 1,200 of average net asset value — 2.5 per cent — without being told to. That is check 18.</t>
  </si>
  <si>
    <t xml:space="preserve">The step nobody does</t>
  </si>
  <si>
    <t xml:space="preserve">Chapter 5 solves the pacing problem with one multiplier: 6.30 NAV-years per unit of primary commitment. A co-investment is a different instrument and nobody re-derives it.</t>
  </si>
  <si>
    <t xml:space="preserve">Reading</t>
  </si>
  <si>
    <t xml:space="preserve">Target net asset value</t>
  </si>
  <si>
    <t xml:space="preserve">the plan's private markets target</t>
  </si>
  <si>
    <t xml:space="preserve">NAV-years, primary</t>
  </si>
  <si>
    <t xml:space="preserve">COMMITMENT BUDGET</t>
  </si>
  <si>
    <t xml:space="preserve">Chapter 5 gets 238 — this reproduces it</t>
  </si>
  <si>
    <t xml:space="preserve">And now the co-investment, which the book never does</t>
  </si>
  <si>
    <t xml:space="preserve">Implied annual growth rate</t>
  </si>
  <si>
    <t xml:space="preserve">the same gross multiple, over the co-investment's own hold</t>
  </si>
  <si>
    <t xml:space="preserve">Year</t>
  </si>
  <si>
    <t xml:space="preserve">NAV per 100 committed</t>
  </si>
  <si>
    <t xml:space="preserve">NAV-YEARS, CO-INVESTMENT</t>
  </si>
  <si>
    <t xml:space="preserve">against a primary</t>
  </si>
  <si>
    <t xml:space="preserve">MORE NET ASSET VALUE PER DOLLAR COMMITTED</t>
  </si>
  <si>
    <t xml:space="preserve">A co-investment is drawn in full on the day it closes and never returns capital until it exits. A fund draws over five years and starts distributing before it has finished drawing. Same dollar of commitment, twenty-three per cent more net asset value carried. That difference is the reason sheet 6 exists, and it appears nowhere in the book.</t>
  </si>
  <si>
    <t xml:space="preserve">What the programme actually saves</t>
  </si>
  <si>
    <t xml:space="preserve">Chapter 14: a co-investment programme "of any scale meaningfully lowers the blended cost of the whole portfolio". This is the size of "meaningfully".</t>
  </si>
  <si>
    <t xml:space="preserve">Co-invest share of commitments</t>
  </si>
  <si>
    <t xml:space="preserve">Primary</t>
  </si>
  <si>
    <t xml:space="preserve">Co-invest</t>
  </si>
  <si>
    <t xml:space="preserve">Deals a year</t>
  </si>
  <si>
    <t xml:space="preserve">Net asset value</t>
  </si>
  <si>
    <t xml:space="preserve">Annual cost</t>
  </si>
  <si>
    <t xml:space="preserve">COST / NAV</t>
  </si>
  <si>
    <t xml:space="preserve">THE SAVING AT 15%</t>
  </si>
  <si>
    <t xml:space="preserve">in basis points:</t>
  </si>
  <si>
    <t xml:space="preserve">in money, per year</t>
  </si>
  <si>
    <t xml:space="preserve">Thirty-seven basis points. About 4.4 million a year against a cost line of 38 — a ninth of it — bought with a decision process, dedicated staff, a five-business-day response standard and under three executions a year. Real, and a long way from what "meaningfully lowers the blended cost of the whole portfolio" suggests.</t>
  </si>
  <si>
    <t xml:space="preserve">Read the bottom row before deciding it should be bigger. Halving the cost line takes roughly half of all commitments in co-investment and more than half of net asset value in single assets — which is exactly what the chapter warns against two paragraphs earlier. The saving does not scale gracefully, and the chapter's phrase "of any scale" points the wrong way in both directions: too small and fixed overhead eats it, too large and concentration eats the portfolio.</t>
  </si>
  <si>
    <t xml:space="preserve">What the fee advantage buys, and what erases it</t>
  </si>
  <si>
    <t xml:space="preserve">Chapter 14 never reaches the risk side of its own recommendation. This is that side.</t>
  </si>
  <si>
    <t xml:space="preserve">Per 100 committed</t>
  </si>
  <si>
    <t xml:space="preserve">Primary route, gross</t>
  </si>
  <si>
    <t xml:space="preserve">Primary route, NET of fees and carry</t>
  </si>
  <si>
    <t xml:space="preserve">Chapter 3's bridge</t>
  </si>
  <si>
    <t xml:space="preserve">Free co-investment, same gross</t>
  </si>
  <si>
    <t xml:space="preserve">no fee, no carry</t>
  </si>
  <si>
    <t xml:space="preserve">THE FEE ADVANTAGE</t>
  </si>
  <si>
    <t xml:space="preserve">per 100 of co-invested capital</t>
  </si>
  <si>
    <t xml:space="preserve">Two ways to erase it</t>
  </si>
  <si>
    <t xml:space="preserve">Break-even co-investment GROSS multiple</t>
  </si>
  <si>
    <t xml:space="preserve">below this the primary route wins</t>
  </si>
  <si>
    <t xml:space="preserve">  as an annual rate</t>
  </si>
  <si>
    <t xml:space="preserve">  against the fund's own gross rate</t>
  </si>
  <si>
    <t xml:space="preserve">BREAK-EVEN TOTAL-LOSS RATE</t>
  </si>
  <si>
    <t xml:space="preserve">share of co-invested capital that can go to zero</t>
  </si>
  <si>
    <t xml:space="preserve">Twenty-two point eight per cent. That is the whole fee advantage, expressed as the amount of co-invested capital that can be written off before the investor would have been better off taking the same exposure through the fund and paying for it. It is not a tail assumption: Chapter 14 itself warns twice about adverse selection in syndicated deals, and single assets do not diversify.</t>
  </si>
  <si>
    <t xml:space="preserve">Which reframes the whole decision. A co-investment programme is not a cost-reduction exercise with a risk footnote. It is a bet that your selection on single assets is good enough to stay under a loss rate of about one in four, in exchange for 37 basis points. Stated that way, most investment committees would want to see the manager's own syndicated-versus-retained record before approving it — which is precisely the question Chapter 14 tells them to ask and never explains why.</t>
  </si>
  <si>
    <t xml:space="preserve">The constraint that actually binds</t>
  </si>
  <si>
    <t xml:space="preserve">Not the budget. Not the per-deal cap. The number of deals the cap and the budget allow.</t>
  </si>
  <si>
    <t xml:space="preserve">Co-investment budget</t>
  </si>
  <si>
    <t xml:space="preserve">15 per cent of commitments</t>
  </si>
  <si>
    <t xml:space="preserve">The chapter's per-deal cap</t>
  </si>
  <si>
    <t xml:space="preserve">one third of a 40 fund commitment</t>
  </si>
  <si>
    <t xml:space="preserve">DEALS A YEAR</t>
  </si>
  <si>
    <t xml:space="preserve">what the two together allow</t>
  </si>
  <si>
    <t xml:space="preserve">One total loss, as a share of the cohort</t>
  </si>
  <si>
    <t xml:space="preserve">Break-even total-loss rate</t>
  </si>
  <si>
    <t xml:space="preserve">from sheet 4</t>
  </si>
  <si>
    <t xml:space="preserve">So how many deals does it take?</t>
  </si>
  <si>
    <t xml:space="preserve">Per deal</t>
  </si>
  <si>
    <t xml:space="preserve">To survive ONE total loss</t>
  </si>
  <si>
    <t xml:space="preserve">To survive TWO</t>
  </si>
  <si>
    <t xml:space="preserve">The chapter's policy allows</t>
  </si>
  <si>
    <t xml:space="preserve">The cap is too large by a factor of</t>
  </si>
  <si>
    <t xml:space="preserve">13.33 against the 8.14 the arithmetic allows</t>
  </si>
  <si>
    <t xml:space="preserve">This is the finding. The binding constraint on a co-investment programme is deal count, and the chapter's own two parameters set it below the level at which a single failure is survivable. Cutting the per-deal cap from a third of a fund commitment to about a fifth fixes it — same budget, same staff, more names.</t>
  </si>
  <si>
    <t xml:space="preserve">And note what Chapter 14 warns about instead: co-investments sized at "three or four times a typical fund commitment", which is 120 to 160. The annual budget is 35.7. The chapter is warning about a failure mode its own policy cannot fund, while the one its policy does produce goes unmentioned.</t>
  </si>
  <si>
    <t xml:space="preserve">Two policies from the same book, applied together</t>
  </si>
  <si>
    <t xml:space="preserve">Chapter 5 solves the commitment budget on 6.30 NAV-years. Chapter 14 adds an instrument that carries 7.73. Nothing in either chapter reconciles them.</t>
  </si>
  <si>
    <t xml:space="preserve">NAV-years, co-investment</t>
  </si>
  <si>
    <t xml:space="preserve">Co-investment share of commitments</t>
  </si>
  <si>
    <t xml:space="preserve">BLENDED NAV-YEARS</t>
  </si>
  <si>
    <t xml:space="preserve">what the portfolio actually carries</t>
  </si>
  <si>
    <t xml:space="preserve">Commitment budget, unchanged</t>
  </si>
  <si>
    <t xml:space="preserve">Chapter 5's answer</t>
  </si>
  <si>
    <t xml:space="preserve">NET ASSET VALUE IT PRODUCES</t>
  </si>
  <si>
    <t xml:space="preserve">Target</t>
  </si>
  <si>
    <t xml:space="preserve">OVERSHOOT</t>
  </si>
  <si>
    <t xml:space="preserve">without a single new decision</t>
  </si>
  <si>
    <t xml:space="preserve">And the input that decides it: how long a co-investment is actually held</t>
  </si>
  <si>
    <t xml:space="preserve">Hold, years</t>
  </si>
  <si>
    <t xml:space="preserve">NAV-years</t>
  </si>
  <si>
    <t xml:space="preserve">Blended</t>
  </si>
  <si>
    <t xml:space="preserve">Overshoot</t>
  </si>
  <si>
    <t xml:space="preserve">At five years the portfolio runs 3.4 per cent over target; at seven it runs 15 per cent over; at three it runs under. An investor cannot choose the hold period of a co-investment — the sponsor does — so this is not a dial, it is an exposure. The honest treatment is to re-solve the commitment budget on the blended multiplier, and to re-solve it again when the realised hold period turns out to differ from the assumption.</t>
  </si>
  <si>
    <t xml:space="preserve">Chapter 5 spends its length warning about mechanical drift into and out of the allocation band. This is the same drift, produced by the book's own Chapter 14 policy, and neither chapter mentions the other. That is worth more to an investor than either chapter alone.</t>
  </si>
  <si>
    <t xml:space="preserve">Every figure in Appendix F, recomputed here</t>
  </si>
  <si>
    <t xml:space="preserve">Two of these tie the file back to the book rather than to the appendix. If they fail, nothing else here should be believed.</t>
  </si>
  <si>
    <t xml:space="preserve">Figure</t>
  </si>
  <si>
    <t xml:space="preserve">Appendix F</t>
  </si>
  <si>
    <t xml:space="preserve">This file</t>
  </si>
  <si>
    <t xml:space="preserve">Status</t>
  </si>
  <si>
    <t xml:space="preserve">Note</t>
  </si>
  <si>
    <t xml:space="preserve">Commitment budget</t>
  </si>
  <si>
    <t xml:space="preserve">tol 0.2</t>
  </si>
  <si>
    <t xml:space="preserve">Co-investment annual growth rate</t>
  </si>
  <si>
    <t xml:space="preserve">tol 0.0005</t>
  </si>
  <si>
    <t xml:space="preserve">tol 0.005</t>
  </si>
  <si>
    <t xml:space="preserve">  more NAV per dollar than a primary</t>
  </si>
  <si>
    <t xml:space="preserve">tol 0.003</t>
  </si>
  <si>
    <t xml:space="preserve">Blended cost, no programme</t>
  </si>
  <si>
    <t xml:space="preserve">tol 0.0002</t>
  </si>
  <si>
    <t xml:space="preserve">Blended cost at 15%</t>
  </si>
  <si>
    <t xml:space="preserve">The saving, in basis points</t>
  </si>
  <si>
    <t xml:space="preserve">tol 0.6</t>
  </si>
  <si>
    <t xml:space="preserve">The saving, in money</t>
  </si>
  <si>
    <t xml:space="preserve">tol 0.1</t>
  </si>
  <si>
    <t xml:space="preserve">Break-even gross multiple</t>
  </si>
  <si>
    <t xml:space="preserve">tol 0.002</t>
  </si>
  <si>
    <t xml:space="preserve">Deals a year at the chapter's cap</t>
  </si>
  <si>
    <t xml:space="preserve">tol 0.02</t>
  </si>
  <si>
    <t xml:space="preserve">One total loss, share of the cohort</t>
  </si>
  <si>
    <t xml:space="preserve">Deals needed to survive one loss</t>
  </si>
  <si>
    <t xml:space="preserve">tol 0.05</t>
  </si>
  <si>
    <t xml:space="preserve">  per deal, to get there</t>
  </si>
  <si>
    <t xml:space="preserve">The cap is too large by</t>
  </si>
  <si>
    <t xml:space="preserve">Blended NAV-years at 15%</t>
  </si>
  <si>
    <t xml:space="preserve">Overshoot against Chapter 5's target</t>
  </si>
  <si>
    <t xml:space="preserve">Ties to Chapter 3: fees on 1,000 of commitment</t>
  </si>
  <si>
    <t xml:space="preserve">150 fees + 10 expenses</t>
  </si>
  <si>
    <t xml:space="preserve">Ties to Chapter 3: cost line at 1,200 of average NAV</t>
  </si>
  <si>
    <t xml:space="preserve">Chapter 3 says 2.5%</t>
  </si>
  <si>
    <t xml:space="preserve">Ties to Chapter 5: the commitment budget it solves for</t>
  </si>
  <si>
    <t xml:space="preserve">Chapter 5 says 238</t>
  </si>
  <si>
    <t xml:space="preserve">A single total loss exceeds the break-even at the chapter's cap</t>
  </si>
  <si>
    <t xml:space="preserve">must be 1 — the chapter implies otherwise</t>
  </si>
  <si>
    <t xml:space="preserve">Checks passing</t>
  </si>
</sst>
</file>

<file path=xl/styles.xml><?xml version="1.0" encoding="utf-8"?>
<styleSheet xmlns="http://schemas.openxmlformats.org/spreadsheetml/2006/main">
  <numFmts count="13">
    <numFmt numFmtId="164" formatCode="General"/>
    <numFmt numFmtId="165" formatCode="#,##0.00"/>
    <numFmt numFmtId="166" formatCode="0.0%"/>
    <numFmt numFmtId="167" formatCode="0.0"/>
    <numFmt numFmtId="168" formatCode="0.00\x"/>
    <numFmt numFmtId="169" formatCode="0.000\x"/>
    <numFmt numFmtId="170" formatCode="0"/>
    <numFmt numFmtId="171" formatCode="#,##0.0"/>
    <numFmt numFmtId="172" formatCode="0.000"/>
    <numFmt numFmtId="173" formatCode="\+0.0%;\-0.0%"/>
    <numFmt numFmtId="174" formatCode="0.00"/>
    <numFmt numFmtId="175" formatCode="0.000%"/>
    <numFmt numFmtId="176" formatCode="0.00%"/>
  </numFmts>
  <fonts count="15">
    <font>
      <sz val="11"/>
      <color theme="1"/>
      <name val="Calibri"/>
      <family val="2"/>
      <charset val="1"/>
    </font>
    <font>
      <sz val="10"/>
      <name val="Arial"/>
      <family val="0"/>
    </font>
    <font>
      <sz val="10"/>
      <name val="Arial"/>
      <family val="0"/>
    </font>
    <font>
      <sz val="10"/>
      <name val="Arial"/>
      <family val="0"/>
    </font>
    <font>
      <b val="true"/>
      <sz val="15"/>
      <color rgb="FF1F2733"/>
      <name val="Cambria"/>
      <family val="0"/>
      <charset val="1"/>
    </font>
    <font>
      <i val="true"/>
      <sz val="10"/>
      <color rgb="FF5A6470"/>
      <name val="Cambria"/>
      <family val="0"/>
      <charset val="1"/>
    </font>
    <font>
      <sz val="10.5"/>
      <color rgb="FF1F2733"/>
      <name val="Cambria"/>
      <family val="0"/>
      <charset val="1"/>
    </font>
    <font>
      <b val="true"/>
      <sz val="11.5"/>
      <color rgb="FF1F2733"/>
      <name val="Cambria"/>
      <family val="0"/>
      <charset val="1"/>
    </font>
    <font>
      <b val="true"/>
      <sz val="14"/>
      <color rgb="FF1F2733"/>
      <name val="Cambria"/>
      <family val="0"/>
      <charset val="1"/>
    </font>
    <font>
      <b val="true"/>
      <sz val="10"/>
      <color rgb="FFFFFFFF"/>
      <name val="Cambria"/>
      <family val="0"/>
      <charset val="1"/>
    </font>
    <font>
      <b val="true"/>
      <sz val="11"/>
      <color rgb="FF1B4E8C"/>
      <name val="Cambria"/>
      <family val="0"/>
      <charset val="1"/>
    </font>
    <font>
      <sz val="11"/>
      <color rgb="FF1F2733"/>
      <name val="Cambria"/>
      <family val="0"/>
      <charset val="1"/>
    </font>
    <font>
      <b val="true"/>
      <sz val="10.5"/>
      <color rgb="FF1F2733"/>
      <name val="Cambria"/>
      <family val="0"/>
      <charset val="1"/>
    </font>
    <font>
      <b val="true"/>
      <sz val="11"/>
      <color rgb="FF1F2733"/>
      <name val="Cambria"/>
      <family val="0"/>
      <charset val="1"/>
    </font>
    <font>
      <b val="true"/>
      <sz val="11.5"/>
      <color rgb="FF8C3A2E"/>
      <name val="Cambria"/>
      <family val="0"/>
      <charset val="1"/>
    </font>
  </fonts>
  <fills count="6">
    <fill>
      <patternFill patternType="none"/>
    </fill>
    <fill>
      <patternFill patternType="gray125"/>
    </fill>
    <fill>
      <patternFill patternType="solid">
        <fgColor rgb="FF1F2733"/>
        <bgColor rgb="FF333300"/>
      </patternFill>
    </fill>
    <fill>
      <patternFill patternType="solid">
        <fgColor rgb="FFFDF3DC"/>
        <bgColor rgb="FFFBF0E4"/>
      </patternFill>
    </fill>
    <fill>
      <patternFill patternType="solid">
        <fgColor rgb="FFF1F3F5"/>
        <bgColor rgb="FFFBF0E4"/>
      </patternFill>
    </fill>
    <fill>
      <patternFill patternType="solid">
        <fgColor rgb="FFFBF0E4"/>
        <bgColor rgb="FFFDF3DC"/>
      </patternFill>
    </fill>
  </fills>
  <borders count="2">
    <border diagonalUp="false" diagonalDown="false">
      <left/>
      <right/>
      <top/>
      <bottom/>
      <diagonal/>
    </border>
    <border diagonalUp="false" diagonalDown="false">
      <left style="thin">
        <color rgb="FFC9CFD6"/>
      </left>
      <right style="thin">
        <color rgb="FFC9CFD6"/>
      </right>
      <top style="thin">
        <color rgb="FFC9CFD6"/>
      </top>
      <bottom style="thin">
        <color rgb="FFC9CF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11" fillId="4"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5" fontId="11" fillId="4" borderId="1" xfId="0" applyFont="true" applyBorder="true" applyAlignment="false" applyProtection="false">
      <alignment horizontal="general" vertical="bottom" textRotation="0" wrapText="false" indent="0" shrinkToFit="false"/>
      <protection locked="true" hidden="false"/>
    </xf>
    <xf numFmtId="167" fontId="11" fillId="4"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13" fillId="5" borderId="1" xfId="0" applyFont="true" applyBorder="true" applyAlignment="false" applyProtection="false">
      <alignment horizontal="general" vertical="bottom" textRotation="0" wrapText="false" indent="0" shrinkToFit="false"/>
      <protection locked="true" hidden="false"/>
    </xf>
    <xf numFmtId="166" fontId="13" fillId="4" borderId="1" xfId="0" applyFont="true" applyBorder="true" applyAlignment="false" applyProtection="false">
      <alignment horizontal="general" vertical="bottom" textRotation="0" wrapText="false" indent="0" shrinkToFit="false"/>
      <protection locked="true" hidden="false"/>
    </xf>
    <xf numFmtId="170" fontId="11" fillId="4" borderId="1" xfId="0" applyFont="true" applyBorder="true" applyAlignment="false" applyProtection="false">
      <alignment horizontal="general" vertical="bottom" textRotation="0" wrapText="false" indent="0" shrinkToFit="false"/>
      <protection locked="true" hidden="false"/>
    </xf>
    <xf numFmtId="171" fontId="11" fillId="4" borderId="1" xfId="0" applyFont="true" applyBorder="true" applyAlignment="false" applyProtection="false">
      <alignment horizontal="general" vertical="bottom" textRotation="0" wrapText="false" indent="0" shrinkToFit="false"/>
      <protection locked="true" hidden="false"/>
    </xf>
    <xf numFmtId="172" fontId="13" fillId="5" borderId="1" xfId="0" applyFont="true" applyBorder="true" applyAlignment="false" applyProtection="false">
      <alignment horizontal="general" vertical="bottom" textRotation="0" wrapText="false" indent="0" shrinkToFit="false"/>
      <protection locked="true" hidden="false"/>
    </xf>
    <xf numFmtId="167" fontId="13" fillId="4" borderId="1" xfId="0" applyFont="true" applyBorder="true" applyAlignment="false" applyProtection="false">
      <alignment horizontal="general" vertical="bottom" textRotation="0" wrapText="false" indent="0" shrinkToFit="false"/>
      <protection locked="true" hidden="false"/>
    </xf>
    <xf numFmtId="173" fontId="13" fillId="5" borderId="1" xfId="0" applyFont="true" applyBorder="true" applyAlignment="false" applyProtection="false">
      <alignment horizontal="general" vertical="bottom" textRotation="0" wrapText="false" indent="0" shrinkToFit="false"/>
      <protection locked="true" hidden="false"/>
    </xf>
    <xf numFmtId="174" fontId="11" fillId="4" borderId="1" xfId="0" applyFont="true" applyBorder="true" applyAlignment="false" applyProtection="false">
      <alignment horizontal="general" vertical="bottom" textRotation="0" wrapText="false" indent="0" shrinkToFit="false"/>
      <protection locked="true" hidden="false"/>
    </xf>
    <xf numFmtId="175" fontId="13" fillId="5" borderId="1" xfId="0" applyFont="true" applyBorder="true" applyAlignment="false" applyProtection="false">
      <alignment horizontal="general" vertical="bottom" textRotation="0" wrapText="false" indent="0" shrinkToFit="false"/>
      <protection locked="true" hidden="false"/>
    </xf>
    <xf numFmtId="175" fontId="11" fillId="4" borderId="1" xfId="0" applyFont="true" applyBorder="true" applyAlignment="false" applyProtection="false">
      <alignment horizontal="general" vertical="bottom" textRotation="0" wrapText="false" indent="0" shrinkToFit="false"/>
      <protection locked="true" hidden="false"/>
    </xf>
    <xf numFmtId="165" fontId="13" fillId="4" borderId="1" xfId="0" applyFont="true" applyBorder="true" applyAlignment="false" applyProtection="false">
      <alignment horizontal="general" vertical="bottom" textRotation="0" wrapText="false" indent="0" shrinkToFit="false"/>
      <protection locked="true" hidden="false"/>
    </xf>
    <xf numFmtId="171" fontId="13" fillId="5" borderId="1" xfId="0" applyFont="true" applyBorder="true" applyAlignment="false" applyProtection="false">
      <alignment horizontal="general" vertical="bottom" textRotation="0" wrapText="false" indent="0" shrinkToFit="false"/>
      <protection locked="true" hidden="false"/>
    </xf>
    <xf numFmtId="169" fontId="13" fillId="4" borderId="1" xfId="0" applyFont="true" applyBorder="true" applyAlignment="false" applyProtection="false">
      <alignment horizontal="general" vertical="bottom" textRotation="0" wrapText="false" indent="0" shrinkToFit="false"/>
      <protection locked="true" hidden="false"/>
    </xf>
    <xf numFmtId="176" fontId="11" fillId="4" borderId="1" xfId="0" applyFont="true" applyBorder="true" applyAlignment="false" applyProtection="false">
      <alignment horizontal="general" vertical="bottom" textRotation="0" wrapText="false" indent="0" shrinkToFit="false"/>
      <protection locked="true" hidden="false"/>
    </xf>
    <xf numFmtId="166" fontId="13" fillId="5" borderId="1" xfId="0" applyFont="true" applyBorder="true" applyAlignment="false" applyProtection="false">
      <alignment horizontal="general" vertical="bottom" textRotation="0" wrapText="false" indent="0" shrinkToFit="false"/>
      <protection locked="true" hidden="false"/>
    </xf>
    <xf numFmtId="174" fontId="13" fillId="4" borderId="1" xfId="0" applyFont="true" applyBorder="true" applyAlignment="false" applyProtection="false">
      <alignment horizontal="general" vertical="bottom" textRotation="0" wrapText="false" indent="0" shrinkToFit="false"/>
      <protection locked="true" hidden="false"/>
    </xf>
    <xf numFmtId="166" fontId="11" fillId="4" borderId="1" xfId="0" applyFont="true" applyBorder="true" applyAlignment="false" applyProtection="false">
      <alignment horizontal="general" vertical="bottom" textRotation="0" wrapText="false" indent="0" shrinkToFit="false"/>
      <protection locked="true" hidden="false"/>
    </xf>
    <xf numFmtId="164" fontId="14" fillId="4" borderId="1" xfId="0" applyFont="true" applyBorder="true" applyAlignment="false" applyProtection="false">
      <alignment horizontal="general" vertical="bottom" textRotation="0" wrapText="false" indent="0" shrinkToFit="false"/>
      <protection locked="true" hidden="false"/>
    </xf>
    <xf numFmtId="171" fontId="13" fillId="4" borderId="1" xfId="0" applyFont="true" applyBorder="true" applyAlignment="false" applyProtection="false">
      <alignment horizontal="general" vertical="bottom" textRotation="0" wrapText="false" indent="0" shrinkToFit="false"/>
      <protection locked="true" hidden="false"/>
    </xf>
    <xf numFmtId="168" fontId="13" fillId="5" borderId="1" xfId="0" applyFont="true" applyBorder="true" applyAlignment="false" applyProtection="false">
      <alignment horizontal="general" vertical="bottom" textRotation="0" wrapText="false" indent="0" shrinkToFit="false"/>
      <protection locked="true" hidden="false"/>
    </xf>
    <xf numFmtId="172" fontId="11" fillId="4" borderId="1" xfId="0" applyFont="true" applyBorder="true" applyAlignment="false" applyProtection="false">
      <alignment horizontal="general" vertical="bottom" textRotation="0" wrapText="false" indent="0" shrinkToFit="false"/>
      <protection locked="true" hidden="false"/>
    </xf>
    <xf numFmtId="170" fontId="10" fillId="3" borderId="1" xfId="0" applyFont="true" applyBorder="true" applyAlignment="false" applyProtection="false">
      <alignment horizontal="general" vertical="bottom" textRotation="0" wrapText="false" indent="0" shrinkToFit="false"/>
      <protection locked="true" hidden="false"/>
    </xf>
    <xf numFmtId="173" fontId="11" fillId="4" borderId="1" xfId="0" applyFont="true" applyBorder="true" applyAlignment="false" applyProtection="false">
      <alignment horizontal="general" vertical="bottom" textRotation="0" wrapText="false" indent="0" shrinkToFit="false"/>
      <protection locked="true" hidden="false"/>
    </xf>
    <xf numFmtId="164" fontId="13" fillId="4" borderId="1" xfId="0" applyFont="true" applyBorder="true" applyAlignment="false" applyProtection="false">
      <alignment horizontal="general" vertical="bottom" textRotation="0" wrapText="false" indent="0" shrinkToFit="false"/>
      <protection locked="true" hidden="false"/>
    </xf>
    <xf numFmtId="169" fontId="11" fillId="4" borderId="1" xfId="0" applyFont="true" applyBorder="true" applyAlignment="false" applyProtection="false">
      <alignment horizontal="general" vertical="bottom" textRotation="0" wrapText="false" indent="0" shrinkToFit="false"/>
      <protection locked="true" hidden="false"/>
    </xf>
    <xf numFmtId="168" fontId="11" fillId="4" borderId="1" xfId="0" applyFont="true" applyBorder="true" applyAlignment="false" applyProtection="false">
      <alignment horizontal="general" vertical="bottom" textRotation="0" wrapText="false" indent="0" shrinkToFit="false"/>
      <protection locked="true" hidden="false"/>
    </xf>
    <xf numFmtId="170" fontId="13" fillId="4" borderId="1" xfId="0" applyFont="true" applyBorder="true" applyAlignment="false" applyProtection="false">
      <alignment horizontal="general" vertical="bottom" textRotation="0" wrapText="false" indent="0" shrinkToFit="false"/>
      <protection locked="true" hidden="false"/>
    </xf>
    <xf numFmtId="164" fontId="13"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3DC"/>
      <rgbColor rgb="FFF1F3F5"/>
      <rgbColor rgb="FF660066"/>
      <rgbColor rgb="FFFF8080"/>
      <rgbColor rgb="FF0066CC"/>
      <rgbColor rgb="FFC9CFD6"/>
      <rgbColor rgb="FF000080"/>
      <rgbColor rgb="FFFF00FF"/>
      <rgbColor rgb="FFFFFF00"/>
      <rgbColor rgb="FF00FFFF"/>
      <rgbColor rgb="FF800080"/>
      <rgbColor rgb="FF800000"/>
      <rgbColor rgb="FF008080"/>
      <rgbColor rgb="FF0000FF"/>
      <rgbColor rgb="FF00CCFF"/>
      <rgbColor rgb="FFCCFFFF"/>
      <rgbColor rgb="FFCCFFCC"/>
      <rgbColor rgb="FFFBF0E4"/>
      <rgbColor rgb="FF99CCFF"/>
      <rgbColor rgb="FFFF99CC"/>
      <rgbColor rgb="FFCC99FF"/>
      <rgbColor rgb="FFFFCC99"/>
      <rgbColor rgb="FF3366FF"/>
      <rgbColor rgb="FF33CCCC"/>
      <rgbColor rgb="FF99CC00"/>
      <rgbColor rgb="FFFFCC00"/>
      <rgbColor rgb="FFFF9900"/>
      <rgbColor rgb="FFFF6600"/>
      <rgbColor rgb="FF5A6470"/>
      <rgbColor rgb="FF969696"/>
      <rgbColor rgb="FF003366"/>
      <rgbColor rgb="FF339966"/>
      <rgbColor rgb="FF003300"/>
      <rgbColor rgb="FF333300"/>
      <rgbColor rgb="FF8C3A2E"/>
      <rgbColor rgb="FF993366"/>
      <rgbColor rgb="FF1B4E8C"/>
      <rgbColor rgb="FF1F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4"/>
  </cols>
  <sheetData>
    <row r="1" customFormat="false" ht="18.55" hidden="false" customHeight="false" outlineLevel="0" collapsed="false">
      <c r="A1" s="1" t="s">
        <v>0</v>
      </c>
    </row>
    <row r="2" customFormat="false" ht="15" hidden="false" customHeight="false" outlineLevel="0" collapsed="false">
      <c r="A2" s="2" t="s">
        <v>1</v>
      </c>
    </row>
    <row r="4" customFormat="false" ht="75" hidden="false" customHeight="true" outlineLevel="0" collapsed="false">
      <c r="A4" s="3" t="s">
        <v>2</v>
      </c>
    </row>
    <row r="6" customFormat="false" ht="75" hidden="false" customHeight="true" outlineLevel="0" collapsed="false">
      <c r="A6" s="3" t="s">
        <v>3</v>
      </c>
    </row>
    <row r="8" customFormat="false" ht="15" hidden="false" customHeight="false" outlineLevel="0" collapsed="false">
      <c r="A8" s="4" t="s">
        <v>4</v>
      </c>
    </row>
    <row r="9" customFormat="false" ht="105" hidden="false" customHeight="true" outlineLevel="0" collapsed="false">
      <c r="A9" s="3" t="s">
        <v>5</v>
      </c>
    </row>
    <row r="10" customFormat="false" ht="60" hidden="false" customHeight="true" outlineLevel="0" collapsed="false">
      <c r="A10" s="3" t="s">
        <v>6</v>
      </c>
    </row>
    <row r="11" customFormat="false" ht="60" hidden="false" customHeight="true" outlineLevel="0" collapsed="false">
      <c r="A11" s="3" t="s">
        <v>7</v>
      </c>
    </row>
    <row r="12" customFormat="false" ht="90" hidden="false" customHeight="true" outlineLevel="0" collapsed="false">
      <c r="A12" s="3" t="s">
        <v>8</v>
      </c>
    </row>
    <row r="13" customFormat="false" ht="60" hidden="false" customHeight="true" outlineLevel="0" collapsed="false">
      <c r="A13" s="3" t="s">
        <v>9</v>
      </c>
    </row>
    <row r="15" customFormat="false" ht="15" hidden="false" customHeight="false" outlineLevel="0" collapsed="false">
      <c r="A15" s="4" t="s">
        <v>10</v>
      </c>
    </row>
    <row r="16" customFormat="false" ht="90" hidden="false" customHeight="true" outlineLevel="0" collapsed="false">
      <c r="A16" s="3" t="s">
        <v>11</v>
      </c>
    </row>
    <row r="18" customFormat="false" ht="15" hidden="false" customHeight="false" outlineLevel="0" collapsed="false">
      <c r="A18" s="4" t="s">
        <v>12</v>
      </c>
    </row>
    <row r="19" customFormat="false" ht="15" hidden="false" customHeight="true" outlineLevel="0" collapsed="false">
      <c r="A19" s="3" t="s">
        <v>13</v>
      </c>
    </row>
    <row r="20" customFormat="false" ht="15" hidden="false" customHeight="true" outlineLevel="0" collapsed="false">
      <c r="A20" s="3" t="s">
        <v>14</v>
      </c>
    </row>
    <row r="21" customFormat="false" ht="15" hidden="false" customHeight="true" outlineLevel="0" collapsed="false">
      <c r="A21" s="3" t="s">
        <v>15</v>
      </c>
    </row>
    <row r="22" customFormat="false" ht="15" hidden="false" customHeight="true" outlineLevel="0" collapsed="false">
      <c r="A22" s="3" t="s">
        <v>16</v>
      </c>
    </row>
    <row r="23" customFormat="false" ht="15" hidden="false" customHeight="true" outlineLevel="0" collapsed="false">
      <c r="A23" s="3" t="s">
        <v>17</v>
      </c>
    </row>
    <row r="24" customFormat="false" ht="15" hidden="false" customHeight="true" outlineLevel="0" collapsed="false">
      <c r="A24" s="3" t="s">
        <v>18</v>
      </c>
    </row>
    <row r="25" customFormat="false" ht="15" hidden="false" customHeight="true" outlineLevel="0" collapsed="false">
      <c r="A25" s="3" t="s">
        <v>19</v>
      </c>
    </row>
    <row r="27" customFormat="false" ht="15" hidden="false" customHeight="false" outlineLevel="0" collapsed="false">
      <c r="A27" s="4" t="s">
        <v>20</v>
      </c>
    </row>
    <row r="28" customFormat="false" ht="15" hidden="false" customHeight="true" outlineLevel="0" collapsed="false">
      <c r="A28" s="3" t="s">
        <v>21</v>
      </c>
    </row>
    <row r="29" customFormat="false" ht="45" hidden="false" customHeight="true" outlineLevel="0" collapsed="false">
      <c r="A29" s="3" t="s">
        <v>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5"/>
    <col collapsed="false" customWidth="true" hidden="false" outlineLevel="0" max="4" min="4" style="0" width="54"/>
  </cols>
  <sheetData>
    <row r="1" customFormat="false" ht="17.35" hidden="false" customHeight="false" outlineLevel="0" collapsed="false">
      <c r="A1" s="5" t="s">
        <v>23</v>
      </c>
    </row>
    <row r="2" customFormat="false" ht="15" hidden="false" customHeight="false" outlineLevel="0" collapsed="false">
      <c r="A2" s="2" t="s">
        <v>24</v>
      </c>
    </row>
    <row r="4" customFormat="false" ht="30" hidden="false" customHeight="true" outlineLevel="0" collapsed="false">
      <c r="A4" s="6"/>
      <c r="B4" s="6" t="s">
        <v>25</v>
      </c>
      <c r="C4" s="6"/>
      <c r="D4" s="6" t="s">
        <v>26</v>
      </c>
    </row>
    <row r="5" customFormat="false" ht="15" hidden="false" customHeight="false" outlineLevel="0" collapsed="false">
      <c r="A5" s="7" t="s">
        <v>27</v>
      </c>
      <c r="B5" s="8" t="n">
        <v>10000</v>
      </c>
      <c r="D5" s="9" t="s">
        <v>28</v>
      </c>
    </row>
    <row r="6" customFormat="false" ht="15" hidden="false" customHeight="false" outlineLevel="0" collapsed="false">
      <c r="A6" s="7" t="s">
        <v>29</v>
      </c>
      <c r="B6" s="10" t="n">
        <v>0.15</v>
      </c>
      <c r="D6" s="9" t="s">
        <v>28</v>
      </c>
    </row>
    <row r="7" customFormat="false" ht="15" hidden="false" customHeight="false" outlineLevel="0" collapsed="false">
      <c r="A7" s="7" t="s">
        <v>30</v>
      </c>
      <c r="B7" s="11" t="n">
        <v>6.3</v>
      </c>
      <c r="D7" s="9" t="s">
        <v>31</v>
      </c>
    </row>
    <row r="8" customFormat="false" ht="15" hidden="false" customHeight="false" outlineLevel="0" collapsed="false">
      <c r="A8" s="7" t="s">
        <v>32</v>
      </c>
      <c r="B8" s="12" t="n">
        <v>2</v>
      </c>
      <c r="D8" s="9" t="s">
        <v>33</v>
      </c>
    </row>
    <row r="9" customFormat="false" ht="15" hidden="false" customHeight="false" outlineLevel="0" collapsed="false">
      <c r="A9" s="7" t="s">
        <v>34</v>
      </c>
      <c r="B9" s="13" t="n">
        <v>1.544</v>
      </c>
      <c r="D9" s="9" t="s">
        <v>35</v>
      </c>
    </row>
    <row r="10" customFormat="false" ht="15" hidden="false" customHeight="false" outlineLevel="0" collapsed="false">
      <c r="A10" s="7" t="s">
        <v>36</v>
      </c>
      <c r="B10" s="10" t="n">
        <v>0.16</v>
      </c>
      <c r="D10" s="9" t="s">
        <v>37</v>
      </c>
    </row>
    <row r="11" customFormat="false" ht="15" hidden="false" customHeight="false" outlineLevel="0" collapsed="false">
      <c r="A11" s="7" t="s">
        <v>38</v>
      </c>
      <c r="B11" s="8" t="n">
        <v>40</v>
      </c>
      <c r="D11" s="9" t="s">
        <v>39</v>
      </c>
    </row>
    <row r="12" customFormat="false" ht="15" hidden="false" customHeight="false" outlineLevel="0" collapsed="false">
      <c r="A12" s="7" t="s">
        <v>40</v>
      </c>
      <c r="B12" s="10" t="n">
        <v>0.3333</v>
      </c>
      <c r="D12" s="9" t="s">
        <v>41</v>
      </c>
    </row>
    <row r="13" customFormat="false" ht="15" hidden="false" customHeight="false" outlineLevel="0" collapsed="false">
      <c r="A13" s="7" t="s">
        <v>42</v>
      </c>
      <c r="B13" s="10" t="n">
        <v>0.15</v>
      </c>
      <c r="D13" s="9" t="s">
        <v>41</v>
      </c>
    </row>
    <row r="14" customFormat="false" ht="15" hidden="false" customHeight="false" outlineLevel="0" collapsed="false">
      <c r="A14" s="7" t="s">
        <v>43</v>
      </c>
      <c r="B14" s="11" t="n">
        <v>5</v>
      </c>
      <c r="D14" s="9" t="s">
        <v>44</v>
      </c>
    </row>
    <row r="15" customFormat="false" ht="15" hidden="false" customHeight="false" outlineLevel="0" collapsed="false">
      <c r="A15" s="7" t="s">
        <v>45</v>
      </c>
      <c r="B15" s="8" t="n">
        <v>0.5</v>
      </c>
      <c r="D15" s="9" t="s">
        <v>46</v>
      </c>
    </row>
    <row r="16" customFormat="false" ht="15" hidden="false" customHeight="false" outlineLevel="0" collapsed="false">
      <c r="A16" s="7" t="s">
        <v>47</v>
      </c>
      <c r="B16" s="8" t="n">
        <v>0.15</v>
      </c>
      <c r="D16" s="9" t="s">
        <v>48</v>
      </c>
    </row>
    <row r="17" customFormat="false" ht="15" hidden="false" customHeight="false" outlineLevel="0" collapsed="false">
      <c r="A17" s="7" t="s">
        <v>49</v>
      </c>
      <c r="B17" s="8" t="n">
        <v>0.04</v>
      </c>
      <c r="D17" s="9" t="s">
        <v>48</v>
      </c>
    </row>
    <row r="18" customFormat="false" ht="15" hidden="false" customHeight="false" outlineLevel="0" collapsed="false">
      <c r="A18" s="7" t="s">
        <v>50</v>
      </c>
      <c r="B18" s="11" t="n">
        <v>5</v>
      </c>
      <c r="D18" s="9" t="s">
        <v>51</v>
      </c>
    </row>
    <row r="20" customFormat="false" ht="36" hidden="false" customHeight="true" outlineLevel="0" collapsed="false">
      <c r="A20" s="14" t="s">
        <v>52</v>
      </c>
      <c r="B20" s="14"/>
      <c r="C20" s="14"/>
      <c r="D20" s="14"/>
    </row>
  </sheetData>
  <mergeCells count="1">
    <mergeCell ref="A20:D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4" min="2" style="0" width="16"/>
    <col collapsed="false" customWidth="true" hidden="false" outlineLevel="0" max="5" min="5" style="0" width="46"/>
  </cols>
  <sheetData>
    <row r="1" customFormat="false" ht="17.35" hidden="false" customHeight="false" outlineLevel="0" collapsed="false">
      <c r="A1" s="5" t="s">
        <v>53</v>
      </c>
    </row>
    <row r="2" customFormat="false" ht="15" hidden="false" customHeight="false" outlineLevel="0" collapsed="false">
      <c r="A2" s="2" t="s">
        <v>54</v>
      </c>
    </row>
    <row r="4" customFormat="false" ht="30" hidden="false" customHeight="true" outlineLevel="0" collapsed="false">
      <c r="A4" s="6"/>
      <c r="B4" s="6" t="s">
        <v>25</v>
      </c>
      <c r="C4" s="6"/>
      <c r="D4" s="6" t="s">
        <v>55</v>
      </c>
    </row>
    <row r="5" customFormat="false" ht="15" hidden="false" customHeight="false" outlineLevel="0" collapsed="false">
      <c r="A5" s="7" t="s">
        <v>56</v>
      </c>
      <c r="B5" s="15" t="n">
        <f aca="false">IFERROR('1. The Inputs'!B5*'1. The Inputs'!B6,"")</f>
        <v>1500</v>
      </c>
      <c r="D5" s="9" t="s">
        <v>57</v>
      </c>
    </row>
    <row r="6" customFormat="false" ht="15" hidden="false" customHeight="false" outlineLevel="0" collapsed="false">
      <c r="A6" s="7" t="s">
        <v>58</v>
      </c>
      <c r="B6" s="16" t="n">
        <f aca="false">'1. The Inputs'!B7</f>
        <v>6.3</v>
      </c>
      <c r="D6" s="9" t="s">
        <v>28</v>
      </c>
    </row>
    <row r="7" customFormat="false" ht="15" hidden="false" customHeight="false" outlineLevel="0" collapsed="false">
      <c r="A7" s="17" t="s">
        <v>59</v>
      </c>
      <c r="B7" s="18" t="n">
        <f aca="false">IFERROR(B5/B6,"")</f>
        <v>238.095238095238</v>
      </c>
      <c r="D7" s="9" t="s">
        <v>60</v>
      </c>
    </row>
    <row r="9" customFormat="false" ht="15" hidden="false" customHeight="false" outlineLevel="0" collapsed="false">
      <c r="A9" s="4" t="s">
        <v>61</v>
      </c>
    </row>
    <row r="10" customFormat="false" ht="15" hidden="false" customHeight="false" outlineLevel="0" collapsed="false">
      <c r="A10" s="7" t="s">
        <v>62</v>
      </c>
      <c r="B10" s="19" t="n">
        <f aca="false">IFERROR('1. The Inputs'!B8^(1/'1. The Inputs'!B14)-1,"")</f>
        <v>0.148698354997035</v>
      </c>
      <c r="D10" s="9" t="s">
        <v>63</v>
      </c>
    </row>
    <row r="12" customFormat="false" ht="30" hidden="false" customHeight="true" outlineLevel="0" collapsed="false">
      <c r="A12" s="6" t="s">
        <v>64</v>
      </c>
      <c r="B12" s="6" t="s">
        <v>65</v>
      </c>
      <c r="C12" s="6"/>
      <c r="D12" s="6"/>
      <c r="E12" s="6"/>
    </row>
    <row r="13" customFormat="false" ht="15" hidden="false" customHeight="false" outlineLevel="0" collapsed="false">
      <c r="A13" s="20" t="n">
        <v>1</v>
      </c>
      <c r="B13" s="21" t="n">
        <f aca="false">IF(A13&lt;='1. The Inputs'!B14,100*(1+$B$10)^A13,"")</f>
        <v>114.869835499704</v>
      </c>
    </row>
    <row r="14" customFormat="false" ht="15" hidden="false" customHeight="false" outlineLevel="0" collapsed="false">
      <c r="A14" s="20" t="n">
        <v>2</v>
      </c>
      <c r="B14" s="21" t="n">
        <f aca="false">IF(A14&lt;='1. The Inputs'!B14,100*(1+$B$10)^A14,"")</f>
        <v>131.950791077289</v>
      </c>
    </row>
    <row r="15" customFormat="false" ht="15" hidden="false" customHeight="false" outlineLevel="0" collapsed="false">
      <c r="A15" s="20" t="n">
        <v>3</v>
      </c>
      <c r="B15" s="21" t="n">
        <f aca="false">IF(A15&lt;='1. The Inputs'!B14,100*(1+$B$10)^A15,"")</f>
        <v>151.57165665104</v>
      </c>
    </row>
    <row r="16" customFormat="false" ht="15" hidden="false" customHeight="false" outlineLevel="0" collapsed="false">
      <c r="A16" s="20" t="n">
        <v>4</v>
      </c>
      <c r="B16" s="21" t="n">
        <f aca="false">IF(A16&lt;='1. The Inputs'!B14,100*(1+$B$10)^A16,"")</f>
        <v>174.110112659225</v>
      </c>
    </row>
    <row r="17" customFormat="false" ht="15" hidden="false" customHeight="false" outlineLevel="0" collapsed="false">
      <c r="A17" s="20" t="n">
        <v>5</v>
      </c>
      <c r="B17" s="21" t="n">
        <f aca="false">IF(A17&lt;='1. The Inputs'!B14,100*(1+$B$10)^A17,"")</f>
        <v>200</v>
      </c>
    </row>
    <row r="18" customFormat="false" ht="15" hidden="false" customHeight="false" outlineLevel="0" collapsed="false">
      <c r="A18" s="20" t="n">
        <v>6</v>
      </c>
      <c r="B18" s="21" t="str">
        <f aca="false">IF(A18&lt;='1. The Inputs'!B14,100*(1+$B$10)^A18,"")</f>
        <v/>
      </c>
    </row>
    <row r="19" customFormat="false" ht="15" hidden="false" customHeight="false" outlineLevel="0" collapsed="false">
      <c r="A19" s="20" t="n">
        <v>7</v>
      </c>
      <c r="B19" s="21" t="str">
        <f aca="false">IF(A19&lt;='1. The Inputs'!B14,100*(1+$B$10)^A19,"")</f>
        <v/>
      </c>
    </row>
    <row r="20" customFormat="false" ht="15" hidden="false" customHeight="false" outlineLevel="0" collapsed="false">
      <c r="A20" s="20" t="n">
        <v>8</v>
      </c>
      <c r="B20" s="21" t="str">
        <f aca="false">IF(A20&lt;='1. The Inputs'!B14,100*(1+$B$10)^A20,"")</f>
        <v/>
      </c>
    </row>
    <row r="21" customFormat="false" ht="15" hidden="false" customHeight="false" outlineLevel="0" collapsed="false">
      <c r="A21" s="20" t="n">
        <v>9</v>
      </c>
      <c r="B21" s="21" t="str">
        <f aca="false">IF(A21&lt;='1. The Inputs'!B14,100*(1+$B$10)^A21,"")</f>
        <v/>
      </c>
    </row>
    <row r="22" customFormat="false" ht="15" hidden="false" customHeight="false" outlineLevel="0" collapsed="false">
      <c r="A22" s="20" t="n">
        <v>10</v>
      </c>
      <c r="B22" s="21" t="str">
        <f aca="false">IF(A22&lt;='1. The Inputs'!B14,100*(1+$B$10)^A22,"")</f>
        <v/>
      </c>
    </row>
    <row r="23" customFormat="false" ht="15" hidden="false" customHeight="false" outlineLevel="0" collapsed="false">
      <c r="A23" s="17" t="s">
        <v>66</v>
      </c>
      <c r="B23" s="22" t="n">
        <f aca="false">IFERROR(SUM(B13:B22)/100,"")</f>
        <v>7.72502395887258</v>
      </c>
    </row>
    <row r="24" customFormat="false" ht="15" hidden="false" customHeight="false" outlineLevel="0" collapsed="false">
      <c r="A24" s="17" t="s">
        <v>67</v>
      </c>
      <c r="B24" s="23" t="n">
        <f aca="false">B6</f>
        <v>6.3</v>
      </c>
    </row>
    <row r="25" customFormat="false" ht="15" hidden="false" customHeight="false" outlineLevel="0" collapsed="false">
      <c r="A25" s="17" t="s">
        <v>68</v>
      </c>
      <c r="B25" s="24" t="n">
        <f aca="false">IFERROR(B23/B24-1,"")</f>
        <v>0.226194279186124</v>
      </c>
    </row>
    <row r="27" customFormat="false" ht="43.5" hidden="false" customHeight="true" outlineLevel="0" collapsed="false">
      <c r="A27" s="14" t="s">
        <v>69</v>
      </c>
      <c r="B27" s="14"/>
      <c r="C27" s="14"/>
      <c r="D27" s="14"/>
      <c r="E27" s="14"/>
    </row>
  </sheetData>
  <mergeCells count="1">
    <mergeCell ref="A27:E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7" min="2" style="0" width="14"/>
    <col collapsed="false" customWidth="true" hidden="false" outlineLevel="0" max="8" min="8" style="0" width="40"/>
  </cols>
  <sheetData>
    <row r="1" customFormat="false" ht="17.35" hidden="false" customHeight="false" outlineLevel="0" collapsed="false">
      <c r="A1" s="5" t="s">
        <v>70</v>
      </c>
    </row>
    <row r="2" customFormat="false" ht="15" hidden="false" customHeight="false" outlineLevel="0" collapsed="false">
      <c r="A2" s="2" t="s">
        <v>71</v>
      </c>
    </row>
    <row r="4" customFormat="false" ht="30" hidden="false" customHeight="true" outlineLevel="0" collapsed="false">
      <c r="A4" s="6" t="s">
        <v>72</v>
      </c>
      <c r="B4" s="6" t="s">
        <v>73</v>
      </c>
      <c r="C4" s="6" t="s">
        <v>74</v>
      </c>
      <c r="D4" s="6" t="s">
        <v>75</v>
      </c>
      <c r="E4" s="6" t="s">
        <v>76</v>
      </c>
      <c r="F4" s="6" t="s">
        <v>77</v>
      </c>
      <c r="G4" s="6" t="s">
        <v>78</v>
      </c>
      <c r="H4" s="6"/>
    </row>
    <row r="5" customFormat="false" ht="15" hidden="false" customHeight="false" outlineLevel="0" collapsed="false">
      <c r="A5" s="10" t="n">
        <v>0</v>
      </c>
      <c r="B5" s="21" t="n">
        <f aca="false">IFERROR('2. NAV-Years'!$B$7*(1-A5),"")</f>
        <v>238.095238095238</v>
      </c>
      <c r="C5" s="21" t="n">
        <f aca="false">IFERROR('2. NAV-Years'!$B$7*A5,"")</f>
        <v>0</v>
      </c>
      <c r="D5" s="25" t="n">
        <f aca="false">IFERROR(C5/('1. The Inputs'!$B$11*'1. The Inputs'!$B$12),"")</f>
        <v>0</v>
      </c>
      <c r="E5" s="21" t="n">
        <f aca="false">IFERROR(B5*'1. The Inputs'!$B$7+C5*'2. NAV-Years'!$B$23,"")</f>
        <v>1500</v>
      </c>
      <c r="F5" s="15" t="n">
        <f aca="false">IFERROR('1. The Inputs'!$B$10*B5+IF(A5&gt;0,'1. The Inputs'!$B$15+'1. The Inputs'!$B$16*D5+'1. The Inputs'!$B$17*D5*('1. The Inputs'!$B$18-1),0),"")</f>
        <v>38.0952380952381</v>
      </c>
      <c r="G5" s="26" t="n">
        <f aca="false">IFERROR(F5/E5,"")</f>
        <v>0.0253968253968254</v>
      </c>
    </row>
    <row r="6" customFormat="false" ht="15" hidden="false" customHeight="false" outlineLevel="0" collapsed="false">
      <c r="A6" s="10" t="n">
        <v>0.1</v>
      </c>
      <c r="B6" s="21" t="n">
        <f aca="false">IFERROR('2. NAV-Years'!$B$7*(1-A6),"")</f>
        <v>214.285714285714</v>
      </c>
      <c r="C6" s="21" t="n">
        <f aca="false">IFERROR('2. NAV-Years'!$B$7*A6,"")</f>
        <v>23.8095238095238</v>
      </c>
      <c r="D6" s="25" t="n">
        <f aca="false">IFERROR(C6/('1. The Inputs'!$B$11*'1. The Inputs'!$B$12),"")</f>
        <v>1.78589287500179</v>
      </c>
      <c r="E6" s="21" t="n">
        <f aca="false">IFERROR(B6*'1. The Inputs'!$B$7+C6*'2. NAV-Years'!$B$23,"")</f>
        <v>1533.92914187792</v>
      </c>
      <c r="F6" s="15" t="n">
        <f aca="false">IFERROR('1. The Inputs'!$B$10*B6+IF(A6&gt;0,'1. The Inputs'!$B$15+'1. The Inputs'!$B$16*D6+'1. The Inputs'!$B$17*D6*('1. The Inputs'!$B$18-1),0),"")</f>
        <v>35.3393410769648</v>
      </c>
      <c r="G6" s="27" t="n">
        <f aca="false">IFERROR(F6/E6,"")</f>
        <v>0.0230384442880461</v>
      </c>
    </row>
    <row r="7" customFormat="false" ht="15" hidden="false" customHeight="false" outlineLevel="0" collapsed="false">
      <c r="A7" s="10" t="n">
        <v>0.15</v>
      </c>
      <c r="B7" s="21" t="n">
        <f aca="false">IFERROR('2. NAV-Years'!$B$7*(1-A7),"")</f>
        <v>202.380952380952</v>
      </c>
      <c r="C7" s="21" t="n">
        <f aca="false">IFERROR('2. NAV-Years'!$B$7*A7,"")</f>
        <v>35.7142857142857</v>
      </c>
      <c r="D7" s="25" t="n">
        <f aca="false">IFERROR(C7/('1. The Inputs'!$B$11*'1. The Inputs'!$B$12),"")</f>
        <v>2.67883931250268</v>
      </c>
      <c r="E7" s="21" t="n">
        <f aca="false">IFERROR(B7*'1. The Inputs'!$B$7+C7*'2. NAV-Years'!$B$23,"")</f>
        <v>1550.89371281688</v>
      </c>
      <c r="F7" s="15" t="n">
        <f aca="false">IFERROR('1. The Inputs'!$B$10*B7+IF(A7&gt;0,'1. The Inputs'!$B$15+'1. The Inputs'!$B$16*D7+'1. The Inputs'!$B$17*D7*('1. The Inputs'!$B$18-1),0),"")</f>
        <v>33.7113925678282</v>
      </c>
      <c r="G7" s="26" t="n">
        <f aca="false">IFERROR(F7/E7,"")</f>
        <v>0.0217367523571931</v>
      </c>
    </row>
    <row r="8" customFormat="false" ht="15" hidden="false" customHeight="false" outlineLevel="0" collapsed="false">
      <c r="A8" s="10" t="n">
        <v>0.25</v>
      </c>
      <c r="B8" s="21" t="n">
        <f aca="false">IFERROR('2. NAV-Years'!$B$7*(1-A8),"")</f>
        <v>178.571428571429</v>
      </c>
      <c r="C8" s="21" t="n">
        <f aca="false">IFERROR('2. NAV-Years'!$B$7*A8,"")</f>
        <v>59.5238095238095</v>
      </c>
      <c r="D8" s="25" t="n">
        <f aca="false">IFERROR(C8/('1. The Inputs'!$B$11*'1. The Inputs'!$B$12),"")</f>
        <v>4.46473218750447</v>
      </c>
      <c r="E8" s="21" t="n">
        <f aca="false">IFERROR(B8*'1. The Inputs'!$B$7+C8*'2. NAV-Years'!$B$23,"")</f>
        <v>1584.8228546948</v>
      </c>
      <c r="F8" s="15" t="n">
        <f aca="false">IFERROR('1. The Inputs'!$B$10*B8+IF(A8&gt;0,'1. The Inputs'!$B$15+'1. The Inputs'!$B$16*D8+'1. The Inputs'!$B$17*D8*('1. The Inputs'!$B$18-1),0),"")</f>
        <v>30.455495549555</v>
      </c>
      <c r="G8" s="27" t="n">
        <f aca="false">IFERROR(F8/E8,"")</f>
        <v>0.0192169714484715</v>
      </c>
    </row>
    <row r="9" customFormat="false" ht="15" hidden="false" customHeight="false" outlineLevel="0" collapsed="false">
      <c r="A9" s="10" t="n">
        <v>0.3</v>
      </c>
      <c r="B9" s="21" t="n">
        <f aca="false">IFERROR('2. NAV-Years'!$B$7*(1-A9),"")</f>
        <v>166.666666666667</v>
      </c>
      <c r="C9" s="21" t="n">
        <f aca="false">IFERROR('2. NAV-Years'!$B$7*A9,"")</f>
        <v>71.4285714285714</v>
      </c>
      <c r="D9" s="25" t="n">
        <f aca="false">IFERROR(C9/('1. The Inputs'!$B$11*'1. The Inputs'!$B$12),"")</f>
        <v>5.35767862500536</v>
      </c>
      <c r="E9" s="21" t="n">
        <f aca="false">IFERROR(B9*'1. The Inputs'!$B$7+C9*'2. NAV-Years'!$B$23,"")</f>
        <v>1601.78742563376</v>
      </c>
      <c r="F9" s="15" t="n">
        <f aca="false">IFERROR('1. The Inputs'!$B$10*B9+IF(A9&gt;0,'1. The Inputs'!$B$15+'1. The Inputs'!$B$16*D9+'1. The Inputs'!$B$17*D9*('1. The Inputs'!$B$18-1),0),"")</f>
        <v>28.8275470404183</v>
      </c>
      <c r="G9" s="27" t="n">
        <f aca="false">IFERROR(F9/E9,"")</f>
        <v>0.0179971115886445</v>
      </c>
    </row>
    <row r="10" customFormat="false" ht="15" hidden="false" customHeight="false" outlineLevel="0" collapsed="false">
      <c r="A10" s="10" t="n">
        <v>0.5</v>
      </c>
      <c r="B10" s="21" t="n">
        <f aca="false">IFERROR('2. NAV-Years'!$B$7*(1-A10),"")</f>
        <v>119.047619047619</v>
      </c>
      <c r="C10" s="21" t="n">
        <f aca="false">IFERROR('2. NAV-Years'!$B$7*A10,"")</f>
        <v>119.047619047619</v>
      </c>
      <c r="D10" s="25" t="n">
        <f aca="false">IFERROR(C10/('1. The Inputs'!$B$11*'1. The Inputs'!$B$12),"")</f>
        <v>8.92946437500893</v>
      </c>
      <c r="E10" s="21" t="n">
        <f aca="false">IFERROR(B10*'1. The Inputs'!$B$7+C10*'2. NAV-Years'!$B$23,"")</f>
        <v>1669.64570938959</v>
      </c>
      <c r="F10" s="15" t="n">
        <f aca="false">IFERROR('1. The Inputs'!$B$10*B10+IF(A10&gt;0,'1. The Inputs'!$B$15+'1. The Inputs'!$B$16*D10+'1. The Inputs'!$B$17*D10*('1. The Inputs'!$B$18-1),0),"")</f>
        <v>22.3157530038718</v>
      </c>
      <c r="G10" s="27" t="n">
        <f aca="false">IFERROR(F10/E10,"")</f>
        <v>0.0133655618544549</v>
      </c>
    </row>
    <row r="12" customFormat="false" ht="15" hidden="false" customHeight="false" outlineLevel="0" collapsed="false">
      <c r="A12" s="17" t="s">
        <v>79</v>
      </c>
      <c r="G12" s="26" t="n">
        <f aca="false">IFERROR(G5-G7,"")</f>
        <v>0.0036600730396323</v>
      </c>
      <c r="H12" s="9" t="s">
        <v>80</v>
      </c>
    </row>
    <row r="13" customFormat="false" ht="15" hidden="false" customHeight="false" outlineLevel="0" collapsed="false">
      <c r="H13" s="23" t="n">
        <f aca="false">IFERROR((G5-G7)*10000,"")</f>
        <v>36.600730396323</v>
      </c>
    </row>
    <row r="14" customFormat="false" ht="15" hidden="false" customHeight="false" outlineLevel="0" collapsed="false">
      <c r="A14" s="17" t="s">
        <v>81</v>
      </c>
      <c r="G14" s="28" t="n">
        <f aca="false">IFERROR(F5-F7,"")</f>
        <v>4.38384552740988</v>
      </c>
    </row>
    <row r="16" customFormat="false" ht="43.5" hidden="false" customHeight="true" outlineLevel="0" collapsed="false">
      <c r="A16" s="14" t="s">
        <v>82</v>
      </c>
      <c r="B16" s="14"/>
      <c r="C16" s="14"/>
      <c r="D16" s="14"/>
      <c r="E16" s="14"/>
      <c r="F16" s="14"/>
      <c r="G16" s="14"/>
      <c r="H16" s="14"/>
    </row>
    <row r="18" customFormat="false" ht="51.75" hidden="false" customHeight="true" outlineLevel="0" collapsed="false">
      <c r="A18" s="14" t="s">
        <v>83</v>
      </c>
      <c r="B18" s="14"/>
      <c r="C18" s="14"/>
      <c r="D18" s="14"/>
      <c r="E18" s="14"/>
      <c r="F18" s="14"/>
      <c r="G18" s="14"/>
      <c r="H18" s="14"/>
    </row>
  </sheetData>
  <mergeCells count="2">
    <mergeCell ref="A16:H16"/>
    <mergeCell ref="A18:H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6"/>
    <col collapsed="false" customWidth="true" hidden="false" outlineLevel="0" max="4" min="4" style="0" width="50"/>
  </cols>
  <sheetData>
    <row r="1" customFormat="false" ht="17.35" hidden="false" customHeight="false" outlineLevel="0" collapsed="false">
      <c r="A1" s="5" t="s">
        <v>84</v>
      </c>
    </row>
    <row r="2" customFormat="false" ht="15" hidden="false" customHeight="false" outlineLevel="0" collapsed="false">
      <c r="A2" s="2" t="s">
        <v>85</v>
      </c>
    </row>
    <row r="4" customFormat="false" ht="30" hidden="false" customHeight="true" outlineLevel="0" collapsed="false">
      <c r="A4" s="6"/>
      <c r="B4" s="6" t="s">
        <v>86</v>
      </c>
      <c r="C4" s="6"/>
      <c r="D4" s="6" t="s">
        <v>55</v>
      </c>
    </row>
    <row r="5" customFormat="false" ht="15" hidden="false" customHeight="false" outlineLevel="0" collapsed="false">
      <c r="A5" s="7" t="s">
        <v>87</v>
      </c>
      <c r="B5" s="21" t="n">
        <f aca="false">'1. The Inputs'!B8*100</f>
        <v>200</v>
      </c>
      <c r="D5" s="9" t="s">
        <v>33</v>
      </c>
    </row>
    <row r="6" customFormat="false" ht="15" hidden="false" customHeight="false" outlineLevel="0" collapsed="false">
      <c r="A6" s="7" t="s">
        <v>88</v>
      </c>
      <c r="B6" s="21" t="n">
        <f aca="false">'1. The Inputs'!B9*100</f>
        <v>154.4</v>
      </c>
      <c r="D6" s="9" t="s">
        <v>89</v>
      </c>
    </row>
    <row r="7" customFormat="false" ht="15" hidden="false" customHeight="false" outlineLevel="0" collapsed="false">
      <c r="A7" s="7" t="s">
        <v>90</v>
      </c>
      <c r="B7" s="21" t="n">
        <f aca="false">'1. The Inputs'!B8*100</f>
        <v>200</v>
      </c>
      <c r="D7" s="9" t="s">
        <v>91</v>
      </c>
    </row>
    <row r="8" customFormat="false" ht="15" hidden="false" customHeight="false" outlineLevel="0" collapsed="false">
      <c r="A8" s="17" t="s">
        <v>92</v>
      </c>
      <c r="B8" s="29" t="n">
        <f aca="false">B7-B6</f>
        <v>45.6</v>
      </c>
      <c r="D8" s="9" t="s">
        <v>93</v>
      </c>
    </row>
    <row r="10" customFormat="false" ht="15" hidden="false" customHeight="false" outlineLevel="0" collapsed="false">
      <c r="A10" s="4" t="s">
        <v>94</v>
      </c>
    </row>
    <row r="11" customFormat="false" ht="30" hidden="false" customHeight="true" outlineLevel="0" collapsed="false">
      <c r="A11" s="6"/>
      <c r="B11" s="6" t="s">
        <v>25</v>
      </c>
      <c r="C11" s="6"/>
      <c r="D11" s="6"/>
    </row>
    <row r="12" customFormat="false" ht="15" hidden="false" customHeight="false" outlineLevel="0" collapsed="false">
      <c r="A12" s="17" t="s">
        <v>95</v>
      </c>
      <c r="B12" s="30" t="n">
        <f aca="false">'1. The Inputs'!B9</f>
        <v>1.544</v>
      </c>
      <c r="D12" s="9" t="s">
        <v>96</v>
      </c>
    </row>
    <row r="13" customFormat="false" ht="15" hidden="false" customHeight="false" outlineLevel="0" collapsed="false">
      <c r="A13" s="7" t="s">
        <v>97</v>
      </c>
      <c r="B13" s="31" t="n">
        <f aca="false">IFERROR(B12^(1/'1. The Inputs'!B14)-1,"")</f>
        <v>0.0907606428257359</v>
      </c>
      <c r="D13" s="9"/>
    </row>
    <row r="14" customFormat="false" ht="15" hidden="false" customHeight="false" outlineLevel="0" collapsed="false">
      <c r="A14" s="7" t="s">
        <v>98</v>
      </c>
      <c r="B14" s="31" t="n">
        <f aca="false">IFERROR('1. The Inputs'!B8^(1/'1. The Inputs'!B14)-1,"")</f>
        <v>0.148698354997035</v>
      </c>
      <c r="D14" s="9"/>
    </row>
    <row r="15" customFormat="false" ht="15" hidden="false" customHeight="false" outlineLevel="0" collapsed="false">
      <c r="A15" s="17" t="s">
        <v>99</v>
      </c>
      <c r="B15" s="32" t="n">
        <f aca="false">IFERROR(1-'1. The Inputs'!B9/'1. The Inputs'!B8,"")</f>
        <v>0.228</v>
      </c>
      <c r="D15" s="9" t="s">
        <v>100</v>
      </c>
    </row>
    <row r="17" customFormat="false" ht="43.5" hidden="false" customHeight="true" outlineLevel="0" collapsed="false">
      <c r="A17" s="14" t="s">
        <v>101</v>
      </c>
      <c r="B17" s="14"/>
      <c r="C17" s="14"/>
      <c r="D17" s="14"/>
    </row>
    <row r="19" customFormat="false" ht="51.75" hidden="false" customHeight="true" outlineLevel="0" collapsed="false">
      <c r="A19" s="14" t="s">
        <v>102</v>
      </c>
      <c r="B19" s="14"/>
      <c r="C19" s="14"/>
      <c r="D19" s="14"/>
    </row>
  </sheetData>
  <mergeCells count="2">
    <mergeCell ref="A17:D17"/>
    <mergeCell ref="A19:D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6"/>
    <col collapsed="false" customWidth="true" hidden="false" outlineLevel="0" max="4" min="4" style="0" width="50"/>
  </cols>
  <sheetData>
    <row r="1" customFormat="false" ht="17.35" hidden="false" customHeight="false" outlineLevel="0" collapsed="false">
      <c r="A1" s="5" t="s">
        <v>103</v>
      </c>
    </row>
    <row r="2" customFormat="false" ht="15" hidden="false" customHeight="false" outlineLevel="0" collapsed="false">
      <c r="A2" s="2" t="s">
        <v>104</v>
      </c>
    </row>
    <row r="4" customFormat="false" ht="30" hidden="false" customHeight="true" outlineLevel="0" collapsed="false">
      <c r="A4" s="6"/>
      <c r="B4" s="6" t="s">
        <v>25</v>
      </c>
      <c r="C4" s="6"/>
      <c r="D4" s="6" t="s">
        <v>55</v>
      </c>
    </row>
    <row r="5" customFormat="false" ht="15" hidden="false" customHeight="false" outlineLevel="0" collapsed="false">
      <c r="A5" s="7" t="s">
        <v>105</v>
      </c>
      <c r="B5" s="21" t="n">
        <f aca="false">IFERROR('2. NAV-Years'!B7*'1. The Inputs'!B13,"")</f>
        <v>35.7142857142857</v>
      </c>
      <c r="D5" s="9" t="s">
        <v>106</v>
      </c>
    </row>
    <row r="6" customFormat="false" ht="15" hidden="false" customHeight="false" outlineLevel="0" collapsed="false">
      <c r="A6" s="7" t="s">
        <v>107</v>
      </c>
      <c r="B6" s="21" t="n">
        <f aca="false">IFERROR('1. The Inputs'!B11*'1. The Inputs'!B12,"")</f>
        <v>13.332</v>
      </c>
      <c r="D6" s="9" t="s">
        <v>108</v>
      </c>
    </row>
    <row r="7" customFormat="false" ht="15" hidden="false" customHeight="false" outlineLevel="0" collapsed="false">
      <c r="A7" s="17" t="s">
        <v>109</v>
      </c>
      <c r="B7" s="33" t="n">
        <f aca="false">IFERROR(B5/B6,"")</f>
        <v>2.67883931250268</v>
      </c>
      <c r="D7" s="9" t="s">
        <v>110</v>
      </c>
    </row>
    <row r="8" customFormat="false" ht="15" hidden="false" customHeight="false" outlineLevel="0" collapsed="false">
      <c r="A8" s="17" t="s">
        <v>111</v>
      </c>
      <c r="B8" s="32" t="n">
        <f aca="false">IFERROR(1/B7,"")</f>
        <v>0.373296</v>
      </c>
      <c r="D8" s="9"/>
    </row>
    <row r="9" customFormat="false" ht="15" hidden="false" customHeight="false" outlineLevel="0" collapsed="false">
      <c r="A9" s="7" t="s">
        <v>112</v>
      </c>
      <c r="B9" s="34" t="n">
        <f aca="false">'4. The Break-Even'!B15</f>
        <v>0.228</v>
      </c>
      <c r="D9" s="9" t="s">
        <v>113</v>
      </c>
    </row>
    <row r="10" customFormat="false" ht="15" hidden="false" customHeight="false" outlineLevel="0" collapsed="false">
      <c r="A10" s="35" t="str">
        <f aca="false">IF(ISERROR(B8),"",IF(B8&gt;B9,"A SINGLE TOTAL LOSS PUTS THE SLEEVE UNDER WATER","the sleeve survives one total loss"))</f>
        <v>A SINGLE TOTAL LOSS PUTS THE SLEEVE UNDER WATER</v>
      </c>
    </row>
    <row r="12" customFormat="false" ht="15" hidden="false" customHeight="false" outlineLevel="0" collapsed="false">
      <c r="A12" s="4" t="s">
        <v>114</v>
      </c>
    </row>
    <row r="13" customFormat="false" ht="30" hidden="false" customHeight="true" outlineLevel="0" collapsed="false">
      <c r="A13" s="6"/>
      <c r="B13" s="6" t="s">
        <v>75</v>
      </c>
      <c r="C13" s="6" t="s">
        <v>115</v>
      </c>
      <c r="D13" s="6"/>
    </row>
    <row r="14" customFormat="false" ht="15" hidden="false" customHeight="false" outlineLevel="0" collapsed="false">
      <c r="A14" s="7" t="s">
        <v>116</v>
      </c>
      <c r="B14" s="16" t="n">
        <f aca="false">IFERROR(1/B9,"")</f>
        <v>4.3859649122807</v>
      </c>
      <c r="C14" s="21" t="n">
        <f aca="false">IFERROR($B$5/B14,"")</f>
        <v>8.14285714285714</v>
      </c>
    </row>
    <row r="15" customFormat="false" ht="15" hidden="false" customHeight="false" outlineLevel="0" collapsed="false">
      <c r="A15" s="7" t="s">
        <v>117</v>
      </c>
      <c r="B15" s="16" t="n">
        <f aca="false">IFERROR(2/B9,"")</f>
        <v>8.7719298245614</v>
      </c>
      <c r="C15" s="21" t="n">
        <f aca="false">IFERROR($B$5/B15,"")</f>
        <v>4.07142857142857</v>
      </c>
    </row>
    <row r="16" customFormat="false" ht="15" hidden="false" customHeight="false" outlineLevel="0" collapsed="false">
      <c r="A16" s="17" t="s">
        <v>118</v>
      </c>
      <c r="B16" s="23" t="n">
        <f aca="false">B7</f>
        <v>2.67883931250268</v>
      </c>
      <c r="C16" s="36" t="n">
        <f aca="false">B6</f>
        <v>13.332</v>
      </c>
    </row>
    <row r="17" customFormat="false" ht="15" hidden="false" customHeight="false" outlineLevel="0" collapsed="false">
      <c r="A17" s="17" t="s">
        <v>119</v>
      </c>
      <c r="B17" s="37" t="n">
        <f aca="false">IFERROR(C16/C14,"")</f>
        <v>1.63726315789474</v>
      </c>
      <c r="D17" s="9" t="s">
        <v>120</v>
      </c>
    </row>
    <row r="19" customFormat="false" ht="39.75" hidden="false" customHeight="true" outlineLevel="0" collapsed="false">
      <c r="A19" s="14" t="s">
        <v>121</v>
      </c>
      <c r="B19" s="14"/>
      <c r="C19" s="14"/>
      <c r="D19" s="14"/>
    </row>
    <row r="21" customFormat="false" ht="39.75" hidden="false" customHeight="true" outlineLevel="0" collapsed="false">
      <c r="A21" s="14" t="s">
        <v>122</v>
      </c>
      <c r="B21" s="14"/>
      <c r="C21" s="14"/>
      <c r="D21" s="14"/>
    </row>
  </sheetData>
  <mergeCells count="2">
    <mergeCell ref="A19:D19"/>
    <mergeCell ref="A21:D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4" min="2" style="0" width="16"/>
    <col collapsed="false" customWidth="true" hidden="false" outlineLevel="0" max="5" min="5" style="0" width="46"/>
  </cols>
  <sheetData>
    <row r="1" customFormat="false" ht="17.35" hidden="false" customHeight="false" outlineLevel="0" collapsed="false">
      <c r="A1" s="5" t="s">
        <v>123</v>
      </c>
    </row>
    <row r="2" customFormat="false" ht="15" hidden="false" customHeight="false" outlineLevel="0" collapsed="false">
      <c r="A2" s="2" t="s">
        <v>124</v>
      </c>
    </row>
    <row r="4" customFormat="false" ht="30" hidden="false" customHeight="true" outlineLevel="0" collapsed="false">
      <c r="A4" s="6"/>
      <c r="B4" s="6" t="s">
        <v>25</v>
      </c>
      <c r="C4" s="6"/>
      <c r="D4" s="6" t="s">
        <v>55</v>
      </c>
    </row>
    <row r="5" customFormat="false" ht="15" hidden="false" customHeight="false" outlineLevel="0" collapsed="false">
      <c r="A5" s="7" t="s">
        <v>58</v>
      </c>
      <c r="B5" s="16" t="n">
        <f aca="false">'1. The Inputs'!B7</f>
        <v>6.3</v>
      </c>
      <c r="D5" s="9"/>
    </row>
    <row r="6" customFormat="false" ht="15" hidden="false" customHeight="false" outlineLevel="0" collapsed="false">
      <c r="A6" s="7" t="s">
        <v>125</v>
      </c>
      <c r="B6" s="38" t="n">
        <f aca="false">'2. NAV-Years'!B23</f>
        <v>7.72502395887258</v>
      </c>
      <c r="D6" s="9"/>
    </row>
    <row r="7" customFormat="false" ht="15" hidden="false" customHeight="false" outlineLevel="0" collapsed="false">
      <c r="A7" s="7" t="s">
        <v>126</v>
      </c>
      <c r="B7" s="34" t="n">
        <f aca="false">'1. The Inputs'!B13</f>
        <v>0.15</v>
      </c>
      <c r="D7" s="9"/>
    </row>
    <row r="8" customFormat="false" ht="15" hidden="false" customHeight="false" outlineLevel="0" collapsed="false">
      <c r="A8" s="17" t="s">
        <v>127</v>
      </c>
      <c r="B8" s="22" t="n">
        <f aca="false">IFERROR(B5*(1-B7)+B6*B7,"")</f>
        <v>6.51375359383089</v>
      </c>
      <c r="D8" s="9" t="s">
        <v>128</v>
      </c>
    </row>
    <row r="9" customFormat="false" ht="15" hidden="false" customHeight="false" outlineLevel="0" collapsed="false">
      <c r="A9" s="7" t="s">
        <v>129</v>
      </c>
      <c r="B9" s="21" t="n">
        <f aca="false">'2. NAV-Years'!B7</f>
        <v>238.095238095238</v>
      </c>
      <c r="D9" s="9" t="s">
        <v>130</v>
      </c>
    </row>
    <row r="10" customFormat="false" ht="15" hidden="false" customHeight="false" outlineLevel="0" collapsed="false">
      <c r="A10" s="17" t="s">
        <v>131</v>
      </c>
      <c r="B10" s="36" t="n">
        <f aca="false">IFERROR(B9*B8,"")</f>
        <v>1550.89371281688</v>
      </c>
      <c r="D10" s="9"/>
    </row>
    <row r="11" customFormat="false" ht="15" hidden="false" customHeight="false" outlineLevel="0" collapsed="false">
      <c r="A11" s="7" t="s">
        <v>132</v>
      </c>
      <c r="B11" s="21" t="n">
        <f aca="false">'2. NAV-Years'!B5</f>
        <v>1500</v>
      </c>
      <c r="D11" s="9"/>
    </row>
    <row r="12" customFormat="false" ht="15" hidden="false" customHeight="false" outlineLevel="0" collapsed="false">
      <c r="A12" s="17" t="s">
        <v>133</v>
      </c>
      <c r="B12" s="24" t="n">
        <f aca="false">IFERROR(B10/B11-1,"")</f>
        <v>0.0339291418779184</v>
      </c>
      <c r="D12" s="9" t="s">
        <v>134</v>
      </c>
    </row>
    <row r="14" customFormat="false" ht="15" hidden="false" customHeight="false" outlineLevel="0" collapsed="false">
      <c r="A14" s="4" t="s">
        <v>135</v>
      </c>
    </row>
    <row r="15" customFormat="false" ht="30" hidden="false" customHeight="true" outlineLevel="0" collapsed="false">
      <c r="A15" s="6" t="s">
        <v>136</v>
      </c>
      <c r="B15" s="6" t="s">
        <v>137</v>
      </c>
      <c r="C15" s="6" t="s">
        <v>138</v>
      </c>
      <c r="D15" s="6" t="s">
        <v>139</v>
      </c>
      <c r="E15" s="6"/>
    </row>
    <row r="16" customFormat="false" ht="15" hidden="false" customHeight="false" outlineLevel="0" collapsed="false">
      <c r="A16" s="39" t="n">
        <v>3</v>
      </c>
      <c r="B16" s="38" t="n">
        <f aca="true">IFERROR(SUMPRODUCT((ROW(INDIRECT("1:"&amp;A16))&gt;0)*(1+'2. NAV-Years'!$B$10)^ROW(INDIRECT("1:"&amp;A16))),"")</f>
        <v>3.98392283228033</v>
      </c>
      <c r="C16" s="38" t="n">
        <f aca="false">IFERROR($B$5*(1-$B$7)+B16*$B$7,"")</f>
        <v>5.95258842484205</v>
      </c>
      <c r="D16" s="40" t="n">
        <f aca="false">IFERROR(C16/$B$5-1,"")</f>
        <v>-0.055144694469516</v>
      </c>
      <c r="E16" s="9" t="str">
        <f aca="false">IF(ISERROR(D16),"",IF(ABS(D16)&lt;0.02,"inside a two-point tolerance",""))</f>
        <v/>
      </c>
    </row>
    <row r="17" customFormat="false" ht="15" hidden="false" customHeight="false" outlineLevel="0" collapsed="false">
      <c r="A17" s="39" t="n">
        <v>4</v>
      </c>
      <c r="B17" s="38" t="n">
        <f aca="true">IFERROR(SUMPRODUCT((ROW(INDIRECT("1:"&amp;A17))&gt;0)*(1+'2. NAV-Years'!$B$10)^ROW(INDIRECT("1:"&amp;A17))),"")</f>
        <v>5.72502395887258</v>
      </c>
      <c r="C17" s="38" t="n">
        <f aca="false">IFERROR($B$5*(1-$B$7)+B17*$B$7,"")</f>
        <v>6.21375359383089</v>
      </c>
      <c r="D17" s="40" t="n">
        <f aca="false">IFERROR(C17/$B$5-1,"")</f>
        <v>-0.0136899057411292</v>
      </c>
      <c r="E17" s="9" t="str">
        <f aca="false">IF(ISERROR(D17),"",IF(ABS(D17)&lt;0.02,"inside a two-point tolerance",""))</f>
        <v>inside a two-point tolerance</v>
      </c>
    </row>
    <row r="18" customFormat="false" ht="15" hidden="false" customHeight="false" outlineLevel="0" collapsed="false">
      <c r="A18" s="39" t="n">
        <v>5</v>
      </c>
      <c r="B18" s="38" t="n">
        <f aca="true">IFERROR(SUMPRODUCT((ROW(INDIRECT("1:"&amp;A18))&gt;0)*(1+'2. NAV-Years'!$B$10)^ROW(INDIRECT("1:"&amp;A18))),"")</f>
        <v>7.72502395887258</v>
      </c>
      <c r="C18" s="38" t="n">
        <f aca="false">IFERROR($B$5*(1-$B$7)+B18*$B$7,"")</f>
        <v>6.51375359383089</v>
      </c>
      <c r="D18" s="40" t="n">
        <f aca="false">IFERROR(C18/$B$5-1,"")</f>
        <v>0.0339291418779184</v>
      </c>
      <c r="E18" s="9" t="str">
        <f aca="false">IF(ISERROR(D18),"",IF(ABS(D18)&lt;0.02,"inside a two-point tolerance",""))</f>
        <v/>
      </c>
    </row>
    <row r="19" customFormat="false" ht="15" hidden="false" customHeight="false" outlineLevel="0" collapsed="false">
      <c r="A19" s="39" t="n">
        <v>6</v>
      </c>
      <c r="B19" s="38" t="n">
        <f aca="true">IFERROR(SUMPRODUCT((ROW(INDIRECT("1:"&amp;A19))&gt;0)*(1+'2. NAV-Years'!$B$10)^ROW(INDIRECT("1:"&amp;A19))),"")</f>
        <v>10.0224206688667</v>
      </c>
      <c r="C19" s="38" t="n">
        <f aca="false">IFERROR($B$5*(1-$B$7)+B19*$B$7,"")</f>
        <v>6.85836310033</v>
      </c>
      <c r="D19" s="40" t="n">
        <f aca="false">IFERROR(C19/$B$5-1,"")</f>
        <v>0.088629063544444</v>
      </c>
      <c r="E19" s="9" t="str">
        <f aca="false">IF(ISERROR(D19),"",IF(ABS(D19)&lt;0.02,"inside a two-point tolerance",""))</f>
        <v/>
      </c>
    </row>
    <row r="20" customFormat="false" ht="15" hidden="false" customHeight="false" outlineLevel="0" collapsed="false">
      <c r="A20" s="39" t="n">
        <v>7</v>
      </c>
      <c r="B20" s="38" t="n">
        <f aca="true">IFERROR(SUMPRODUCT((ROW(INDIRECT("1:"&amp;A20))&gt;0)*(1+'2. NAV-Years'!$B$10)^ROW(INDIRECT("1:"&amp;A20))),"")</f>
        <v>12.6614364904124</v>
      </c>
      <c r="C20" s="38" t="n">
        <f aca="false">IFERROR($B$5*(1-$B$7)+B20*$B$7,"")</f>
        <v>7.25421547356187</v>
      </c>
      <c r="D20" s="40" t="n">
        <f aca="false">IFERROR(C20/$B$5-1,"")</f>
        <v>0.151462773581249</v>
      </c>
      <c r="E20" s="9" t="str">
        <f aca="false">IF(ISERROR(D20),"",IF(ABS(D20)&lt;0.02,"inside a two-point tolerance",""))</f>
        <v/>
      </c>
    </row>
    <row r="22" customFormat="false" ht="48" hidden="false" customHeight="true" outlineLevel="0" collapsed="false">
      <c r="A22" s="14" t="s">
        <v>140</v>
      </c>
      <c r="B22" s="14"/>
      <c r="C22" s="14"/>
      <c r="D22" s="14"/>
      <c r="E22" s="14"/>
    </row>
    <row r="24" customFormat="false" ht="39.75" hidden="false" customHeight="true" outlineLevel="0" collapsed="false">
      <c r="A24" s="14" t="s">
        <v>141</v>
      </c>
      <c r="B24" s="14"/>
      <c r="C24" s="14"/>
      <c r="D24" s="14"/>
      <c r="E24" s="14"/>
    </row>
  </sheetData>
  <mergeCells count="2">
    <mergeCell ref="A22:E22"/>
    <mergeCell ref="A24:E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3" min="2" style="0" width="16"/>
    <col collapsed="false" customWidth="true" hidden="false" outlineLevel="0" max="5" min="4" style="0" width="18"/>
  </cols>
  <sheetData>
    <row r="1" customFormat="false" ht="17.35" hidden="false" customHeight="false" outlineLevel="0" collapsed="false">
      <c r="A1" s="5" t="s">
        <v>142</v>
      </c>
    </row>
    <row r="2" customFormat="false" ht="15" hidden="false" customHeight="false" outlineLevel="0" collapsed="false">
      <c r="A2" s="2" t="s">
        <v>143</v>
      </c>
    </row>
    <row r="4" customFormat="false" ht="30" hidden="false" customHeight="true" outlineLevel="0" collapsed="false">
      <c r="A4" s="6" t="s">
        <v>144</v>
      </c>
      <c r="B4" s="6" t="s">
        <v>145</v>
      </c>
      <c r="C4" s="6" t="s">
        <v>146</v>
      </c>
      <c r="D4" s="6" t="s">
        <v>147</v>
      </c>
      <c r="E4" s="6" t="s">
        <v>148</v>
      </c>
    </row>
    <row r="5" customFormat="false" ht="15" hidden="false" customHeight="false" outlineLevel="0" collapsed="false">
      <c r="A5" s="7" t="s">
        <v>149</v>
      </c>
      <c r="B5" s="21" t="n">
        <v>238.1</v>
      </c>
      <c r="C5" s="21" t="n">
        <f aca="false">'2. NAV-Years'!B7</f>
        <v>238.095238095238</v>
      </c>
      <c r="D5" s="41" t="str">
        <f aca="false">IF(ISERROR(C5),"CHECK",IF(ABS(C5-B5)&lt;=0.2,"OK","CHECK"))</f>
        <v>OK</v>
      </c>
      <c r="E5" s="9" t="s">
        <v>150</v>
      </c>
    </row>
    <row r="6" customFormat="false" ht="15" hidden="false" customHeight="false" outlineLevel="0" collapsed="false">
      <c r="A6" s="7" t="s">
        <v>151</v>
      </c>
      <c r="B6" s="31" t="n">
        <v>0.1487</v>
      </c>
      <c r="C6" s="31" t="n">
        <f aca="false">'2. NAV-Years'!B10</f>
        <v>0.148698354997035</v>
      </c>
      <c r="D6" s="41" t="str">
        <f aca="false">IF(ISERROR(C6),"CHECK",IF(ABS(C6-B6)&lt;=0.0005,"OK","CHECK"))</f>
        <v>OK</v>
      </c>
      <c r="E6" s="9" t="s">
        <v>152</v>
      </c>
    </row>
    <row r="7" customFormat="false" ht="15" hidden="false" customHeight="false" outlineLevel="0" collapsed="false">
      <c r="A7" s="7" t="s">
        <v>125</v>
      </c>
      <c r="B7" s="38" t="n">
        <v>7.725</v>
      </c>
      <c r="C7" s="38" t="n">
        <f aca="false">'2. NAV-Years'!B23</f>
        <v>7.72502395887258</v>
      </c>
      <c r="D7" s="41" t="str">
        <f aca="false">IF(ISERROR(C7),"CHECK",IF(ABS(C7-B7)&lt;=0.005,"OK","CHECK"))</f>
        <v>OK</v>
      </c>
      <c r="E7" s="9" t="s">
        <v>153</v>
      </c>
    </row>
    <row r="8" customFormat="false" ht="15" hidden="false" customHeight="false" outlineLevel="0" collapsed="false">
      <c r="A8" s="7" t="s">
        <v>154</v>
      </c>
      <c r="B8" s="34" t="n">
        <v>0.226</v>
      </c>
      <c r="C8" s="34" t="n">
        <f aca="false">'2. NAV-Years'!B25</f>
        <v>0.226194279186124</v>
      </c>
      <c r="D8" s="41" t="str">
        <f aca="false">IF(ISERROR(C8),"CHECK",IF(ABS(C8-B8)&lt;=0.003,"OK","CHECK"))</f>
        <v>OK</v>
      </c>
      <c r="E8" s="9" t="s">
        <v>155</v>
      </c>
    </row>
    <row r="9" customFormat="false" ht="15" hidden="false" customHeight="false" outlineLevel="0" collapsed="false">
      <c r="A9" s="7" t="s">
        <v>156</v>
      </c>
      <c r="B9" s="27" t="n">
        <v>0.0254</v>
      </c>
      <c r="C9" s="27" t="n">
        <f aca="false">'3. The Blended Cost'!G5</f>
        <v>0.0253968253968254</v>
      </c>
      <c r="D9" s="41" t="str">
        <f aca="false">IF(ISERROR(C9),"CHECK",IF(ABS(C9-B9)&lt;=0.0002,"OK","CHECK"))</f>
        <v>OK</v>
      </c>
      <c r="E9" s="9" t="s">
        <v>157</v>
      </c>
    </row>
    <row r="10" customFormat="false" ht="15" hidden="false" customHeight="false" outlineLevel="0" collapsed="false">
      <c r="A10" s="7" t="s">
        <v>158</v>
      </c>
      <c r="B10" s="27" t="n">
        <v>0.02174</v>
      </c>
      <c r="C10" s="27" t="n">
        <f aca="false">'3. The Blended Cost'!G7</f>
        <v>0.0217367523571931</v>
      </c>
      <c r="D10" s="41" t="str">
        <f aca="false">IF(ISERROR(C10),"CHECK",IF(ABS(C10-B10)&lt;=0.0002,"OK","CHECK"))</f>
        <v>OK</v>
      </c>
      <c r="E10" s="9" t="s">
        <v>157</v>
      </c>
    </row>
    <row r="11" customFormat="false" ht="15" hidden="false" customHeight="false" outlineLevel="0" collapsed="false">
      <c r="A11" s="7" t="s">
        <v>159</v>
      </c>
      <c r="B11" s="16" t="n">
        <v>37</v>
      </c>
      <c r="C11" s="16" t="n">
        <f aca="false">'3. The Blended Cost'!H13</f>
        <v>36.600730396323</v>
      </c>
      <c r="D11" s="41" t="str">
        <f aca="false">IF(ISERROR(C11),"CHECK",IF(ABS(C11-B11)&lt;=0.6,"OK","CHECK"))</f>
        <v>OK</v>
      </c>
      <c r="E11" s="9" t="s">
        <v>160</v>
      </c>
    </row>
    <row r="12" customFormat="false" ht="15" hidden="false" customHeight="false" outlineLevel="0" collapsed="false">
      <c r="A12" s="7" t="s">
        <v>161</v>
      </c>
      <c r="B12" s="15" t="n">
        <v>4.38</v>
      </c>
      <c r="C12" s="15" t="n">
        <f aca="false">'3. The Blended Cost'!G14</f>
        <v>4.38384552740988</v>
      </c>
      <c r="D12" s="41" t="str">
        <f aca="false">IF(ISERROR(C12),"CHECK",IF(ABS(C12-B12)&lt;=0.1,"OK","CHECK"))</f>
        <v>OK</v>
      </c>
      <c r="E12" s="9" t="s">
        <v>162</v>
      </c>
    </row>
    <row r="13" customFormat="false" ht="15" hidden="false" customHeight="false" outlineLevel="0" collapsed="false">
      <c r="A13" s="7" t="s">
        <v>163</v>
      </c>
      <c r="B13" s="42" t="n">
        <v>1.544</v>
      </c>
      <c r="C13" s="42" t="n">
        <f aca="false">'4. The Break-Even'!B12</f>
        <v>1.544</v>
      </c>
      <c r="D13" s="41" t="str">
        <f aca="false">IF(ISERROR(C13),"CHECK",IF(ABS(C13-B13)&lt;=0.002,"OK","CHECK"))</f>
        <v>OK</v>
      </c>
      <c r="E13" s="9" t="s">
        <v>164</v>
      </c>
    </row>
    <row r="14" customFormat="false" ht="15" hidden="false" customHeight="false" outlineLevel="0" collapsed="false">
      <c r="A14" s="7" t="s">
        <v>97</v>
      </c>
      <c r="B14" s="31" t="n">
        <v>0.0908</v>
      </c>
      <c r="C14" s="31" t="n">
        <f aca="false">'4. The Break-Even'!B13</f>
        <v>0.0907606428257359</v>
      </c>
      <c r="D14" s="41" t="str">
        <f aca="false">IF(ISERROR(C14),"CHECK",IF(ABS(C14-B14)&lt;=0.0005,"OK","CHECK"))</f>
        <v>OK</v>
      </c>
      <c r="E14" s="9" t="s">
        <v>152</v>
      </c>
    </row>
    <row r="15" customFormat="false" ht="15" hidden="false" customHeight="false" outlineLevel="0" collapsed="false">
      <c r="A15" s="7" t="s">
        <v>112</v>
      </c>
      <c r="B15" s="34" t="n">
        <v>0.228</v>
      </c>
      <c r="C15" s="34" t="n">
        <f aca="false">'4. The Break-Even'!B15</f>
        <v>0.228</v>
      </c>
      <c r="D15" s="41" t="str">
        <f aca="false">IF(ISERROR(C15),"CHECK",IF(ABS(C15-B15)&lt;=0.002,"OK","CHECK"))</f>
        <v>OK</v>
      </c>
      <c r="E15" s="9" t="s">
        <v>164</v>
      </c>
    </row>
    <row r="16" customFormat="false" ht="15" hidden="false" customHeight="false" outlineLevel="0" collapsed="false">
      <c r="A16" s="7" t="s">
        <v>165</v>
      </c>
      <c r="B16" s="25" t="n">
        <v>2.68</v>
      </c>
      <c r="C16" s="25" t="n">
        <f aca="false">'5. Deal Count'!B7</f>
        <v>2.67883931250268</v>
      </c>
      <c r="D16" s="41" t="str">
        <f aca="false">IF(ISERROR(C16),"CHECK",IF(ABS(C16-B16)&lt;=0.02,"OK","CHECK"))</f>
        <v>OK</v>
      </c>
      <c r="E16" s="9" t="s">
        <v>166</v>
      </c>
    </row>
    <row r="17" customFormat="false" ht="15" hidden="false" customHeight="false" outlineLevel="0" collapsed="false">
      <c r="A17" s="7" t="s">
        <v>167</v>
      </c>
      <c r="B17" s="34" t="n">
        <v>0.373</v>
      </c>
      <c r="C17" s="34" t="n">
        <f aca="false">'5. Deal Count'!B8</f>
        <v>0.373296</v>
      </c>
      <c r="D17" s="41" t="str">
        <f aca="false">IF(ISERROR(C17),"CHECK",IF(ABS(C17-B17)&lt;=0.003,"OK","CHECK"))</f>
        <v>OK</v>
      </c>
      <c r="E17" s="9" t="s">
        <v>155</v>
      </c>
    </row>
    <row r="18" customFormat="false" ht="15" hidden="false" customHeight="false" outlineLevel="0" collapsed="false">
      <c r="A18" s="7" t="s">
        <v>168</v>
      </c>
      <c r="B18" s="16" t="n">
        <v>4.4</v>
      </c>
      <c r="C18" s="16" t="n">
        <f aca="false">'5. Deal Count'!B14</f>
        <v>4.3859649122807</v>
      </c>
      <c r="D18" s="41" t="str">
        <f aca="false">IF(ISERROR(C18),"CHECK",IF(ABS(C18-B18)&lt;=0.05,"OK","CHECK"))</f>
        <v>OK</v>
      </c>
      <c r="E18" s="9" t="s">
        <v>169</v>
      </c>
    </row>
    <row r="19" customFormat="false" ht="15" hidden="false" customHeight="false" outlineLevel="0" collapsed="false">
      <c r="A19" s="7" t="s">
        <v>170</v>
      </c>
      <c r="B19" s="21" t="n">
        <v>8.14</v>
      </c>
      <c r="C19" s="21" t="n">
        <f aca="false">'5. Deal Count'!C14</f>
        <v>8.14285714285714</v>
      </c>
      <c r="D19" s="41" t="str">
        <f aca="false">IF(ISERROR(C19),"CHECK",IF(ABS(C19-B19)&lt;=0.05,"OK","CHECK"))</f>
        <v>OK</v>
      </c>
      <c r="E19" s="9" t="s">
        <v>169</v>
      </c>
    </row>
    <row r="20" customFormat="false" ht="15" hidden="false" customHeight="false" outlineLevel="0" collapsed="false">
      <c r="A20" s="7" t="s">
        <v>171</v>
      </c>
      <c r="B20" s="43" t="n">
        <v>1.64</v>
      </c>
      <c r="C20" s="43" t="n">
        <f aca="false">'5. Deal Count'!B17</f>
        <v>1.63726315789474</v>
      </c>
      <c r="D20" s="41" t="str">
        <f aca="false">IF(ISERROR(C20),"CHECK",IF(ABS(C20-B20)&lt;=0.02,"OK","CHECK"))</f>
        <v>OK</v>
      </c>
      <c r="E20" s="9" t="s">
        <v>166</v>
      </c>
    </row>
    <row r="21" customFormat="false" ht="15" hidden="false" customHeight="false" outlineLevel="0" collapsed="false">
      <c r="A21" s="7" t="s">
        <v>172</v>
      </c>
      <c r="B21" s="38" t="n">
        <v>6.514</v>
      </c>
      <c r="C21" s="38" t="n">
        <f aca="false">'6. The Collision'!B8</f>
        <v>6.51375359383089</v>
      </c>
      <c r="D21" s="41" t="str">
        <f aca="false">IF(ISERROR(C21),"CHECK",IF(ABS(C21-B21)&lt;=0.005,"OK","CHECK"))</f>
        <v>OK</v>
      </c>
      <c r="E21" s="9" t="s">
        <v>153</v>
      </c>
    </row>
    <row r="22" customFormat="false" ht="15" hidden="false" customHeight="false" outlineLevel="0" collapsed="false">
      <c r="A22" s="7" t="s">
        <v>173</v>
      </c>
      <c r="B22" s="34" t="n">
        <v>0.034</v>
      </c>
      <c r="C22" s="34" t="n">
        <f aca="false">'6. The Collision'!B12</f>
        <v>0.0339291418779184</v>
      </c>
      <c r="D22" s="41" t="str">
        <f aca="false">IF(ISERROR(C22),"CHECK",IF(ABS(C22-B22)&lt;=0.002,"OK","CHECK"))</f>
        <v>OK</v>
      </c>
      <c r="E22" s="9" t="s">
        <v>164</v>
      </c>
    </row>
    <row r="23" customFormat="false" ht="15" hidden="false" customHeight="false" outlineLevel="0" collapsed="false">
      <c r="A23" s="17" t="s">
        <v>174</v>
      </c>
      <c r="B23" s="21" t="n">
        <v>160</v>
      </c>
      <c r="C23" s="21" t="n">
        <f aca="false">IFERROR('1. The Inputs'!B10*1000,"")</f>
        <v>160</v>
      </c>
      <c r="D23" s="41" t="str">
        <f aca="false">IF(ISERROR(C23),"CHECK",IF(ABS(C23-B23)&lt;0.5,"OK","CHECK"))</f>
        <v>OK</v>
      </c>
      <c r="E23" s="9" t="s">
        <v>175</v>
      </c>
    </row>
    <row r="24" customFormat="false" ht="15" hidden="false" customHeight="false" outlineLevel="0" collapsed="false">
      <c r="A24" s="17" t="s">
        <v>176</v>
      </c>
      <c r="B24" s="27" t="n">
        <v>0.025</v>
      </c>
      <c r="C24" s="27" t="n">
        <f aca="false">IFERROR('1. The Inputs'!B10*(1200/'1. The Inputs'!B7)/1200,"")</f>
        <v>0.0253968253968254</v>
      </c>
      <c r="D24" s="41" t="str">
        <f aca="false">IF(ISERROR(C24),"CHECK",IF(ABS(C24-B24)&lt;0.0006,"OK","CHECK"))</f>
        <v>OK</v>
      </c>
      <c r="E24" s="9" t="s">
        <v>177</v>
      </c>
    </row>
    <row r="25" customFormat="false" ht="15" hidden="false" customHeight="false" outlineLevel="0" collapsed="false">
      <c r="A25" s="17" t="s">
        <v>178</v>
      </c>
      <c r="B25" s="21" t="n">
        <v>238</v>
      </c>
      <c r="C25" s="21" t="n">
        <f aca="false">'2. NAV-Years'!B7</f>
        <v>238.095238095238</v>
      </c>
      <c r="D25" s="41" t="str">
        <f aca="false">IF(ISERROR(C25),"CHECK",IF(ABS(C25-B25)&lt;1,"OK","CHECK"))</f>
        <v>OK</v>
      </c>
      <c r="E25" s="9" t="s">
        <v>179</v>
      </c>
    </row>
    <row r="26" customFormat="false" ht="15" hidden="false" customHeight="false" outlineLevel="0" collapsed="false">
      <c r="A26" s="17" t="s">
        <v>180</v>
      </c>
      <c r="C26" s="20" t="n">
        <f aca="false">IFERROR(IF('5. Deal Count'!B8&gt;'5. Deal Count'!B9,1,0),"")</f>
        <v>1</v>
      </c>
      <c r="D26" s="41" t="str">
        <f aca="false">IF(ISERROR(C26),"CHECK",IF(C26=1,"OK","CHECK"))</f>
        <v>OK</v>
      </c>
      <c r="E26" s="9" t="s">
        <v>181</v>
      </c>
    </row>
    <row r="28" customFormat="false" ht="15" hidden="false" customHeight="false" outlineLevel="0" collapsed="false">
      <c r="A28" s="17" t="s">
        <v>182</v>
      </c>
      <c r="B28" s="44" t="n">
        <f aca="false">COUNTA(D5:D26)</f>
        <v>22</v>
      </c>
      <c r="C28" s="44" t="n">
        <f aca="false">COUNTIF(D5:D26,"OK")</f>
        <v>22</v>
      </c>
      <c r="D28" s="45" t="str">
        <f aca="false">IF(C28=B28,"ALL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2026-08-22T10:14:39Z</dcterms:created>
  <dc:creator>openpyxl</dc:creator>
  <dc:description/>
  <dc:language>en-US</dc:language>
  <cp:lastModifiedBy/>
  <dcterms:modified xsi:type="dcterms:W3CDTF">2026-08-22T10:14:39Z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