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13_Week" sheetId="3" state="visible" r:id="rId5"/>
    <sheet name="Liquidity" sheetId="4" state="visible" r:id="rId6"/>
    <sheet name="Levers" sheetId="5" state="visible" r:id="rId7"/>
    <sheet name="Variance"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<sst xmlns="http://schemas.openxmlformats.org/spreadsheetml/2006/main" count="1330" uniqueCount="755">
  <si>
    <t xml:space="preserve">Brantwell Coatings Group: 13-Week Cash Flow</t>
  </si>
  <si>
    <t xml:space="preserve">What this file is</t>
  </si>
  <si>
    <t xml:space="preserve">The 13-week cash flow of Brantwell Coatings Group (fictional), the company followed through The Corporate Restructuring Handbook by Julian R. Sterling. It reproduces Chapters 1 to 5 and Appendix B: the direct-method forecast, the gap between liquidity on paper and usable liquidity, the springing covenant, the internal levers and the weekly variance routine. Every figure the book prints from these chapters is recomputed live and compared on the Checks sheet.</t>
  </si>
  <si>
    <t xml:space="preserve">Conventions</t>
  </si>
  <si>
    <t xml:space="preserve">US dollars in millions. Blue font = a hard-coded input you may change (Inputs sheet, and the on/off switches on the Levers sheet; on the Checks sheet the blue 'Book' column holds the figures as printed). Black font = a live formula. There are no macros, no data tables, no Goal Seek and no circular references.</t>
  </si>
  <si>
    <t xml:space="preserve">Weekly grids show two decimals because the book prints the 13-week forecast to two decimals; a dash stands for zero. Other amounts show one decimal, ratios 0.00x and percentages 0.0%. Disbursements are shown as positive numbers and subtracted; a lever is positive when it adds cash.</t>
  </si>
  <si>
    <t xml:space="preserve">Timing is carried by 0/1 flag rows on the Inputs sheet (for example the notes coupon flag is 1 in week 11). Moving a payment means moving its flag. Week 1 is the first week after the Monday the board first sees the forecast (week 0).</t>
  </si>
  <si>
    <t xml:space="preserve">How to use it</t>
  </si>
  <si>
    <t xml:space="preserve">1. Change a driver on Inputs (a run-rate, a timing flag, a rate, a lever assumption). Everything else recalculates. 2. Switch levers on or off on the Levers sheet (1 = on). The scenario table on 13_Week shows ending cash with the switched-on levers, with the coupon held, and both. 3. Enter each week's actuals on Inputs (variance section) and classify each variance as timing or permanent; the Variance sheet splits the two. 4. Read Checks: the count of FAIL at the top must be zero while the inputs are the book's. Once you change an input, FAILs are expected: they show which printed figures moved.</t>
  </si>
  <si>
    <t xml:space="preserve">Sheets</t>
  </si>
  <si>
    <t xml:space="preserve">Inputs: every driver. 13_Week: the direct-method forecast, one column per week, ending cash, the first week below the minimum, the consistency of the weekly lines with the LTM EBITDA, the bridge from a quarter of the annual free cash flow to the 13-week net flow, and the scenarios. Liquidity: the annual cash cost of the capital structure, liquidity on paper, accessible and usable, and the springing covenant test with the EBITDA needed to pass. Levers: each internal lever with its switch, cash by week, total and weeks bought at two burn rates; the supplier reaction and its break-even insured share; the receivables program (advance rate, funded amount, cost for the weeks outstanding); the plant sale and the sweep. Variance: weeks 1 to 4, actual against forecast, split between timing and permanent. Checks: the book's figures against the live cells.</t>
  </si>
  <si>
    <t xml:space="preserve">Modelling notes</t>
  </si>
  <si>
    <t xml:space="preserve">Capex is spread evenly: (30 + 10) / 52 a week. Other operating costs (1.18 a week) are calibrated so that the weekly lines, annualized without the seasonal dip, give back the LTM EBITDA (132.24 against 132; see the consistency section on 13_Week). The 13 weeks burn more than a quarter of the annual free cash flow (-25.115 against -7.775): the bridge on 13_Week sets the 13-week total of every line against a quarter's share of its annual figure, so the gap of -17.34 is explained line by line (the seasonal dip, the refund, the payroll calendar, a fourth rent payment, a full coupon, the advisers and 0.06 of calibration) with a zero residual. The RCF interest line is one-twelfth of the annual interest on the drawn amount plus the commitment fee on the undrawn amount.</t>
  </si>
  <si>
    <t xml:space="preserve">Supplier reaction: the insured share of suppliers, already stretched to 45 + 10 = 55 days, moves to payment in advance and so pulls all 55 days of credit; the break-even insured share is 10 / (45 + 10). The receivables program is a revolving sale of 40 of receivables at a 90% advance rate: 36 is funded in week 5, and its cost runs on the funded amount from week 5 to week 13 (9 weeks). The advance stays outstanding while the program runs; it reverses if the buyer stops buying. The plant sale is shown on leverage only: its proceeds are swept to the term loan, so liquidity does not move. Runway is shown at two honest rates: this quarter's burn and the annual burn including advisers. Source: model/model.py (sections 0 to 3) and book/_FACTS.md.</t>
  </si>
  <si>
    <t xml:space="preserve">Rounding: the book rounds half up (half a cent goes up), as Excel and LibreOffice display numbers. A few exact values fall on a half-unit of the printed precision (ending cash in week 13 is 19.885 and the term loan's quarterly interest 18.675): the book prints 19.89 and 18.68, and so does this workbook. The Checks sheet also rounds each live value to the printed precision and counts any value that would display differently from the book (the count is zero).</t>
  </si>
  <si>
    <t xml:space="preserve">Inputs</t>
  </si>
  <si>
    <t xml:space="preserve">All drivers of the 13-week forecast, the liquidity test, the levers and the variance routine. Blue = hard-coded input.</t>
  </si>
  <si>
    <t xml:space="preserve">Company and capital structure at month 0</t>
  </si>
  <si>
    <t xml:space="preserve">Parameter</t>
  </si>
  <si>
    <t xml:space="preserve">Value</t>
  </si>
  <si>
    <t xml:space="preserve">Unit</t>
  </si>
  <si>
    <t xml:space="preserve">Source / note</t>
  </si>
  <si>
    <t xml:space="preserve">Reference rate (SOFR)</t>
  </si>
  <si>
    <t xml:space="preserve">% a year</t>
  </si>
  <si>
    <t xml:space="preserve">Assumption, flat throughout the book</t>
  </si>
  <si>
    <t xml:space="preserve">Cash at week 0</t>
  </si>
  <si>
    <t xml:space="preserve">$m</t>
  </si>
  <si>
    <t xml:space="preserve">Minimum operating cash</t>
  </si>
  <si>
    <t xml:space="preserve">Management's figure</t>
  </si>
  <si>
    <t xml:space="preserve">Adjusted EBITDA, last twelve months</t>
  </si>
  <si>
    <t xml:space="preserve">RCF commitments</t>
  </si>
  <si>
    <t xml:space="preserve">RCF drawn</t>
  </si>
  <si>
    <t xml:space="preserve">RCF margin over SOFR</t>
  </si>
  <si>
    <t xml:space="preserve">RCF commitment fee on undrawn</t>
  </si>
  <si>
    <t xml:space="preserve">Springing test: drawn share of commitments that triggers it</t>
  </si>
  <si>
    <t xml:space="preserve">%</t>
  </si>
  <si>
    <t xml:space="preserve">Maximum first-lien net leverage when tested</t>
  </si>
  <si>
    <t xml:space="preserve">x</t>
  </si>
  <si>
    <t xml:space="preserve">RCF maturity</t>
  </si>
  <si>
    <t xml:space="preserve">month</t>
  </si>
  <si>
    <t xml:space="preserve">Term loan B</t>
  </si>
  <si>
    <t xml:space="preserve">Term loan B margin over SOFR</t>
  </si>
  <si>
    <t xml:space="preserve">Term loan B amortization</t>
  </si>
  <si>
    <t xml:space="preserve">Paid quarterly</t>
  </si>
  <si>
    <t xml:space="preserve">Term loan B maturity</t>
  </si>
  <si>
    <t xml:space="preserve">Senior unsecured notes</t>
  </si>
  <si>
    <t xml:space="preserve">Notes coupon (fixed)</t>
  </si>
  <si>
    <t xml:space="preserve">Paid semi-annually</t>
  </si>
  <si>
    <t xml:space="preserve">Notes maturity</t>
  </si>
  <si>
    <t xml:space="preserve">Indenture grace period on a coupon</t>
  </si>
  <si>
    <t xml:space="preserve">days</t>
  </si>
  <si>
    <t xml:space="preserve">Brantwell's indenture term</t>
  </si>
  <si>
    <t xml:space="preserve">Maintenance capex</t>
  </si>
  <si>
    <t xml:space="preserve">$m a year</t>
  </si>
  <si>
    <t xml:space="preserve">Growth capex</t>
  </si>
  <si>
    <t xml:space="preserve">Cash taxes (pre-restructuring)</t>
  </si>
  <si>
    <t xml:space="preserve">Calendar conventions</t>
  </si>
  <si>
    <t xml:space="preserve">Weeks in a year</t>
  </si>
  <si>
    <t xml:space="preserve">weeks</t>
  </si>
  <si>
    <t xml:space="preserve">Days in a year</t>
  </si>
  <si>
    <t xml:space="preserve">Forecast horizon</t>
  </si>
  <si>
    <t xml:space="preserve">The layout has 13 week columns</t>
  </si>
  <si>
    <t xml:space="preserve">Term loan interest and amortization payments a year</t>
  </si>
  <si>
    <t xml:space="preserve">per year</t>
  </si>
  <si>
    <t xml:space="preserve">RCF interest and fee payments a year</t>
  </si>
  <si>
    <t xml:space="preserve">Notes coupons a year</t>
  </si>
  <si>
    <t xml:space="preserve">Cash tax installments a year</t>
  </si>
  <si>
    <t xml:space="preserve">At the buyout and the first ninety days (Chapters 1 and 5)</t>
  </si>
  <si>
    <t xml:space="preserve">Revenue, last twelve months</t>
  </si>
  <si>
    <t xml:space="preserve">Revenue at the buyout</t>
  </si>
  <si>
    <t xml:space="preserve">EBITDA at the buyout</t>
  </si>
  <si>
    <t xml:space="preserve">Enterprise value paid at the buyout</t>
  </si>
  <si>
    <t xml:space="preserve">Debt raised at the buyout</t>
  </si>
  <si>
    <t xml:space="preserve">Sponsor equity cheque, including fees</t>
  </si>
  <si>
    <t xml:space="preserve">TLB cross-default threshold (other debt above)</t>
  </si>
  <si>
    <t xml:space="preserve">Forbearance fee, share of the TLB</t>
  </si>
  <si>
    <t xml:space="preserve">Assumption</t>
  </si>
  <si>
    <t xml:space="preserve">Adviser run-rate in an LME negotiation (company's and lenders')</t>
  </si>
  <si>
    <t xml:space="preserve">$m a week</t>
  </si>
  <si>
    <t xml:space="preserve">Assumption; the company pays both</t>
  </si>
  <si>
    <t xml:space="preserve">13-week forecast: weekly run-rates</t>
  </si>
  <si>
    <t xml:space="preserve">Driver</t>
  </si>
  <si>
    <t xml:space="preserve">Customer collections, normal week</t>
  </si>
  <si>
    <t xml:space="preserve">Customer collections, seasonal week</t>
  </si>
  <si>
    <t xml:space="preserve">Year-end destocking at distributors (flag row below)</t>
  </si>
  <si>
    <t xml:space="preserve">Other receipts (tax refund and sundries)</t>
  </si>
  <si>
    <t xml:space="preserve">Supplier payments</t>
  </si>
  <si>
    <t xml:space="preserve">Payroll, per pay week</t>
  </si>
  <si>
    <t xml:space="preserve">Freight and logistics</t>
  </si>
  <si>
    <t xml:space="preserve">Other operating costs</t>
  </si>
  <si>
    <t xml:space="preserve">Calibrated: the weekly lines annualize to the LTM EBITDA</t>
  </si>
  <si>
    <t xml:space="preserve">Rent and utilities, per payment week</t>
  </si>
  <si>
    <t xml:space="preserve">Customer rebates (quarterly)</t>
  </si>
  <si>
    <t xml:space="preserve">Company restructuring advisers</t>
  </si>
  <si>
    <t xml:space="preserve">13-week forecast: timing flags (1 = the cash moves that week)</t>
  </si>
  <si>
    <t xml:space="preserve">Flag</t>
  </si>
  <si>
    <t xml:space="preserve">Note</t>
  </si>
  <si>
    <t xml:space="preserve">Seasonal collections week</t>
  </si>
  <si>
    <t xml:space="preserve">Weeks 5-8</t>
  </si>
  <si>
    <t xml:space="preserve">Other receipts week</t>
  </si>
  <si>
    <t xml:space="preserve">Week 10</t>
  </si>
  <si>
    <t xml:space="preserve">Payroll week</t>
  </si>
  <si>
    <t xml:space="preserve">Every second week</t>
  </si>
  <si>
    <t xml:space="preserve">Rent and utilities week</t>
  </si>
  <si>
    <t xml:space="preserve">Weeks 1, 5, 9, 13</t>
  </si>
  <si>
    <t xml:space="preserve">Customer rebates week</t>
  </si>
  <si>
    <t xml:space="preserve">Week 13</t>
  </si>
  <si>
    <t xml:space="preserve">Cash tax installment week</t>
  </si>
  <si>
    <t xml:space="preserve">Week 7</t>
  </si>
  <si>
    <t xml:space="preserve">Company advisers paid</t>
  </si>
  <si>
    <t xml:space="preserve">From week 3</t>
  </si>
  <si>
    <t xml:space="preserve">Term loan interest and amortization week</t>
  </si>
  <si>
    <t xml:space="preserve">Week 6 (quarterly)</t>
  </si>
  <si>
    <t xml:space="preserve">RCF interest and commitment fee week</t>
  </si>
  <si>
    <t xml:space="preserve">Weeks 4, 8, 12 (monthly)</t>
  </si>
  <si>
    <t xml:space="preserve">Notes coupon week</t>
  </si>
  <si>
    <t xml:space="preserve">Week 11 (semi-annual)</t>
  </si>
  <si>
    <t xml:space="preserve">Annualizing the weekly lines (consistency with the LTM EBITDA)</t>
  </si>
  <si>
    <t xml:space="preserve">Payroll runs a year</t>
  </si>
  <si>
    <t xml:space="preserve">Rent and utilities payments a year</t>
  </si>
  <si>
    <t xml:space="preserve">Monthly</t>
  </si>
  <si>
    <t xml:space="preserve">Customer rebate payments a year</t>
  </si>
  <si>
    <t xml:space="preserve">Quarterly</t>
  </si>
  <si>
    <t xml:space="preserve">Internal levers (Chapter 4)</t>
  </si>
  <si>
    <t xml:space="preserve">Payables period (days of purchases)</t>
  </si>
  <si>
    <t xml:space="preserve">Stretch of payables</t>
  </si>
  <si>
    <t xml:space="preserve">Share of purchases from credit-insured suppliers</t>
  </si>
  <si>
    <t xml:space="preserve">Assumption: already stretched, they move to payment in advance</t>
  </si>
  <si>
    <t xml:space="preserve">Cut in maintenance capex</t>
  </si>
  <si>
    <t xml:space="preserve">Inventory reduction</t>
  </si>
  <si>
    <t xml:space="preserve">days of purchases</t>
  </si>
  <si>
    <t xml:space="preserve">Receivables sold under the program (revolving)</t>
  </si>
  <si>
    <t xml:space="preserve">Advance rate of the receivables buyer</t>
  </si>
  <si>
    <t xml:space="preserve">Assumption: the rest is held back against dilution</t>
  </si>
  <si>
    <t xml:space="preserve">Cost of the receivables program, on the funded amount</t>
  </si>
  <si>
    <t xml:space="preserve">Receivables basket in the credit agreement</t>
  </si>
  <si>
    <t xml:space="preserve">Non-core plant sale: proceeds</t>
  </si>
  <si>
    <t xml:space="preserve">Non-core plant sale: EBITDA sold</t>
  </si>
  <si>
    <t xml:space="preserve">Asset-sale sweep to the term loan</t>
  </si>
  <si>
    <t xml:space="preserve">Levers: timing flags (1 = the lever's cash lands that week; spread evenly over the flagged weeks)</t>
  </si>
  <si>
    <t xml:space="preserve">Payables stretch released</t>
  </si>
  <si>
    <t xml:space="preserve">Weeks 2-3</t>
  </si>
  <si>
    <t xml:space="preserve">Supplier reaction (payment in advance)</t>
  </si>
  <si>
    <t xml:space="preserve">Weeks 4-6</t>
  </si>
  <si>
    <t xml:space="preserve">Inventory released</t>
  </si>
  <si>
    <t xml:space="preserve">Weeks 3-13</t>
  </si>
  <si>
    <t xml:space="preserve">Receivables program proceeds</t>
  </si>
  <si>
    <t xml:space="preserve">Week 5</t>
  </si>
  <si>
    <t xml:space="preserve">Supplier reaction: insured shares tested on the Levers sheet</t>
  </si>
  <si>
    <t xml:space="preserve">Axis</t>
  </si>
  <si>
    <t xml:space="preserve">1</t>
  </si>
  <si>
    <t xml:space="preserve">2</t>
  </si>
  <si>
    <t xml:space="preserve">3</t>
  </si>
  <si>
    <t xml:space="preserve">4</t>
  </si>
  <si>
    <t xml:space="preserve">5</t>
  </si>
  <si>
    <t xml:space="preserve">6</t>
  </si>
  <si>
    <t xml:space="preserve">Insured share of purchases</t>
  </si>
  <si>
    <t xml:space="preserve">Variance routine: actuals for weeks 1-4 and timing classification (Chapter 2)</t>
  </si>
  <si>
    <t xml:space="preserve">Line</t>
  </si>
  <si>
    <t xml:space="preserve">Customer collections, actual</t>
  </si>
  <si>
    <t xml:space="preserve">Suppliers, actual</t>
  </si>
  <si>
    <t xml:space="preserve">Collections variance classified as timing</t>
  </si>
  <si>
    <t xml:space="preserve">A large customer paid in week 2 an invoice forecast in week 3</t>
  </si>
  <si>
    <t xml:space="preserve">Supplier variance classified as timing</t>
  </si>
  <si>
    <t xml:space="preserve">Enter the part of each supplier variance that is timing</t>
  </si>
  <si>
    <t xml:space="preserve">13-week cash flow, direct method ($m)</t>
  </si>
  <si>
    <t xml:space="preserve">Base forecast as printed in Chapter 2 and Appendix B: coupon paid, no levers.</t>
  </si>
  <si>
    <t xml:space="preserve">Total</t>
  </si>
  <si>
    <t xml:space="preserve">Receipts</t>
  </si>
  <si>
    <t xml:space="preserve">Customer collections</t>
  </si>
  <si>
    <t xml:space="preserve">Other receipts</t>
  </si>
  <si>
    <t xml:space="preserve">Total receipts</t>
  </si>
  <si>
    <t xml:space="preserve">Operating disbursements</t>
  </si>
  <si>
    <t xml:space="preserve">Suppliers</t>
  </si>
  <si>
    <t xml:space="preserve">Payroll</t>
  </si>
  <si>
    <t xml:space="preserve">Rent and utilities</t>
  </si>
  <si>
    <t xml:space="preserve">Customer rebates</t>
  </si>
  <si>
    <t xml:space="preserve">Capital expenditure</t>
  </si>
  <si>
    <t xml:space="preserve">Annual maintenance + growth capex / 52</t>
  </si>
  <si>
    <t xml:space="preserve">Cash taxes</t>
  </si>
  <si>
    <t xml:space="preserve">Quarterly installment of the annual cash tax</t>
  </si>
  <si>
    <t xml:space="preserve">Total operating disbursements</t>
  </si>
  <si>
    <t xml:space="preserve">Operating cash flow</t>
  </si>
  <si>
    <t xml:space="preserve">Non-operating</t>
  </si>
  <si>
    <t xml:space="preserve">Restructuring advisers</t>
  </si>
  <si>
    <t xml:space="preserve">Debt service</t>
  </si>
  <si>
    <t xml:space="preserve">Term loan interest</t>
  </si>
  <si>
    <t xml:space="preserve">TLB x (SOFR + margin) / 4</t>
  </si>
  <si>
    <t xml:space="preserve">Term loan amortization</t>
  </si>
  <si>
    <t xml:space="preserve">Revolver interest and fees</t>
  </si>
  <si>
    <t xml:space="preserve">(Drawn x rate + undrawn x fee) / 12</t>
  </si>
  <si>
    <t xml:space="preserve">Notes coupon</t>
  </si>
  <si>
    <t xml:space="preserve">Total debt service</t>
  </si>
  <si>
    <t xml:space="preserve">Net cash flow</t>
  </si>
  <si>
    <t xml:space="preserve">Beginning cash</t>
  </si>
  <si>
    <t xml:space="preserve">Ending cash</t>
  </si>
  <si>
    <t xml:space="preserve">Headroom over the minimum</t>
  </si>
  <si>
    <t xml:space="preserve">Below the minimum (1 = yes)</t>
  </si>
  <si>
    <t xml:space="preserve">Key figures</t>
  </si>
  <si>
    <t xml:space="preserve">Figure</t>
  </si>
  <si>
    <t xml:space="preserve">Starting cash</t>
  </si>
  <si>
    <t xml:space="preserve">Total receipts, 13 weeks</t>
  </si>
  <si>
    <t xml:space="preserve">Operating disbursements incl. capex and tax</t>
  </si>
  <si>
    <t xml:space="preserve">The business generates cash</t>
  </si>
  <si>
    <t xml:space="preserve">The structure consumes it</t>
  </si>
  <si>
    <t xml:space="preserve">Ending cash, week 13</t>
  </si>
  <si>
    <t xml:space="preserve">Closure check: start + net flows - ending cash</t>
  </si>
  <si>
    <t xml:space="preserve">Must be zero</t>
  </si>
  <si>
    <t xml:space="preserve">Trough (lowest ending cash)</t>
  </si>
  <si>
    <t xml:space="preserve">Trough week</t>
  </si>
  <si>
    <t xml:space="preserve">First week below the minimum</t>
  </si>
  <si>
    <t xml:space="preserve">First week where ending cash &lt; minimum operating cash</t>
  </si>
  <si>
    <t xml:space="preserve">Term loan quarterly interest (week 6)</t>
  </si>
  <si>
    <t xml:space="preserve">RCF monthly interest and fee</t>
  </si>
  <si>
    <t xml:space="preserve">Term loan payment in week 6 (interest + amortization)</t>
  </si>
  <si>
    <t xml:space="preserve">Capex a week</t>
  </si>
  <si>
    <t xml:space="preserve">Consistency with the LTM EBITDA and the annual burn</t>
  </si>
  <si>
    <t xml:space="preserve">Weekly lines annualized, without the seasonal dip</t>
  </si>
  <si>
    <t xml:space="preserve">Collections less the operating lines (before capex and tax)</t>
  </si>
  <si>
    <t xml:space="preserve">LTM EBITDA</t>
  </si>
  <si>
    <t xml:space="preserve">Seasonal dip in collections over the 13 weeks</t>
  </si>
  <si>
    <t xml:space="preserve">13-week net cash flow</t>
  </si>
  <si>
    <t xml:space="preserve">Annual free cash flow for 13 weeks (a quarter)</t>
  </si>
  <si>
    <t xml:space="preserve">The bridge below reconciles the two, line by line</t>
  </si>
  <si>
    <t xml:space="preserve">Bridge: from a quarter of the annual free cash flow to the 13-week net cash flow</t>
  </si>
  <si>
    <t xml:space="preserve">13 weeks</t>
  </si>
  <si>
    <t xml:space="preserve">A quarter</t>
  </si>
  <si>
    <t xml:space="preserve">Effect</t>
  </si>
  <si>
    <t xml:space="preserve">Seasonal dip in weeks 5 to 8</t>
  </si>
  <si>
    <t xml:space="preserve">Week-10 refund, not in the annual figure</t>
  </si>
  <si>
    <t xml:space="preserve">6 runs in these 13 weeks against 6.5 in an average quarter</t>
  </si>
  <si>
    <t xml:space="preserve">4 monthly payments fall in these 13 weeks against 3</t>
  </si>
  <si>
    <t xml:space="preserve">Not in the annual figure</t>
  </si>
  <si>
    <t xml:space="preserve">A full semi-annual coupon against a quarter's share</t>
  </si>
  <si>
    <t xml:space="preserve">Weekly lines against the LTM EBITDA</t>
  </si>
  <si>
    <t xml:space="preserve">The weekly lines annualize to the figure above, not to the LTM EBITDA</t>
  </si>
  <si>
    <t xml:space="preserve">A quarter of the annual free cash flow</t>
  </si>
  <si>
    <t xml:space="preserve">Sum of the effects</t>
  </si>
  <si>
    <t xml:space="preserve">Quarter + effects</t>
  </si>
  <si>
    <t xml:space="preserve">Gap: 13-week net - a quarter</t>
  </si>
  <si>
    <t xml:space="preserve">Residual: quarter + effects - 13-week net</t>
  </si>
  <si>
    <t xml:space="preserve">Zero: every line is accounted for</t>
  </si>
  <si>
    <t xml:space="preserve">Scenarios: levers (switched on the Levers sheet) and holding the notes coupon</t>
  </si>
  <si>
    <t xml:space="preserve">Base net cash flow</t>
  </si>
  <si>
    <t xml:space="preserve">Levers switched on</t>
  </si>
  <si>
    <t xml:space="preserve">From the Levers sheet</t>
  </si>
  <si>
    <t xml:space="preserve">Notes coupon (added back if held)</t>
  </si>
  <si>
    <t xml:space="preserve">Ending cash with levers (coupon paid)</t>
  </si>
  <si>
    <t xml:space="preserve">Ending cash, coupon held, no levers</t>
  </si>
  <si>
    <t xml:space="preserve">Ending cash with levers and coupon held</t>
  </si>
  <si>
    <t xml:space="preserve">Scenario key figures</t>
  </si>
  <si>
    <t xml:space="preserve">With levers</t>
  </si>
  <si>
    <t xml:space="preserve">Coupon held</t>
  </si>
  <si>
    <t xml:space="preserve">Levers + held</t>
  </si>
  <si>
    <t xml:space="preserve">Trough</t>
  </si>
  <si>
    <t xml:space="preserve">Liquidity versus availability; the springing covenant ($m)</t>
  </si>
  <si>
    <t xml:space="preserve">Chapters 1 and 3. Liquidity on paper is not liquidity you can use.</t>
  </si>
  <si>
    <t xml:space="preserve">Capital structure and annual cash cost</t>
  </si>
  <si>
    <t xml:space="preserve">Item</t>
  </si>
  <si>
    <t xml:space="preserve">RCF rate (SOFR + margin)</t>
  </si>
  <si>
    <t xml:space="preserve">Term loan B rate (SOFR + margin)</t>
  </si>
  <si>
    <t xml:space="preserve">First-lien debt (RCF drawn + TLB)</t>
  </si>
  <si>
    <t xml:space="preserve">Total debt</t>
  </si>
  <si>
    <t xml:space="preserve">Interest: term loan B</t>
  </si>
  <si>
    <t xml:space="preserve">Interest: RCF drawn</t>
  </si>
  <si>
    <t xml:space="preserve">Interest: notes</t>
  </si>
  <si>
    <t xml:space="preserve">Annual cash interest</t>
  </si>
  <si>
    <t xml:space="preserve">Term loan amortization a year</t>
  </si>
  <si>
    <t xml:space="preserve">Annual free cash flow at LTM EBITDA</t>
  </si>
  <si>
    <t xml:space="preserve">After interest, capex, tax and amortization; before advisers</t>
  </si>
  <si>
    <t xml:space="preserve">Total leverage</t>
  </si>
  <si>
    <t xml:space="preserve">Net total leverage</t>
  </si>
  <si>
    <t xml:space="preserve">First-lien net leverage</t>
  </si>
  <si>
    <t xml:space="preserve">Interest cover (EBITDA / cash interest)</t>
  </si>
  <si>
    <t xml:space="preserve">Company snapshot: from the buyout to month 0</t>
  </si>
  <si>
    <t xml:space="preserve">EBITDA margin, LTM</t>
  </si>
  <si>
    <t xml:space="preserve">Buyout price, x buyout EBITDA</t>
  </si>
  <si>
    <t xml:space="preserve">Debt raised, x buyout EBITDA</t>
  </si>
  <si>
    <t xml:space="preserve">EBITDA fall since the buyout</t>
  </si>
  <si>
    <t xml:space="preserve">Revenue fall since the buyout</t>
  </si>
  <si>
    <t xml:space="preserve">Forbearance fee (share of the TLB)</t>
  </si>
  <si>
    <t xml:space="preserve">Chapter 5</t>
  </si>
  <si>
    <t xml:space="preserve">Notes above the TLB cross-default threshold (1 = yes)</t>
  </si>
  <si>
    <t xml:space="preserve">A notes default after the grace period cross-defaults the TLB</t>
  </si>
  <si>
    <t xml:space="preserve">Liquidity on paper, accessible and usable</t>
  </si>
  <si>
    <t xml:space="preserve">Cash</t>
  </si>
  <si>
    <t xml:space="preserve">Undrawn RCF commitments</t>
  </si>
  <si>
    <t xml:space="preserve">Liquidity on paper (cash + undrawn RCF)</t>
  </si>
  <si>
    <t xml:space="preserve">Springing trigger (35% of commitments)</t>
  </si>
  <si>
    <t xml:space="preserve">Test applies at quarter-end only if drawings exceed this</t>
  </si>
  <si>
    <t xml:space="preserve">RCF headroom before the test springs</t>
  </si>
  <si>
    <t xml:space="preserve">Accessible liquidity (cash + headroom)</t>
  </si>
  <si>
    <t xml:space="preserve">Usable liquidity above the operating minimum</t>
  </si>
  <si>
    <t xml:space="preserve">Share of paper liquidity that cannot be used</t>
  </si>
  <si>
    <t xml:space="preserve">Springing covenant test</t>
  </si>
  <si>
    <t xml:space="preserve">First-lien net debt (first lien - cash)</t>
  </si>
  <si>
    <t xml:space="preserve">Covenant level</t>
  </si>
  <si>
    <t xml:space="preserve">Test applies today (1 = drawn above trigger)</t>
  </si>
  <si>
    <t xml:space="preserve">Would pass if tested (1 = pass)</t>
  </si>
  <si>
    <t xml:space="preserve">Brantwell fails: 6.86x against 6.50x</t>
  </si>
  <si>
    <t xml:space="preserve">EBITDA needed to pass today</t>
  </si>
  <si>
    <t xml:space="preserve">EBITDA needed above LTM</t>
  </si>
  <si>
    <t xml:space="preserve">First-lien net debt above what the test allows</t>
  </si>
  <si>
    <t xml:space="preserve">The four clocks</t>
  </si>
  <si>
    <t xml:space="preserve">Clock</t>
  </si>
  <si>
    <t xml:space="preserve">Coupon clock: week the coupon is due</t>
  </si>
  <si>
    <t xml:space="preserve">Coupon amount</t>
  </si>
  <si>
    <t xml:space="preserve">Grace period in weeks</t>
  </si>
  <si>
    <t xml:space="preserve">Then an event of default, which cross-defaults the TLB</t>
  </si>
  <si>
    <t xml:space="preserve">Liquidity clock: first week below the minimum</t>
  </si>
  <si>
    <t xml:space="preserve">Covenant clock: further RCF draw that springs the test</t>
  </si>
  <si>
    <t xml:space="preserve">Maturity clock: RCF maturity (month)</t>
  </si>
  <si>
    <t xml:space="preserve">Accessible liquidity by week (base forecast)</t>
  </si>
  <si>
    <t xml:space="preserve">On paper (ending cash + undrawn RCF)</t>
  </si>
  <si>
    <t xml:space="preserve">Accessible (ending cash + untested RCF headroom)</t>
  </si>
  <si>
    <t xml:space="preserve">Usable above the minimum</t>
  </si>
  <si>
    <t xml:space="preserve">Buying weeks: the internal levers ($m)</t>
  </si>
  <si>
    <t xml:space="preserve">Chapter 4. Set a switch to 1 to include the lever in the scenarios on 13_Week, 0 to exclude it.</t>
  </si>
  <si>
    <t xml:space="preserve">Levers by week</t>
  </si>
  <si>
    <t xml:space="preserve">Lever</t>
  </si>
  <si>
    <t xml:space="preserve">On (1/0)</t>
  </si>
  <si>
    <t xml:space="preserve">Weeks of burn</t>
  </si>
  <si>
    <t xml:space="preserve">Defer growth capex</t>
  </si>
  <si>
    <t xml:space="preserve">Growth capex / 52 every week</t>
  </si>
  <si>
    <t xml:space="preserve">Stretch payables 10 days</t>
  </si>
  <si>
    <t xml:space="preserve">Days of purchases x days stretched, weeks 2-3</t>
  </si>
  <si>
    <t xml:space="preserve">Supplier reaction (insured 25%)</t>
  </si>
  <si>
    <t xml:space="preserve">Insured suppliers, stretched to 55 days, pull all 55, weeks 4-6</t>
  </si>
  <si>
    <t xml:space="preserve">Cut maintenance capex 30%</t>
  </si>
  <si>
    <t xml:space="preserve">A loan from the plant</t>
  </si>
  <si>
    <t xml:space="preserve">Inventory down 6 days</t>
  </si>
  <si>
    <t xml:space="preserve">6 days of purchases, weeks 3-13</t>
  </si>
  <si>
    <t xml:space="preserve">Receivables program</t>
  </si>
  <si>
    <t xml:space="preserve">36 funded in week 5, net of its cost to week 13; it is borrowing</t>
  </si>
  <si>
    <t xml:space="preserve">All levers (switches ignored)</t>
  </si>
  <si>
    <t xml:space="preserve">Runway arithmetic: two rates, both honest</t>
  </si>
  <si>
    <t xml:space="preserve">Base 13-week net cash flow</t>
  </si>
  <si>
    <t xml:space="preserve">This quarter's burn (13 weeks)</t>
  </si>
  <si>
    <t xml:space="preserve">This quarter's weekly burn</t>
  </si>
  <si>
    <t xml:space="preserve">Sum of the six modelled items</t>
  </si>
  <si>
    <t xml:space="preserve">Weeks bought at this quarter's burn</t>
  </si>
  <si>
    <t xml:space="preserve">Annual free cash flow (unchanged by the levers)</t>
  </si>
  <si>
    <t xml:space="preserve">Company advisers a year</t>
  </si>
  <si>
    <t xml:space="preserve">Annual burn including advisers</t>
  </si>
  <si>
    <t xml:space="preserve">Annual burn a week</t>
  </si>
  <si>
    <t xml:space="preserve">Weeks bought at the annual burn</t>
  </si>
  <si>
    <t xml:space="preserve">Levers buy weeks, not solvency: the annual burn and the RCF maturity do not move</t>
  </si>
  <si>
    <t xml:space="preserve">Stretching payables and the supplier reaction</t>
  </si>
  <si>
    <t xml:space="preserve">Purchases paid to suppliers a year</t>
  </si>
  <si>
    <t xml:space="preserve">Purchases a day</t>
  </si>
  <si>
    <t xml:space="preserve">Cash released by the stretch</t>
  </si>
  <si>
    <t xml:space="preserve">Days of credit the insured suppliers now give (stretched)</t>
  </si>
  <si>
    <t xml:space="preserve">Cash lost to the supplier reaction</t>
  </si>
  <si>
    <t xml:space="preserve">Insured share x purchases a day x all 55 days: they move to payment in advance</t>
  </si>
  <si>
    <t xml:space="preserve">Net effect of stretching</t>
  </si>
  <si>
    <t xml:space="preserve">Break-even insured share</t>
  </si>
  <si>
    <t xml:space="preserve">Stretch days / (payables days + stretch); above it, stretching loses cash</t>
  </si>
  <si>
    <t xml:space="preserve">Break-even check: share at which net effect is zero</t>
  </si>
  <si>
    <t xml:space="preserve">Insured share</t>
  </si>
  <si>
    <t xml:space="preserve">Net cash from stretching 10 days</t>
  </si>
  <si>
    <t xml:space="preserve">Negative above the break-even share</t>
  </si>
  <si>
    <t xml:space="preserve">Other levers over the 13 weeks</t>
  </si>
  <si>
    <t xml:space="preserve">Growth capex deferred</t>
  </si>
  <si>
    <t xml:space="preserve">Maintenance capex cut</t>
  </si>
  <si>
    <t xml:space="preserve">Receivables program: amount funded (advance rate x receivables sold)</t>
  </si>
  <si>
    <t xml:space="preserve">Weeks the advance is outstanding in the forecast (funding week to week 13)</t>
  </si>
  <si>
    <t xml:space="preserve">Cost of the receivables program in the forecast</t>
  </si>
  <si>
    <t xml:space="preserve">On the funded amount, weeks 5 to 13</t>
  </si>
  <si>
    <t xml:space="preserve">Receivables program, net</t>
  </si>
  <si>
    <t xml:space="preserve">Revolving: stays outstanding while the buyer buys; reverses if it stops (a filing)</t>
  </si>
  <si>
    <t xml:space="preserve">Unused receivables basket</t>
  </si>
  <si>
    <t xml:space="preserve">Non-core plant sale and the asset-sale sweep</t>
  </si>
  <si>
    <t xml:space="preserve">Proceeds</t>
  </si>
  <si>
    <t xml:space="preserve">EBITDA sold</t>
  </si>
  <si>
    <t xml:space="preserve">Sale multiple</t>
  </si>
  <si>
    <t xml:space="preserve">Swept to the term loan</t>
  </si>
  <si>
    <t xml:space="preserve">Liquidity added</t>
  </si>
  <si>
    <t xml:space="preserve">First-lien net leverage before</t>
  </si>
  <si>
    <t xml:space="preserve">First-lien net leverage after</t>
  </si>
  <si>
    <t xml:space="preserve">Weekly variance: weeks 1-4, actual against forecast ($m)</t>
  </si>
  <si>
    <t xml:space="preserve">Positive = favourable. Classify each variance as timing (reverses) or permanent (carry it forward).</t>
  </si>
  <si>
    <t xml:space="preserve">Forecast</t>
  </si>
  <si>
    <t xml:space="preserve">Actual</t>
  </si>
  <si>
    <t xml:space="preserve">Variance (actual - forecast)</t>
  </si>
  <si>
    <t xml:space="preserve">of which timing</t>
  </si>
  <si>
    <t xml:space="preserve">Early payment: +0.70 in week 2 that was due in week 3</t>
  </si>
  <si>
    <t xml:space="preserve">of which permanent</t>
  </si>
  <si>
    <t xml:space="preserve">Carried into every future week</t>
  </si>
  <si>
    <t xml:space="preserve">Variance (forecast - actual)</t>
  </si>
  <si>
    <t xml:space="preserve">Positive = paid less than forecast</t>
  </si>
  <si>
    <t xml:space="preserve">Shortened terms would be permanent: the first sign of the supplier reaction</t>
  </si>
  <si>
    <t xml:space="preserve">Net</t>
  </si>
  <si>
    <t xml:space="preserve">Net variance</t>
  </si>
  <si>
    <t xml:space="preserve">Cumulative net variance</t>
  </si>
  <si>
    <t xml:space="preserve">Reading</t>
  </si>
  <si>
    <t xml:space="preserve">Collections, weeks 2 and 3 together</t>
  </si>
  <si>
    <t xml:space="preserve">The timing swing nets out; the pair is still short</t>
  </si>
  <si>
    <t xml:space="preserve">Cumulative collections variance</t>
  </si>
  <si>
    <t xml:space="preserve">Cumulative supplier variance</t>
  </si>
  <si>
    <t xml:space="preserve">Net cumulative variance</t>
  </si>
  <si>
    <t xml:space="preserve">Permanent collections shortfall per week (run-rate)</t>
  </si>
  <si>
    <t xml:space="preserve">Roll forward: push this through every remaining week</t>
  </si>
  <si>
    <t xml:space="preserve">Effect on week-13 cash if carried into weeks 5-13</t>
  </si>
  <si>
    <t xml:space="preserve">Illustrative: not printed in the book</t>
  </si>
  <si>
    <t xml:space="preserve">Checks: the figures printed in the book against the live workbook</t>
  </si>
  <si>
    <t xml:space="preserve">Book = the figure as printed (from _FACTS.md, rounded half up). Tolerance = half a unit of the last printed digit. Display = the live value rounded to the printed precision.</t>
  </si>
  <si>
    <t xml:space="preserve">Number of checks</t>
  </si>
  <si>
    <t xml:space="preserve">Displayed differently from the book</t>
  </si>
  <si>
    <t xml:space="preserve">Number of FAIL</t>
  </si>
  <si>
    <t xml:space="preserve">#</t>
  </si>
  <si>
    <t xml:space="preserve">Sheet</t>
  </si>
  <si>
    <t xml:space="preserve">Figure printed in the book</t>
  </si>
  <si>
    <t xml:space="preserve">Book</t>
  </si>
  <si>
    <t xml:space="preserve">Workbook</t>
  </si>
  <si>
    <t xml:space="preserve">Difference</t>
  </si>
  <si>
    <t xml:space="preserve">Tolerance</t>
  </si>
  <si>
    <t xml:space="preserve">Status</t>
  </si>
  <si>
    <t xml:space="preserve">Display</t>
  </si>
  <si>
    <t xml:space="preserve">13_Week</t>
  </si>
  <si>
    <t xml:space="preserve">Customer collections, week 1</t>
  </si>
  <si>
    <t xml:space="preserve">Customer collections, week 2</t>
  </si>
  <si>
    <t xml:space="preserve">Customer collections, week 3</t>
  </si>
  <si>
    <t xml:space="preserve">Customer collections, week 4</t>
  </si>
  <si>
    <t xml:space="preserve">Customer collections, week 5</t>
  </si>
  <si>
    <t xml:space="preserve">Customer collections, week 6</t>
  </si>
  <si>
    <t xml:space="preserve">Customer collections, week 7</t>
  </si>
  <si>
    <t xml:space="preserve">Customer collections, week 8</t>
  </si>
  <si>
    <t xml:space="preserve">Customer collections, week 9</t>
  </si>
  <si>
    <t xml:space="preserve">Customer collections, week 10</t>
  </si>
  <si>
    <t xml:space="preserve">Customer collections, week 11</t>
  </si>
  <si>
    <t xml:space="preserve">Customer collections, week 12</t>
  </si>
  <si>
    <t xml:space="preserve">Customer collections, week 13</t>
  </si>
  <si>
    <t xml:space="preserve">Customer collections, 13-week total</t>
  </si>
  <si>
    <t xml:space="preserve">Other receipts, week 1</t>
  </si>
  <si>
    <t xml:space="preserve">Other receipts, week 2</t>
  </si>
  <si>
    <t xml:space="preserve">Other receipts, week 3</t>
  </si>
  <si>
    <t xml:space="preserve">Other receipts, week 4</t>
  </si>
  <si>
    <t xml:space="preserve">Other receipts, week 5</t>
  </si>
  <si>
    <t xml:space="preserve">Other receipts, week 6</t>
  </si>
  <si>
    <t xml:space="preserve">Other receipts, week 7</t>
  </si>
  <si>
    <t xml:space="preserve">Other receipts, week 8</t>
  </si>
  <si>
    <t xml:space="preserve">Other receipts, week 9</t>
  </si>
  <si>
    <t xml:space="preserve">Other receipts, week 10</t>
  </si>
  <si>
    <t xml:space="preserve">Other receipts, week 11</t>
  </si>
  <si>
    <t xml:space="preserve">Other receipts, week 12</t>
  </si>
  <si>
    <t xml:space="preserve">Other receipts, week 13</t>
  </si>
  <si>
    <t xml:space="preserve">Other receipts, 13-week total</t>
  </si>
  <si>
    <t xml:space="preserve">Suppliers, week 1</t>
  </si>
  <si>
    <t xml:space="preserve">Suppliers, week 2</t>
  </si>
  <si>
    <t xml:space="preserve">Suppliers, week 3</t>
  </si>
  <si>
    <t xml:space="preserve">Suppliers, week 4</t>
  </si>
  <si>
    <t xml:space="preserve">Suppliers, week 5</t>
  </si>
  <si>
    <t xml:space="preserve">Suppliers, week 6</t>
  </si>
  <si>
    <t xml:space="preserve">Suppliers, week 7</t>
  </si>
  <si>
    <t xml:space="preserve">Suppliers, week 8</t>
  </si>
  <si>
    <t xml:space="preserve">Suppliers, week 9</t>
  </si>
  <si>
    <t xml:space="preserve">Suppliers, week 10</t>
  </si>
  <si>
    <t xml:space="preserve">Suppliers, week 11</t>
  </si>
  <si>
    <t xml:space="preserve">Suppliers, week 12</t>
  </si>
  <si>
    <t xml:space="preserve">Suppliers, week 13</t>
  </si>
  <si>
    <t xml:space="preserve">Suppliers, 13-week total</t>
  </si>
  <si>
    <t xml:space="preserve">Payroll, week 1</t>
  </si>
  <si>
    <t xml:space="preserve">Payroll, week 2</t>
  </si>
  <si>
    <t xml:space="preserve">Payroll, week 3</t>
  </si>
  <si>
    <t xml:space="preserve">Payroll, week 4</t>
  </si>
  <si>
    <t xml:space="preserve">Payroll, week 5</t>
  </si>
  <si>
    <t xml:space="preserve">Payroll, week 6</t>
  </si>
  <si>
    <t xml:space="preserve">Payroll, week 7</t>
  </si>
  <si>
    <t xml:space="preserve">Payroll, week 8</t>
  </si>
  <si>
    <t xml:space="preserve">Payroll, week 9</t>
  </si>
  <si>
    <t xml:space="preserve">Payroll, week 10</t>
  </si>
  <si>
    <t xml:space="preserve">Payroll, week 11</t>
  </si>
  <si>
    <t xml:space="preserve">Payroll, week 12</t>
  </si>
  <si>
    <t xml:space="preserve">Payroll, week 13</t>
  </si>
  <si>
    <t xml:space="preserve">Payroll, 13-week total</t>
  </si>
  <si>
    <t xml:space="preserve">Freight and logistics, week 1</t>
  </si>
  <si>
    <t xml:space="preserve">Freight and logistics, week 2</t>
  </si>
  <si>
    <t xml:space="preserve">Freight and logistics, week 3</t>
  </si>
  <si>
    <t xml:space="preserve">Freight and logistics, week 4</t>
  </si>
  <si>
    <t xml:space="preserve">Freight and logistics, week 5</t>
  </si>
  <si>
    <t xml:space="preserve">Freight and logistics, week 6</t>
  </si>
  <si>
    <t xml:space="preserve">Freight and logistics, week 7</t>
  </si>
  <si>
    <t xml:space="preserve">Freight and logistics, week 8</t>
  </si>
  <si>
    <t xml:space="preserve">Freight and logistics, week 9</t>
  </si>
  <si>
    <t xml:space="preserve">Freight and logistics, week 10</t>
  </si>
  <si>
    <t xml:space="preserve">Freight and logistics, week 11</t>
  </si>
  <si>
    <t xml:space="preserve">Freight and logistics, week 12</t>
  </si>
  <si>
    <t xml:space="preserve">Freight and logistics, week 13</t>
  </si>
  <si>
    <t xml:space="preserve">Freight and logistics, 13-week total</t>
  </si>
  <si>
    <t xml:space="preserve">Other operating costs, week 1</t>
  </si>
  <si>
    <t xml:space="preserve">Other operating costs, week 2</t>
  </si>
  <si>
    <t xml:space="preserve">Other operating costs, week 3</t>
  </si>
  <si>
    <t xml:space="preserve">Other operating costs, week 4</t>
  </si>
  <si>
    <t xml:space="preserve">Other operating costs, week 5</t>
  </si>
  <si>
    <t xml:space="preserve">Other operating costs, week 6</t>
  </si>
  <si>
    <t xml:space="preserve">Other operating costs, week 7</t>
  </si>
  <si>
    <t xml:space="preserve">Other operating costs, week 8</t>
  </si>
  <si>
    <t xml:space="preserve">Other operating costs, week 9</t>
  </si>
  <si>
    <t xml:space="preserve">Other operating costs, week 10</t>
  </si>
  <si>
    <t xml:space="preserve">Other operating costs, week 11</t>
  </si>
  <si>
    <t xml:space="preserve">Other operating costs, week 12</t>
  </si>
  <si>
    <t xml:space="preserve">Other operating costs, week 13</t>
  </si>
  <si>
    <t xml:space="preserve">Other operating costs, 13-week total</t>
  </si>
  <si>
    <t xml:space="preserve">Rent and utilities, week 1</t>
  </si>
  <si>
    <t xml:space="preserve">Rent and utilities, week 2</t>
  </si>
  <si>
    <t xml:space="preserve">Rent and utilities, week 3</t>
  </si>
  <si>
    <t xml:space="preserve">Rent and utilities, week 4</t>
  </si>
  <si>
    <t xml:space="preserve">Rent and utilities, week 5</t>
  </si>
  <si>
    <t xml:space="preserve">Rent and utilities, week 6</t>
  </si>
  <si>
    <t xml:space="preserve">Rent and utilities, week 7</t>
  </si>
  <si>
    <t xml:space="preserve">Rent and utilities, week 8</t>
  </si>
  <si>
    <t xml:space="preserve">Rent and utilities, week 9</t>
  </si>
  <si>
    <t xml:space="preserve">Rent and utilities, week 10</t>
  </si>
  <si>
    <t xml:space="preserve">Rent and utilities, week 11</t>
  </si>
  <si>
    <t xml:space="preserve">Rent and utilities, week 12</t>
  </si>
  <si>
    <t xml:space="preserve">Rent and utilities, week 13</t>
  </si>
  <si>
    <t xml:space="preserve">Rent and utilities, 13-week total</t>
  </si>
  <si>
    <t xml:space="preserve">Customer rebates, week 1</t>
  </si>
  <si>
    <t xml:space="preserve">Customer rebates, week 2</t>
  </si>
  <si>
    <t xml:space="preserve">Customer rebates, week 3</t>
  </si>
  <si>
    <t xml:space="preserve">Customer rebates, week 4</t>
  </si>
  <si>
    <t xml:space="preserve">Customer rebates, week 5</t>
  </si>
  <si>
    <t xml:space="preserve">Customer rebates, week 6</t>
  </si>
  <si>
    <t xml:space="preserve">Customer rebates, week 7</t>
  </si>
  <si>
    <t xml:space="preserve">Customer rebates, week 8</t>
  </si>
  <si>
    <t xml:space="preserve">Customer rebates, week 9</t>
  </si>
  <si>
    <t xml:space="preserve">Customer rebates, week 10</t>
  </si>
  <si>
    <t xml:space="preserve">Customer rebates, week 11</t>
  </si>
  <si>
    <t xml:space="preserve">Customer rebates, week 12</t>
  </si>
  <si>
    <t xml:space="preserve">Customer rebates, week 13</t>
  </si>
  <si>
    <t xml:space="preserve">Customer rebates, 13-week total</t>
  </si>
  <si>
    <t xml:space="preserve">Capital expenditure, week 1</t>
  </si>
  <si>
    <t xml:space="preserve">Capital expenditure, week 2</t>
  </si>
  <si>
    <t xml:space="preserve">Capital expenditure, week 3</t>
  </si>
  <si>
    <t xml:space="preserve">Capital expenditure, week 4</t>
  </si>
  <si>
    <t xml:space="preserve">Capital expenditure, week 5</t>
  </si>
  <si>
    <t xml:space="preserve">Capital expenditure, week 6</t>
  </si>
  <si>
    <t xml:space="preserve">Capital expenditure, week 7</t>
  </si>
  <si>
    <t xml:space="preserve">Capital expenditure, week 8</t>
  </si>
  <si>
    <t xml:space="preserve">Capital expenditure, week 9</t>
  </si>
  <si>
    <t xml:space="preserve">Capital expenditure, week 10</t>
  </si>
  <si>
    <t xml:space="preserve">Capital expenditure, week 11</t>
  </si>
  <si>
    <t xml:space="preserve">Capital expenditure, week 12</t>
  </si>
  <si>
    <t xml:space="preserve">Capital expenditure, week 13</t>
  </si>
  <si>
    <t xml:space="preserve">Capital expenditure, 13-week total</t>
  </si>
  <si>
    <t xml:space="preserve">Cash taxes, week 1</t>
  </si>
  <si>
    <t xml:space="preserve">Cash taxes, week 2</t>
  </si>
  <si>
    <t xml:space="preserve">Cash taxes, week 3</t>
  </si>
  <si>
    <t xml:space="preserve">Cash taxes, week 4</t>
  </si>
  <si>
    <t xml:space="preserve">Cash taxes, week 5</t>
  </si>
  <si>
    <t xml:space="preserve">Cash taxes, week 6</t>
  </si>
  <si>
    <t xml:space="preserve">Cash taxes, week 7</t>
  </si>
  <si>
    <t xml:space="preserve">Cash taxes, week 8</t>
  </si>
  <si>
    <t xml:space="preserve">Cash taxes, week 9</t>
  </si>
  <si>
    <t xml:space="preserve">Cash taxes, week 10</t>
  </si>
  <si>
    <t xml:space="preserve">Cash taxes, week 11</t>
  </si>
  <si>
    <t xml:space="preserve">Cash taxes, week 12</t>
  </si>
  <si>
    <t xml:space="preserve">Cash taxes, week 13</t>
  </si>
  <si>
    <t xml:space="preserve">Cash taxes, 13-week total</t>
  </si>
  <si>
    <t xml:space="preserve">Restructuring advisers, week 1</t>
  </si>
  <si>
    <t xml:space="preserve">Restructuring advisers, week 2</t>
  </si>
  <si>
    <t xml:space="preserve">Restructuring advisers, week 3</t>
  </si>
  <si>
    <t xml:space="preserve">Restructuring advisers, week 4</t>
  </si>
  <si>
    <t xml:space="preserve">Restructuring advisers, week 5</t>
  </si>
  <si>
    <t xml:space="preserve">Restructuring advisers, week 6</t>
  </si>
  <si>
    <t xml:space="preserve">Restructuring advisers, week 7</t>
  </si>
  <si>
    <t xml:space="preserve">Restructuring advisers, week 8</t>
  </si>
  <si>
    <t xml:space="preserve">Restructuring advisers, week 9</t>
  </si>
  <si>
    <t xml:space="preserve">Restructuring advisers, week 10</t>
  </si>
  <si>
    <t xml:space="preserve">Restructuring advisers, week 11</t>
  </si>
  <si>
    <t xml:space="preserve">Restructuring advisers, week 12</t>
  </si>
  <si>
    <t xml:space="preserve">Restructuring advisers, week 13</t>
  </si>
  <si>
    <t xml:space="preserve">Restructuring advisers, 13-week total</t>
  </si>
  <si>
    <t xml:space="preserve">Term loan interest, week 1</t>
  </si>
  <si>
    <t xml:space="preserve">Term loan interest, week 2</t>
  </si>
  <si>
    <t xml:space="preserve">Term loan interest, week 3</t>
  </si>
  <si>
    <t xml:space="preserve">Term loan interest, week 4</t>
  </si>
  <si>
    <t xml:space="preserve">Term loan interest, week 5</t>
  </si>
  <si>
    <t xml:space="preserve">Term loan interest, week 6</t>
  </si>
  <si>
    <t xml:space="preserve">Term loan interest, week 7</t>
  </si>
  <si>
    <t xml:space="preserve">Term loan interest, week 8</t>
  </si>
  <si>
    <t xml:space="preserve">Term loan interest, week 9</t>
  </si>
  <si>
    <t xml:space="preserve">Term loan interest, week 10</t>
  </si>
  <si>
    <t xml:space="preserve">Term loan interest, week 11</t>
  </si>
  <si>
    <t xml:space="preserve">Term loan interest, week 12</t>
  </si>
  <si>
    <t xml:space="preserve">Term loan interest, week 13</t>
  </si>
  <si>
    <t xml:space="preserve">Term loan interest, 13-week total</t>
  </si>
  <si>
    <t xml:space="preserve">Term loan amortization, week 1</t>
  </si>
  <si>
    <t xml:space="preserve">Term loan amortization, week 2</t>
  </si>
  <si>
    <t xml:space="preserve">Term loan amortization, week 3</t>
  </si>
  <si>
    <t xml:space="preserve">Term loan amortization, week 4</t>
  </si>
  <si>
    <t xml:space="preserve">Term loan amortization, week 5</t>
  </si>
  <si>
    <t xml:space="preserve">Term loan amortization, week 6</t>
  </si>
  <si>
    <t xml:space="preserve">Term loan amortization, week 7</t>
  </si>
  <si>
    <t xml:space="preserve">Term loan amortization, week 8</t>
  </si>
  <si>
    <t xml:space="preserve">Term loan amortization, week 9</t>
  </si>
  <si>
    <t xml:space="preserve">Term loan amortization, week 10</t>
  </si>
  <si>
    <t xml:space="preserve">Term loan amortization, week 11</t>
  </si>
  <si>
    <t xml:space="preserve">Term loan amortization, week 12</t>
  </si>
  <si>
    <t xml:space="preserve">Term loan amortization, week 13</t>
  </si>
  <si>
    <t xml:space="preserve">Term loan amortization, 13-week total</t>
  </si>
  <si>
    <t xml:space="preserve">Revolver interest and fees, week 1</t>
  </si>
  <si>
    <t xml:space="preserve">Revolver interest and fees, week 2</t>
  </si>
  <si>
    <t xml:space="preserve">Revolver interest and fees, week 3</t>
  </si>
  <si>
    <t xml:space="preserve">Revolver interest and fees, week 4</t>
  </si>
  <si>
    <t xml:space="preserve">Revolver interest and fees, week 5</t>
  </si>
  <si>
    <t xml:space="preserve">Revolver interest and fees, week 6</t>
  </si>
  <si>
    <t xml:space="preserve">Revolver interest and fees, week 7</t>
  </si>
  <si>
    <t xml:space="preserve">Revolver interest and fees, week 8</t>
  </si>
  <si>
    <t xml:space="preserve">Revolver interest and fees, week 9</t>
  </si>
  <si>
    <t xml:space="preserve">Revolver interest and fees, week 10</t>
  </si>
  <si>
    <t xml:space="preserve">Revolver interest and fees, week 11</t>
  </si>
  <si>
    <t xml:space="preserve">Revolver interest and fees, week 12</t>
  </si>
  <si>
    <t xml:space="preserve">Revolver interest and fees, week 13</t>
  </si>
  <si>
    <t xml:space="preserve">Revolver interest and fees, 13-week total</t>
  </si>
  <si>
    <t xml:space="preserve">Notes coupon, week 1</t>
  </si>
  <si>
    <t xml:space="preserve">Notes coupon, week 2</t>
  </si>
  <si>
    <t xml:space="preserve">Notes coupon, week 3</t>
  </si>
  <si>
    <t xml:space="preserve">Notes coupon, week 4</t>
  </si>
  <si>
    <t xml:space="preserve">Notes coupon, week 5</t>
  </si>
  <si>
    <t xml:space="preserve">Notes coupon, week 6</t>
  </si>
  <si>
    <t xml:space="preserve">Notes coupon, week 7</t>
  </si>
  <si>
    <t xml:space="preserve">Notes coupon, week 8</t>
  </si>
  <si>
    <t xml:space="preserve">Notes coupon, week 9</t>
  </si>
  <si>
    <t xml:space="preserve">Notes coupon, week 10</t>
  </si>
  <si>
    <t xml:space="preserve">Notes coupon, week 11</t>
  </si>
  <si>
    <t xml:space="preserve">Notes coupon, week 12</t>
  </si>
  <si>
    <t xml:space="preserve">Notes coupon, week 13</t>
  </si>
  <si>
    <t xml:space="preserve">Notes coupon, 13-week total</t>
  </si>
  <si>
    <t xml:space="preserve">Receipts, week 1</t>
  </si>
  <si>
    <t xml:space="preserve">Receipts, week 2</t>
  </si>
  <si>
    <t xml:space="preserve">Receipts, week 3</t>
  </si>
  <si>
    <t xml:space="preserve">Receipts, week 4</t>
  </si>
  <si>
    <t xml:space="preserve">Receipts, week 5</t>
  </si>
  <si>
    <t xml:space="preserve">Receipts, week 6</t>
  </si>
  <si>
    <t xml:space="preserve">Receipts, week 7</t>
  </si>
  <si>
    <t xml:space="preserve">Receipts, week 8</t>
  </si>
  <si>
    <t xml:space="preserve">Receipts, week 9</t>
  </si>
  <si>
    <t xml:space="preserve">Receipts, week 10</t>
  </si>
  <si>
    <t xml:space="preserve">Receipts, week 11</t>
  </si>
  <si>
    <t xml:space="preserve">Receipts, week 12</t>
  </si>
  <si>
    <t xml:space="preserve">Receipts, week 13</t>
  </si>
  <si>
    <t xml:space="preserve">Net flow, week 1</t>
  </si>
  <si>
    <t xml:space="preserve">Net flow, week 2</t>
  </si>
  <si>
    <t xml:space="preserve">Net flow, week 3</t>
  </si>
  <si>
    <t xml:space="preserve">Net flow, week 4</t>
  </si>
  <si>
    <t xml:space="preserve">Net flow, week 5</t>
  </si>
  <si>
    <t xml:space="preserve">Net flow, week 6</t>
  </si>
  <si>
    <t xml:space="preserve">Net flow, week 7</t>
  </si>
  <si>
    <t xml:space="preserve">Net flow, week 8</t>
  </si>
  <si>
    <t xml:space="preserve">Net flow, week 9</t>
  </si>
  <si>
    <t xml:space="preserve">Net flow, week 10</t>
  </si>
  <si>
    <t xml:space="preserve">Net flow, week 11</t>
  </si>
  <si>
    <t xml:space="preserve">Net flow, week 12</t>
  </si>
  <si>
    <t xml:space="preserve">Net flow, week 13</t>
  </si>
  <si>
    <t xml:space="preserve">Ending cash, week 1</t>
  </si>
  <si>
    <t xml:space="preserve">Ending cash, week 2</t>
  </si>
  <si>
    <t xml:space="preserve">Ending cash, week 3</t>
  </si>
  <si>
    <t xml:space="preserve">Ending cash, week 4</t>
  </si>
  <si>
    <t xml:space="preserve">Ending cash, week 5</t>
  </si>
  <si>
    <t xml:space="preserve">Ending cash, week 6</t>
  </si>
  <si>
    <t xml:space="preserve">Ending cash, week 7</t>
  </si>
  <si>
    <t xml:space="preserve">Ending cash, week 8</t>
  </si>
  <si>
    <t xml:space="preserve">Ending cash, week 9</t>
  </si>
  <si>
    <t xml:space="preserve">Ending cash, week 10</t>
  </si>
  <si>
    <t xml:space="preserve">Ending cash, week 11</t>
  </si>
  <si>
    <t xml:space="preserve">Ending cash, week 12</t>
  </si>
  <si>
    <t xml:space="preserve">Advisers</t>
  </si>
  <si>
    <t xml:space="preserve">TLB quarterly interest</t>
  </si>
  <si>
    <t xml:space="preserve">TLB interest + amortization in week 6</t>
  </si>
  <si>
    <t xml:space="preserve">Ending cash, week 13 (liquidity clock)</t>
  </si>
  <si>
    <t xml:space="preserve">First week below the $25m minimum</t>
  </si>
  <si>
    <t xml:space="preserve">Weekly lines annualized without the dip (EBITDA)</t>
  </si>
  <si>
    <t xml:space="preserve">Seasonal dip in collections</t>
  </si>
  <si>
    <t xml:space="preserve">Bridge: collections (seasonal dip)</t>
  </si>
  <si>
    <t xml:space="preserve">Bridge: other receipts (week-10 refund)</t>
  </si>
  <si>
    <t xml:space="preserve">Bridge: payroll (6 runs against 6.5)</t>
  </si>
  <si>
    <t xml:space="preserve">Bridge: rent and utilities (4 payments against 3)</t>
  </si>
  <si>
    <t xml:space="preserve">Bridge: notes coupon (a full coupon against a quarter's share)</t>
  </si>
  <si>
    <t xml:space="preserve">Bridge: restructuring advisers</t>
  </si>
  <si>
    <t xml:space="preserve">Bridge: weekly lines against the LTM EBITDA</t>
  </si>
  <si>
    <t xml:space="preserve">Bridge: suppliers (exactly a quarter's share)</t>
  </si>
  <si>
    <t xml:space="preserve">Bridge: freight (exactly a quarter's share)</t>
  </si>
  <si>
    <t xml:space="preserve">Bridge: other costs (exactly a quarter's share)</t>
  </si>
  <si>
    <t xml:space="preserve">Bridge: quarterly rebate (exactly a quarter's share)</t>
  </si>
  <si>
    <t xml:space="preserve">Bridge: capex (exactly a quarter's share)</t>
  </si>
  <si>
    <t xml:space="preserve">Bridge: tax (exactly a quarter's share)</t>
  </si>
  <si>
    <t xml:space="preserve">Bridge: TLB interest (exactly a quarter's share)</t>
  </si>
  <si>
    <t xml:space="preserve">Bridge: TLB amortization (exactly a quarter's share)</t>
  </si>
  <si>
    <t xml:space="preserve">Bridge: RCF interest (exactly a quarter's share)</t>
  </si>
  <si>
    <t xml:space="preserve">Bridge: gap, 13-week net - a quarter</t>
  </si>
  <si>
    <t xml:space="preserve">Bridge: gap, sum of the effects</t>
  </si>
  <si>
    <t xml:space="preserve">Bridge: residual</t>
  </si>
  <si>
    <t xml:space="preserve">With all six items: ending cash week 13 (coupon paid)</t>
  </si>
  <si>
    <t xml:space="preserve">Coupon held, no levers: ending cash week 13</t>
  </si>
  <si>
    <t xml:space="preserve">Liquidity</t>
  </si>
  <si>
    <t xml:space="preserve">RCF rate</t>
  </si>
  <si>
    <t xml:space="preserve">TLB rate</t>
  </si>
  <si>
    <t xml:space="preserve">First-lien debt</t>
  </si>
  <si>
    <t xml:space="preserve">Interest: TLB</t>
  </si>
  <si>
    <t xml:space="preserve">Interest: RCF</t>
  </si>
  <si>
    <t xml:space="preserve">RCF commitment fee</t>
  </si>
  <si>
    <t xml:space="preserve">Interest cover</t>
  </si>
  <si>
    <t xml:space="preserve">Annual free cash flow</t>
  </si>
  <si>
    <t xml:space="preserve">TLB amortization a year</t>
  </si>
  <si>
    <t xml:space="preserve">EBITDA margin</t>
  </si>
  <si>
    <t xml:space="preserve">Buyout price multiple</t>
  </si>
  <si>
    <t xml:space="preserve">Buyout debt multiple</t>
  </si>
  <si>
    <t xml:space="preserve">Forbearance fee</t>
  </si>
  <si>
    <t xml:space="preserve">Liquidity on paper</t>
  </si>
  <si>
    <t xml:space="preserve">Springing trigger</t>
  </si>
  <si>
    <t xml:space="preserve">Headroom before the test</t>
  </si>
  <si>
    <t xml:space="preserve">Accessible liquidity</t>
  </si>
  <si>
    <t xml:space="preserve">Usable liquidity</t>
  </si>
  <si>
    <t xml:space="preserve">Share that cannot be used</t>
  </si>
  <si>
    <t xml:space="preserve">EBITDA needed to pass the covenant</t>
  </si>
  <si>
    <t xml:space="preserve">Net debt above the test</t>
  </si>
  <si>
    <t xml:space="preserve">Coupon</t>
  </si>
  <si>
    <t xml:space="preserve">Coupon week</t>
  </si>
  <si>
    <t xml:space="preserve">Grace period, weeks</t>
  </si>
  <si>
    <t xml:space="preserve">Levers</t>
  </si>
  <si>
    <t xml:space="preserve">Defer growth capex, 13-week total</t>
  </si>
  <si>
    <t xml:space="preserve">Stretch payables 10 days, 13-week total</t>
  </si>
  <si>
    <t xml:space="preserve">Supplier reaction (insured 25%), 13-week total</t>
  </si>
  <si>
    <t xml:space="preserve">Cut maintenance capex 30%, 13-week total</t>
  </si>
  <si>
    <t xml:space="preserve">Inventory down 6 days, 13-week total</t>
  </si>
  <si>
    <t xml:space="preserve">Receivables program, 13-week total</t>
  </si>
  <si>
    <t xml:space="preserve">Levers switched on (all on)</t>
  </si>
  <si>
    <t xml:space="preserve">Purchases a year</t>
  </si>
  <si>
    <t xml:space="preserve">Stretch releases</t>
  </si>
  <si>
    <t xml:space="preserve">Days of credit pulled by insured suppliers</t>
  </si>
  <si>
    <t xml:space="preserve">Supplier reaction</t>
  </si>
  <si>
    <t xml:space="preserve">Receivables program: funded</t>
  </si>
  <si>
    <t xml:space="preserve">Receivables program: weeks of cost</t>
  </si>
  <si>
    <t xml:space="preserve">Cost of receivables program</t>
  </si>
  <si>
    <t xml:space="preserve">Receivables program net</t>
  </si>
  <si>
    <t xml:space="preserve">Plant sale multiple</t>
  </si>
  <si>
    <t xml:space="preserve">Plant sale liquidity</t>
  </si>
  <si>
    <t xml:space="preserve">First-lien net leverage after sale</t>
  </si>
  <si>
    <t xml:space="preserve">This quarter's burn over 13 weeks</t>
  </si>
  <si>
    <t xml:space="preserve">Sum of the items, rounded</t>
  </si>
  <si>
    <t xml:space="preserve">Advisers a year</t>
  </si>
  <si>
    <t xml:space="preserve">Variance</t>
  </si>
  <si>
    <t xml:space="preserve">Collections variance, week 1</t>
  </si>
  <si>
    <t xml:space="preserve">Collections variance, week 2</t>
  </si>
  <si>
    <t xml:space="preserve">Collections variance, week 3</t>
  </si>
  <si>
    <t xml:space="preserve">Collections variance, week 4</t>
  </si>
  <si>
    <t xml:space="preserve">Collections cumulative</t>
  </si>
  <si>
    <t xml:space="preserve">Supplier variance, week 1</t>
  </si>
  <si>
    <t xml:space="preserve">Supplier variance, week 2</t>
  </si>
  <si>
    <t xml:space="preserve">Supplier variance, week 3</t>
  </si>
  <si>
    <t xml:space="preserve">Supplier variance, week 4</t>
  </si>
  <si>
    <t xml:space="preserve">Suppliers cumulative</t>
  </si>
  <si>
    <t xml:space="preserve">Weeks 2 and 3 of collections together</t>
  </si>
  <si>
    <t xml:space="preserve">Permanent collections variance (the steady shortfall)</t>
  </si>
</sst>
</file>

<file path=xl/styles.xml><?xml version="1.0" encoding="utf-8"?>
<styleSheet xmlns="http://schemas.openxmlformats.org/spreadsheetml/2006/main">
  <numFmts count="24">
    <numFmt numFmtId="164" formatCode="General"/>
    <numFmt numFmtId="165" formatCode="0.00%"/>
    <numFmt numFmtId="166" formatCode="#,##0.0;\-#,##0.0;0.0"/>
    <numFmt numFmtId="167" formatCode="0.000%"/>
    <numFmt numFmtId="168" formatCode="0.0%"/>
    <numFmt numFmtId="169" formatCode="0.00\x"/>
    <numFmt numFmtId="170" formatCode="0"/>
    <numFmt numFmtId="171" formatCode="#,##0.00;\-#,##0.00;0.00"/>
    <numFmt numFmtId="172" formatCode="&quot;Week &quot;0"/>
    <numFmt numFmtId="173" formatCode="0%"/>
    <numFmt numFmtId="174" formatCode="#,##0.00;\-#,##0.00;\–"/>
    <numFmt numFmtId="175" formatCode="#,##0.000;\-#,##0.000;0.000"/>
    <numFmt numFmtId="176" formatCode="#,##0.0000;\-#,##0.0000;0.0000"/>
    <numFmt numFmtId="177" formatCode="0.0\x"/>
    <numFmt numFmtId="178" formatCode="0.0"/>
    <numFmt numFmtId="179" formatCode="#,##0.00"/>
    <numFmt numFmtId="180" formatCode="#,##0.0000"/>
    <numFmt numFmtId="181" formatCode="0.000000"/>
    <numFmt numFmtId="182" formatCode="#,##0.0"/>
    <numFmt numFmtId="183" formatCode="#,##0.000"/>
    <numFmt numFmtId="184" formatCode="#,##0.00000"/>
    <numFmt numFmtId="185" formatCode="#,##0.000000"/>
    <numFmt numFmtId="186" formatCode="#,##0"/>
    <numFmt numFmtId="187" formatCode="0.0000%"/>
  </numFmts>
  <fonts count="9">
    <font>
      <sz val="11"/>
      <color theme="1"/>
      <name val="Calibri"/>
      <family val="2"/>
      <charset val="1"/>
    </font>
    <font>
      <sz val="10"/>
      <name val="Arial"/>
      <family val="0"/>
    </font>
    <font>
      <sz val="10"/>
      <name val="Arial"/>
      <family val="0"/>
    </font>
    <font>
      <sz val="10"/>
      <name val="Arial"/>
      <family val="0"/>
    </font>
    <font>
      <b val="true"/>
      <sz val="12"/>
      <color rgb="FF000000"/>
      <name val="Calibri"/>
      <family val="0"/>
      <charset val="1"/>
    </font>
    <font>
      <b val="true"/>
      <sz val="10"/>
      <color rgb="FF000000"/>
      <name val="Calibri"/>
      <family val="0"/>
      <charset val="1"/>
    </font>
    <font>
      <sz val="10"/>
      <color rgb="FF000000"/>
      <name val="Calibri"/>
      <family val="0"/>
      <charset val="1"/>
    </font>
    <font>
      <sz val="10"/>
      <color rgb="FF404040"/>
      <name val="Calibri"/>
      <family val="0"/>
      <charset val="1"/>
    </font>
    <font>
      <sz val="10"/>
      <color rgb="FF0000FF"/>
      <name val="Calibri"/>
      <family val="0"/>
      <charset val="1"/>
    </font>
  </fonts>
  <fills count="3">
    <fill>
      <patternFill patternType="none"/>
    </fill>
    <fill>
      <patternFill patternType="gray125"/>
    </fill>
    <fill>
      <patternFill patternType="solid">
        <fgColor rgb="FFDDE4EE"/>
        <bgColor rgb="FFCCFFFF"/>
      </patternFill>
    </fill>
  </fills>
  <borders count="3">
    <border diagonalUp="false" diagonalDown="false">
      <left/>
      <right/>
      <top/>
      <bottom/>
      <diagonal/>
    </border>
    <border diagonalUp="false" diagonalDown="false">
      <left/>
      <right/>
      <top/>
      <bottom style="thin">
        <color rgb="FF7F7F7F"/>
      </bottom>
      <diagonal/>
    </border>
    <border diagonalUp="false" diagonalDown="false">
      <left/>
      <right/>
      <top style="thin">
        <color rgb="FF7F7F7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5" fillId="2" borderId="1" xfId="0" applyFont="true" applyBorder="true" applyAlignment="true" applyProtection="false">
      <alignment horizontal="left" vertical="bottom" textRotation="0" wrapText="false" indent="0" shrinkToFit="false"/>
      <protection locked="true" hidden="false"/>
    </xf>
    <xf numFmtId="164" fontId="5" fillId="2" borderId="1" xfId="0" applyFont="true" applyBorder="true" applyAlignment="true" applyProtection="false">
      <alignment horizontal="right"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2" fontId="5" fillId="2" borderId="1" xfId="0" applyFont="true" applyBorder="true" applyAlignment="true" applyProtection="false">
      <alignment horizontal="right" vertical="bottom" textRotation="0" wrapText="fals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74" fontId="5" fillId="0" borderId="0" xfId="0" applyFont="true" applyBorder="false" applyAlignment="false" applyProtection="false">
      <alignment horizontal="general"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74" fontId="5" fillId="0" borderId="2" xfId="0" applyFont="tru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5" fontId="6" fillId="0" borderId="0" xfId="0" applyFont="true" applyBorder="false" applyAlignment="false" applyProtection="false">
      <alignment horizontal="general" vertical="bottom" textRotation="0" wrapText="false" indent="0" shrinkToFit="false"/>
      <protection locked="true" hidden="false"/>
    </xf>
    <xf numFmtId="176"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5" fontId="6" fillId="0" borderId="2" xfId="0" applyFont="true" applyBorder="true" applyAlignment="false" applyProtection="false">
      <alignment horizontal="general" vertical="bottom" textRotation="0" wrapText="false" indent="0" shrinkToFit="false"/>
      <protection locked="true" hidden="false"/>
    </xf>
    <xf numFmtId="175" fontId="5"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71" fontId="5" fillId="0" borderId="2" xfId="0" applyFont="true" applyBorder="tru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77" fontId="6"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8" fontId="6" fillId="0" borderId="0" xfId="0" applyFont="true" applyBorder="false" applyAlignment="false" applyProtection="false">
      <alignment horizontal="general" vertical="bottom" textRotation="0" wrapText="false" indent="0" shrinkToFit="false"/>
      <protection locked="true" hidden="false"/>
    </xf>
    <xf numFmtId="166" fontId="5" fillId="0" borderId="2" xfId="0" applyFont="true" applyBorder="tru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left" vertical="bottom" textRotation="0" wrapText="false" indent="0" shrinkToFit="false"/>
      <protection locked="true" hidden="false"/>
    </xf>
    <xf numFmtId="179" fontId="8" fillId="0" borderId="0" xfId="0" applyFont="true" applyBorder="false" applyAlignment="false" applyProtection="false">
      <alignment horizontal="general" vertical="bottom" textRotation="0" wrapText="false" indent="0" shrinkToFit="false"/>
      <protection locked="true" hidden="false"/>
    </xf>
    <xf numFmtId="180" fontId="6" fillId="0" borderId="0" xfId="0" applyFont="true" applyBorder="false" applyAlignment="false" applyProtection="false">
      <alignment horizontal="general" vertical="bottom" textRotation="0" wrapText="false" indent="0" shrinkToFit="false"/>
      <protection locked="true" hidden="false"/>
    </xf>
    <xf numFmtId="181" fontId="6" fillId="0" borderId="0" xfId="0" applyFont="true" applyBorder="false" applyAlignment="false" applyProtection="false">
      <alignment horizontal="general" vertical="bottom" textRotation="0" wrapText="false" indent="0" shrinkToFit="false"/>
      <protection locked="true" hidden="false"/>
    </xf>
    <xf numFmtId="181"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82" fontId="8" fillId="0" borderId="0" xfId="0" applyFont="true" applyBorder="false" applyAlignment="false" applyProtection="false">
      <alignment horizontal="general" vertical="bottom" textRotation="0" wrapText="false" indent="0" shrinkToFit="false"/>
      <protection locked="true" hidden="false"/>
    </xf>
    <xf numFmtId="183" fontId="6" fillId="0" borderId="0" xfId="0" applyFont="true" applyBorder="false" applyAlignment="false" applyProtection="false">
      <alignment horizontal="general" vertical="bottom" textRotation="0" wrapText="false" indent="0" shrinkToFit="false"/>
      <protection locked="true" hidden="false"/>
    </xf>
    <xf numFmtId="183" fontId="8" fillId="0" borderId="0" xfId="0" applyFont="true" applyBorder="false" applyAlignment="false" applyProtection="false">
      <alignment horizontal="general" vertical="bottom" textRotation="0" wrapText="false" indent="0" shrinkToFit="false"/>
      <protection locked="true" hidden="false"/>
    </xf>
    <xf numFmtId="184" fontId="6" fillId="0" borderId="0" xfId="0" applyFont="true" applyBorder="false" applyAlignment="false" applyProtection="false">
      <alignment horizontal="general" vertical="bottom" textRotation="0" wrapText="false" indent="0" shrinkToFit="false"/>
      <protection locked="true" hidden="false"/>
    </xf>
    <xf numFmtId="180" fontId="8" fillId="0" borderId="0" xfId="0" applyFont="true" applyBorder="false" applyAlignment="false" applyProtection="false">
      <alignment horizontal="general" vertical="bottom" textRotation="0" wrapText="false" indent="0" shrinkToFit="false"/>
      <protection locked="true" hidden="false"/>
    </xf>
    <xf numFmtId="185" fontId="6" fillId="0" borderId="0" xfId="0" applyFont="true" applyBorder="false" applyAlignment="false" applyProtection="false">
      <alignment horizontal="general" vertical="bottom" textRotation="0" wrapText="false" indent="0" shrinkToFit="false"/>
      <protection locked="true" hidden="false"/>
    </xf>
    <xf numFmtId="186" fontId="8" fillId="0" borderId="0" xfId="0" applyFont="true" applyBorder="false" applyAlignment="false" applyProtection="false">
      <alignment horizontal="general" vertical="bottom" textRotation="0" wrapText="false" indent="0" shrinkToFit="false"/>
      <protection locked="true" hidden="false"/>
    </xf>
    <xf numFmtId="179" fontId="6" fillId="0" borderId="0" xfId="0" applyFont="true" applyBorder="false" applyAlignment="false" applyProtection="false">
      <alignment horizontal="general" vertical="bottom" textRotation="0" wrapText="false" indent="0" shrinkToFit="false"/>
      <protection locked="true" hidden="false"/>
    </xf>
    <xf numFmtId="187"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sz val="1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DDE4E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120"/>
    <col collapsed="false" customWidth="true" hidden="false" outlineLevel="0" max="39" min="3" style="0" width="11"/>
  </cols>
  <sheetData>
    <row r="1" customFormat="false" ht="6" hidden="false" customHeight="true" outlineLevel="0" collapsed="false"/>
    <row r="2" customFormat="false" ht="15" hidden="false" customHeight="false" outlineLevel="0" collapsed="false">
      <c r="B2" s="1" t="s">
        <v>0</v>
      </c>
    </row>
    <row r="4" customFormat="false" ht="15" hidden="false" customHeight="false" outlineLevel="0" collapsed="false">
      <c r="B4" s="2" t="s">
        <v>1</v>
      </c>
    </row>
    <row r="5" customFormat="false" ht="54" hidden="false" customHeight="true" outlineLevel="0" collapsed="false">
      <c r="B5" s="3" t="s">
        <v>2</v>
      </c>
    </row>
    <row r="7" customFormat="false" ht="15" hidden="false" customHeight="false" outlineLevel="0" collapsed="false">
      <c r="B7" s="2" t="s">
        <v>3</v>
      </c>
    </row>
    <row r="8" customFormat="false" ht="40.5" hidden="false" customHeight="true" outlineLevel="0" collapsed="false">
      <c r="B8" s="3" t="s">
        <v>4</v>
      </c>
    </row>
    <row r="9" customFormat="false" ht="40.5" hidden="false" customHeight="true" outlineLevel="0" collapsed="false">
      <c r="B9" s="3" t="s">
        <v>5</v>
      </c>
    </row>
    <row r="10" customFormat="false" ht="27" hidden="false" customHeight="true" outlineLevel="0" collapsed="false">
      <c r="B10" s="3" t="s">
        <v>6</v>
      </c>
    </row>
    <row r="12" customFormat="false" ht="15" hidden="false" customHeight="false" outlineLevel="0" collapsed="false">
      <c r="B12" s="2" t="s">
        <v>7</v>
      </c>
    </row>
    <row r="13" customFormat="false" ht="67.5" hidden="false" customHeight="true" outlineLevel="0" collapsed="false">
      <c r="B13" s="3" t="s">
        <v>8</v>
      </c>
    </row>
    <row r="15" customFormat="false" ht="15" hidden="false" customHeight="false" outlineLevel="0" collapsed="false">
      <c r="B15" s="2" t="s">
        <v>9</v>
      </c>
    </row>
    <row r="16" customFormat="false" ht="94.5" hidden="false" customHeight="true" outlineLevel="0" collapsed="false">
      <c r="B16" s="3" t="s">
        <v>10</v>
      </c>
    </row>
    <row r="18" customFormat="false" ht="15" hidden="false" customHeight="false" outlineLevel="0" collapsed="false">
      <c r="B18" s="2" t="s">
        <v>11</v>
      </c>
    </row>
    <row r="19" customFormat="false" ht="94.5" hidden="false" customHeight="true" outlineLevel="0" collapsed="false">
      <c r="B19" s="3" t="s">
        <v>12</v>
      </c>
    </row>
    <row r="20" customFormat="false" ht="81" hidden="false" customHeight="true" outlineLevel="0" collapsed="false">
      <c r="B20" s="3" t="s">
        <v>13</v>
      </c>
    </row>
    <row r="21" customFormat="false" ht="54" hidden="false" customHeight="true" outlineLevel="0" collapsed="false">
      <c r="B21" s="3" t="s">
        <v>14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Q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2"/>
    <col collapsed="false" customWidth="true" hidden="false" outlineLevel="0" max="16" min="3" style="0" width="9"/>
    <col collapsed="false" customWidth="true" hidden="false" outlineLevel="0" max="39" min="17" style="0" width="11"/>
  </cols>
  <sheetData>
    <row r="1" customFormat="false" ht="6" hidden="false" customHeight="true" outlineLevel="0" collapsed="false"/>
    <row r="2" customFormat="false" ht="15" hidden="false" customHeight="false" outlineLevel="0" collapsed="false">
      <c r="B2" s="1" t="s">
        <v>15</v>
      </c>
    </row>
    <row r="3" customFormat="false" ht="15" hidden="false" customHeight="false" outlineLevel="0" collapsed="false">
      <c r="B3" s="4" t="s">
        <v>16</v>
      </c>
    </row>
    <row r="5" customFormat="false" ht="15" hidden="false" customHeight="false" outlineLevel="0" collapsed="false">
      <c r="B5" s="2" t="s">
        <v>17</v>
      </c>
    </row>
    <row r="6" customFormat="false" ht="15" hidden="false" customHeight="false" outlineLevel="0" collapsed="false">
      <c r="B6" s="5" t="s">
        <v>18</v>
      </c>
      <c r="C6" s="6" t="s">
        <v>19</v>
      </c>
      <c r="D6" s="7" t="s">
        <v>20</v>
      </c>
      <c r="E6" s="7" t="s">
        <v>21</v>
      </c>
    </row>
    <row r="7" customFormat="false" ht="15" hidden="false" customHeight="false" outlineLevel="0" collapsed="false">
      <c r="B7" s="8" t="s">
        <v>22</v>
      </c>
      <c r="C7" s="9" t="n">
        <v>0.043</v>
      </c>
      <c r="D7" s="4" t="s">
        <v>23</v>
      </c>
      <c r="E7" s="4" t="s">
        <v>24</v>
      </c>
    </row>
    <row r="8" customFormat="false" ht="15" hidden="false" customHeight="false" outlineLevel="0" collapsed="false">
      <c r="B8" s="8" t="s">
        <v>25</v>
      </c>
      <c r="C8" s="10" t="n">
        <v>45</v>
      </c>
      <c r="D8" s="4" t="s">
        <v>26</v>
      </c>
      <c r="E8" s="4"/>
    </row>
    <row r="9" customFormat="false" ht="15" hidden="false" customHeight="false" outlineLevel="0" collapsed="false">
      <c r="B9" s="8" t="s">
        <v>27</v>
      </c>
      <c r="C9" s="10" t="n">
        <v>25</v>
      </c>
      <c r="D9" s="4" t="s">
        <v>26</v>
      </c>
      <c r="E9" s="4" t="s">
        <v>28</v>
      </c>
    </row>
    <row r="10" customFormat="false" ht="15" hidden="false" customHeight="false" outlineLevel="0" collapsed="false">
      <c r="B10" s="8" t="s">
        <v>29</v>
      </c>
      <c r="C10" s="10" t="n">
        <v>132</v>
      </c>
      <c r="D10" s="4" t="s">
        <v>26</v>
      </c>
      <c r="E10" s="4"/>
    </row>
    <row r="11" customFormat="false" ht="15" hidden="false" customHeight="false" outlineLevel="0" collapsed="false">
      <c r="B11" s="8" t="s">
        <v>30</v>
      </c>
      <c r="C11" s="10" t="n">
        <v>150</v>
      </c>
      <c r="D11" s="4" t="s">
        <v>26</v>
      </c>
      <c r="E11" s="4"/>
    </row>
    <row r="12" customFormat="false" ht="15" hidden="false" customHeight="false" outlineLevel="0" collapsed="false">
      <c r="B12" s="8" t="s">
        <v>31</v>
      </c>
      <c r="C12" s="10" t="n">
        <v>50</v>
      </c>
      <c r="D12" s="4" t="s">
        <v>26</v>
      </c>
      <c r="E12" s="4"/>
    </row>
    <row r="13" customFormat="false" ht="15" hidden="false" customHeight="false" outlineLevel="0" collapsed="false">
      <c r="B13" s="8" t="s">
        <v>32</v>
      </c>
      <c r="C13" s="9" t="n">
        <v>0.0375</v>
      </c>
      <c r="D13" s="4" t="s">
        <v>23</v>
      </c>
      <c r="E13" s="4"/>
    </row>
    <row r="14" customFormat="false" ht="15" hidden="false" customHeight="false" outlineLevel="0" collapsed="false">
      <c r="B14" s="8" t="s">
        <v>33</v>
      </c>
      <c r="C14" s="11" t="n">
        <v>0.00375</v>
      </c>
      <c r="D14" s="4" t="s">
        <v>23</v>
      </c>
      <c r="E14" s="4"/>
    </row>
    <row r="15" customFormat="false" ht="15" hidden="false" customHeight="false" outlineLevel="0" collapsed="false">
      <c r="B15" s="8" t="s">
        <v>34</v>
      </c>
      <c r="C15" s="12" t="n">
        <v>0.35</v>
      </c>
      <c r="D15" s="4" t="s">
        <v>35</v>
      </c>
      <c r="E15" s="4"/>
    </row>
    <row r="16" customFormat="false" ht="15" hidden="false" customHeight="false" outlineLevel="0" collapsed="false">
      <c r="B16" s="8" t="s">
        <v>36</v>
      </c>
      <c r="C16" s="13" t="n">
        <v>6.5</v>
      </c>
      <c r="D16" s="4" t="s">
        <v>37</v>
      </c>
      <c r="E16" s="4"/>
    </row>
    <row r="17" customFormat="false" ht="15" hidden="false" customHeight="false" outlineLevel="0" collapsed="false">
      <c r="B17" s="8" t="s">
        <v>38</v>
      </c>
      <c r="C17" s="14" t="n">
        <v>14</v>
      </c>
      <c r="D17" s="4" t="s">
        <v>39</v>
      </c>
      <c r="E17" s="4"/>
    </row>
    <row r="18" customFormat="false" ht="15" hidden="false" customHeight="false" outlineLevel="0" collapsed="false">
      <c r="B18" s="8" t="s">
        <v>40</v>
      </c>
      <c r="C18" s="10" t="n">
        <v>900</v>
      </c>
      <c r="D18" s="4" t="s">
        <v>26</v>
      </c>
      <c r="E18" s="4"/>
    </row>
    <row r="19" customFormat="false" ht="15" hidden="false" customHeight="false" outlineLevel="0" collapsed="false">
      <c r="B19" s="8" t="s">
        <v>41</v>
      </c>
      <c r="C19" s="9" t="n">
        <v>0.04</v>
      </c>
      <c r="D19" s="4" t="s">
        <v>23</v>
      </c>
      <c r="E19" s="4"/>
    </row>
    <row r="20" customFormat="false" ht="15" hidden="false" customHeight="false" outlineLevel="0" collapsed="false">
      <c r="B20" s="8" t="s">
        <v>42</v>
      </c>
      <c r="C20" s="12" t="n">
        <v>0.01</v>
      </c>
      <c r="D20" s="4" t="s">
        <v>23</v>
      </c>
      <c r="E20" s="4" t="s">
        <v>43</v>
      </c>
    </row>
    <row r="21" customFormat="false" ht="15" hidden="false" customHeight="false" outlineLevel="0" collapsed="false">
      <c r="B21" s="8" t="s">
        <v>44</v>
      </c>
      <c r="C21" s="14" t="n">
        <v>32</v>
      </c>
      <c r="D21" s="4" t="s">
        <v>39</v>
      </c>
      <c r="E21" s="4"/>
    </row>
    <row r="22" customFormat="false" ht="15" hidden="false" customHeight="false" outlineLevel="0" collapsed="false">
      <c r="B22" s="8" t="s">
        <v>45</v>
      </c>
      <c r="C22" s="10" t="n">
        <v>400</v>
      </c>
      <c r="D22" s="4" t="s">
        <v>26</v>
      </c>
      <c r="E22" s="4"/>
    </row>
    <row r="23" customFormat="false" ht="15" hidden="false" customHeight="false" outlineLevel="0" collapsed="false">
      <c r="B23" s="8" t="s">
        <v>46</v>
      </c>
      <c r="C23" s="9" t="n">
        <v>0.0725</v>
      </c>
      <c r="D23" s="4" t="s">
        <v>23</v>
      </c>
      <c r="E23" s="4" t="s">
        <v>47</v>
      </c>
    </row>
    <row r="24" customFormat="false" ht="15" hidden="false" customHeight="false" outlineLevel="0" collapsed="false">
      <c r="B24" s="8" t="s">
        <v>48</v>
      </c>
      <c r="C24" s="14" t="n">
        <v>44</v>
      </c>
      <c r="D24" s="4" t="s">
        <v>39</v>
      </c>
      <c r="E24" s="4"/>
    </row>
    <row r="25" customFormat="false" ht="15" hidden="false" customHeight="false" outlineLevel="0" collapsed="false">
      <c r="B25" s="8" t="s">
        <v>49</v>
      </c>
      <c r="C25" s="14" t="n">
        <v>30</v>
      </c>
      <c r="D25" s="4" t="s">
        <v>50</v>
      </c>
      <c r="E25" s="4" t="s">
        <v>51</v>
      </c>
    </row>
    <row r="26" customFormat="false" ht="15" hidden="false" customHeight="false" outlineLevel="0" collapsed="false">
      <c r="B26" s="8" t="s">
        <v>52</v>
      </c>
      <c r="C26" s="10" t="n">
        <v>30</v>
      </c>
      <c r="D26" s="4" t="s">
        <v>53</v>
      </c>
      <c r="E26" s="4"/>
    </row>
    <row r="27" customFormat="false" ht="15" hidden="false" customHeight="false" outlineLevel="0" collapsed="false">
      <c r="B27" s="8" t="s">
        <v>54</v>
      </c>
      <c r="C27" s="10" t="n">
        <v>10</v>
      </c>
      <c r="D27" s="4" t="s">
        <v>53</v>
      </c>
      <c r="E27" s="4"/>
    </row>
    <row r="28" customFormat="false" ht="15" hidden="false" customHeight="false" outlineLevel="0" collapsed="false">
      <c r="B28" s="8" t="s">
        <v>55</v>
      </c>
      <c r="C28" s="10" t="n">
        <v>6</v>
      </c>
      <c r="D28" s="4" t="s">
        <v>53</v>
      </c>
      <c r="E28" s="4"/>
    </row>
    <row r="30" customFormat="false" ht="15" hidden="false" customHeight="false" outlineLevel="0" collapsed="false">
      <c r="B30" s="2" t="s">
        <v>56</v>
      </c>
    </row>
    <row r="31" customFormat="false" ht="15" hidden="false" customHeight="false" outlineLevel="0" collapsed="false">
      <c r="B31" s="5" t="s">
        <v>18</v>
      </c>
      <c r="C31" s="6" t="s">
        <v>19</v>
      </c>
      <c r="D31" s="7" t="s">
        <v>20</v>
      </c>
      <c r="E31" s="7" t="s">
        <v>21</v>
      </c>
    </row>
    <row r="32" customFormat="false" ht="15" hidden="false" customHeight="false" outlineLevel="0" collapsed="false">
      <c r="B32" s="8" t="s">
        <v>57</v>
      </c>
      <c r="C32" s="14" t="n">
        <v>52</v>
      </c>
      <c r="D32" s="4" t="s">
        <v>58</v>
      </c>
      <c r="E32" s="4"/>
    </row>
    <row r="33" customFormat="false" ht="15" hidden="false" customHeight="false" outlineLevel="0" collapsed="false">
      <c r="B33" s="8" t="s">
        <v>59</v>
      </c>
      <c r="C33" s="14" t="n">
        <v>365</v>
      </c>
      <c r="D33" s="4" t="s">
        <v>50</v>
      </c>
      <c r="E33" s="4"/>
    </row>
    <row r="34" customFormat="false" ht="15" hidden="false" customHeight="false" outlineLevel="0" collapsed="false">
      <c r="B34" s="8" t="s">
        <v>60</v>
      </c>
      <c r="C34" s="14" t="n">
        <v>13</v>
      </c>
      <c r="D34" s="4" t="s">
        <v>58</v>
      </c>
      <c r="E34" s="4" t="s">
        <v>61</v>
      </c>
    </row>
    <row r="35" customFormat="false" ht="15" hidden="false" customHeight="false" outlineLevel="0" collapsed="false">
      <c r="B35" s="8" t="s">
        <v>62</v>
      </c>
      <c r="C35" s="14" t="n">
        <v>4</v>
      </c>
      <c r="D35" s="4" t="s">
        <v>63</v>
      </c>
      <c r="E35" s="4"/>
    </row>
    <row r="36" customFormat="false" ht="15" hidden="false" customHeight="false" outlineLevel="0" collapsed="false">
      <c r="B36" s="8" t="s">
        <v>64</v>
      </c>
      <c r="C36" s="14" t="n">
        <v>12</v>
      </c>
      <c r="D36" s="4" t="s">
        <v>63</v>
      </c>
      <c r="E36" s="4"/>
    </row>
    <row r="37" customFormat="false" ht="15" hidden="false" customHeight="false" outlineLevel="0" collapsed="false">
      <c r="B37" s="8" t="s">
        <v>65</v>
      </c>
      <c r="C37" s="14" t="n">
        <v>2</v>
      </c>
      <c r="D37" s="4" t="s">
        <v>63</v>
      </c>
      <c r="E37" s="4"/>
    </row>
    <row r="38" customFormat="false" ht="15" hidden="false" customHeight="false" outlineLevel="0" collapsed="false">
      <c r="B38" s="8" t="s">
        <v>66</v>
      </c>
      <c r="C38" s="14" t="n">
        <v>4</v>
      </c>
      <c r="D38" s="4" t="s">
        <v>63</v>
      </c>
      <c r="E38" s="4"/>
    </row>
    <row r="40" customFormat="false" ht="15" hidden="false" customHeight="false" outlineLevel="0" collapsed="false">
      <c r="B40" s="2" t="s">
        <v>67</v>
      </c>
    </row>
    <row r="41" customFormat="false" ht="15" hidden="false" customHeight="false" outlineLevel="0" collapsed="false">
      <c r="B41" s="5" t="s">
        <v>18</v>
      </c>
      <c r="C41" s="6" t="s">
        <v>19</v>
      </c>
      <c r="D41" s="7" t="s">
        <v>20</v>
      </c>
      <c r="E41" s="7" t="s">
        <v>21</v>
      </c>
    </row>
    <row r="42" customFormat="false" ht="15" hidden="false" customHeight="false" outlineLevel="0" collapsed="false">
      <c r="B42" s="8" t="s">
        <v>68</v>
      </c>
      <c r="C42" s="10" t="n">
        <v>1050</v>
      </c>
      <c r="D42" s="4" t="s">
        <v>26</v>
      </c>
      <c r="E42" s="4"/>
    </row>
    <row r="43" customFormat="false" ht="15" hidden="false" customHeight="false" outlineLevel="0" collapsed="false">
      <c r="B43" s="8" t="s">
        <v>69</v>
      </c>
      <c r="C43" s="10" t="n">
        <v>1120</v>
      </c>
      <c r="D43" s="4" t="s">
        <v>26</v>
      </c>
      <c r="E43" s="4"/>
    </row>
    <row r="44" customFormat="false" ht="15" hidden="false" customHeight="false" outlineLevel="0" collapsed="false">
      <c r="B44" s="8" t="s">
        <v>70</v>
      </c>
      <c r="C44" s="10" t="n">
        <v>205</v>
      </c>
      <c r="D44" s="4" t="s">
        <v>26</v>
      </c>
      <c r="E44" s="4"/>
    </row>
    <row r="45" customFormat="false" ht="15" hidden="false" customHeight="false" outlineLevel="0" collapsed="false">
      <c r="B45" s="8" t="s">
        <v>71</v>
      </c>
      <c r="C45" s="10" t="n">
        <v>2150</v>
      </c>
      <c r="D45" s="4" t="s">
        <v>26</v>
      </c>
      <c r="E45" s="4"/>
    </row>
    <row r="46" customFormat="false" ht="15" hidden="false" customHeight="false" outlineLevel="0" collapsed="false">
      <c r="B46" s="8" t="s">
        <v>72</v>
      </c>
      <c r="C46" s="10" t="n">
        <v>1350</v>
      </c>
      <c r="D46" s="4" t="s">
        <v>26</v>
      </c>
      <c r="E46" s="4"/>
    </row>
    <row r="47" customFormat="false" ht="15" hidden="false" customHeight="false" outlineLevel="0" collapsed="false">
      <c r="B47" s="8" t="s">
        <v>73</v>
      </c>
      <c r="C47" s="10" t="n">
        <v>830</v>
      </c>
      <c r="D47" s="4" t="s">
        <v>26</v>
      </c>
      <c r="E47" s="4"/>
    </row>
    <row r="48" customFormat="false" ht="15" hidden="false" customHeight="false" outlineLevel="0" collapsed="false">
      <c r="B48" s="8" t="s">
        <v>74</v>
      </c>
      <c r="C48" s="10" t="n">
        <v>50</v>
      </c>
      <c r="D48" s="4" t="s">
        <v>26</v>
      </c>
      <c r="E48" s="4"/>
    </row>
    <row r="49" customFormat="false" ht="15" hidden="false" customHeight="false" outlineLevel="0" collapsed="false">
      <c r="B49" s="8" t="s">
        <v>75</v>
      </c>
      <c r="C49" s="9" t="n">
        <v>0.0025</v>
      </c>
      <c r="D49" s="4" t="s">
        <v>35</v>
      </c>
      <c r="E49" s="4" t="s">
        <v>76</v>
      </c>
    </row>
    <row r="50" customFormat="false" ht="15" hidden="false" customHeight="false" outlineLevel="0" collapsed="false">
      <c r="B50" s="8" t="s">
        <v>77</v>
      </c>
      <c r="C50" s="15" t="n">
        <v>1.2</v>
      </c>
      <c r="D50" s="4" t="s">
        <v>78</v>
      </c>
      <c r="E50" s="4" t="s">
        <v>79</v>
      </c>
    </row>
    <row r="52" customFormat="false" ht="15" hidden="false" customHeight="false" outlineLevel="0" collapsed="false">
      <c r="B52" s="2" t="s">
        <v>80</v>
      </c>
    </row>
    <row r="53" customFormat="false" ht="15" hidden="false" customHeight="false" outlineLevel="0" collapsed="false">
      <c r="B53" s="5" t="s">
        <v>81</v>
      </c>
      <c r="C53" s="6" t="s">
        <v>19</v>
      </c>
      <c r="D53" s="7" t="s">
        <v>20</v>
      </c>
      <c r="E53" s="7" t="s">
        <v>21</v>
      </c>
    </row>
    <row r="54" customFormat="false" ht="15" hidden="false" customHeight="false" outlineLevel="0" collapsed="false">
      <c r="B54" s="8" t="s">
        <v>82</v>
      </c>
      <c r="C54" s="15" t="n">
        <v>20.2</v>
      </c>
      <c r="D54" s="4" t="s">
        <v>78</v>
      </c>
      <c r="E54" s="4"/>
    </row>
    <row r="55" customFormat="false" ht="15" hidden="false" customHeight="false" outlineLevel="0" collapsed="false">
      <c r="B55" s="8" t="s">
        <v>83</v>
      </c>
      <c r="C55" s="15" t="n">
        <v>18.4</v>
      </c>
      <c r="D55" s="4" t="s">
        <v>78</v>
      </c>
      <c r="E55" s="4" t="s">
        <v>84</v>
      </c>
    </row>
    <row r="56" customFormat="false" ht="15" hidden="false" customHeight="false" outlineLevel="0" collapsed="false">
      <c r="B56" s="8" t="s">
        <v>85</v>
      </c>
      <c r="C56" s="15" t="n">
        <v>1.2</v>
      </c>
      <c r="D56" s="4" t="s">
        <v>26</v>
      </c>
      <c r="E56" s="4"/>
    </row>
    <row r="57" customFormat="false" ht="15" hidden="false" customHeight="false" outlineLevel="0" collapsed="false">
      <c r="B57" s="8" t="s">
        <v>86</v>
      </c>
      <c r="C57" s="15" t="n">
        <v>10.9</v>
      </c>
      <c r="D57" s="4" t="s">
        <v>78</v>
      </c>
      <c r="E57" s="4"/>
    </row>
    <row r="58" customFormat="false" ht="15" hidden="false" customHeight="false" outlineLevel="0" collapsed="false">
      <c r="B58" s="8" t="s">
        <v>87</v>
      </c>
      <c r="C58" s="15" t="n">
        <v>7.2</v>
      </c>
      <c r="D58" s="4" t="s">
        <v>26</v>
      </c>
      <c r="E58" s="4"/>
    </row>
    <row r="59" customFormat="false" ht="15" hidden="false" customHeight="false" outlineLevel="0" collapsed="false">
      <c r="B59" s="8" t="s">
        <v>88</v>
      </c>
      <c r="C59" s="15" t="n">
        <v>1.1</v>
      </c>
      <c r="D59" s="4" t="s">
        <v>78</v>
      </c>
      <c r="E59" s="4"/>
    </row>
    <row r="60" customFormat="false" ht="15" hidden="false" customHeight="false" outlineLevel="0" collapsed="false">
      <c r="B60" s="8" t="s">
        <v>89</v>
      </c>
      <c r="C60" s="15" t="n">
        <v>1.18</v>
      </c>
      <c r="D60" s="4" t="s">
        <v>78</v>
      </c>
      <c r="E60" s="4" t="s">
        <v>90</v>
      </c>
    </row>
    <row r="61" customFormat="false" ht="15" hidden="false" customHeight="false" outlineLevel="0" collapsed="false">
      <c r="B61" s="8" t="s">
        <v>91</v>
      </c>
      <c r="C61" s="15" t="n">
        <v>2.8</v>
      </c>
      <c r="D61" s="4" t="s">
        <v>26</v>
      </c>
      <c r="E61" s="4"/>
    </row>
    <row r="62" customFormat="false" ht="15" hidden="false" customHeight="false" outlineLevel="0" collapsed="false">
      <c r="B62" s="8" t="s">
        <v>92</v>
      </c>
      <c r="C62" s="15" t="n">
        <v>3</v>
      </c>
      <c r="D62" s="4" t="s">
        <v>26</v>
      </c>
      <c r="E62" s="4"/>
    </row>
    <row r="63" customFormat="false" ht="15" hidden="false" customHeight="false" outlineLevel="0" collapsed="false">
      <c r="B63" s="8" t="s">
        <v>93</v>
      </c>
      <c r="C63" s="15" t="n">
        <v>0.45</v>
      </c>
      <c r="D63" s="4" t="s">
        <v>78</v>
      </c>
      <c r="E63" s="4"/>
    </row>
    <row r="65" customFormat="false" ht="15" hidden="false" customHeight="false" outlineLevel="0" collapsed="false">
      <c r="B65" s="2" t="s">
        <v>94</v>
      </c>
    </row>
    <row r="66" customFormat="false" ht="15" hidden="false" customHeight="false" outlineLevel="0" collapsed="false">
      <c r="B66" s="5" t="s">
        <v>95</v>
      </c>
      <c r="C66" s="16" t="n">
        <v>1</v>
      </c>
      <c r="D66" s="16" t="n">
        <v>2</v>
      </c>
      <c r="E66" s="16" t="n">
        <v>3</v>
      </c>
      <c r="F66" s="16" t="n">
        <v>4</v>
      </c>
      <c r="G66" s="16" t="n">
        <v>5</v>
      </c>
      <c r="H66" s="16" t="n">
        <v>6</v>
      </c>
      <c r="I66" s="16" t="n">
        <v>7</v>
      </c>
      <c r="J66" s="16" t="n">
        <v>8</v>
      </c>
      <c r="K66" s="16" t="n">
        <v>9</v>
      </c>
      <c r="L66" s="16" t="n">
        <v>10</v>
      </c>
      <c r="M66" s="16" t="n">
        <v>11</v>
      </c>
      <c r="N66" s="16" t="n">
        <v>12</v>
      </c>
      <c r="O66" s="16" t="n">
        <v>13</v>
      </c>
      <c r="P66" s="6"/>
      <c r="Q66" s="7" t="s">
        <v>96</v>
      </c>
    </row>
    <row r="67" customFormat="false" ht="15" hidden="false" customHeight="false" outlineLevel="0" collapsed="false">
      <c r="B67" s="8" t="s">
        <v>97</v>
      </c>
      <c r="C67" s="14" t="n">
        <v>0</v>
      </c>
      <c r="D67" s="14" t="n">
        <v>0</v>
      </c>
      <c r="E67" s="14" t="n">
        <v>0</v>
      </c>
      <c r="F67" s="14" t="n">
        <v>0</v>
      </c>
      <c r="G67" s="14" t="n">
        <v>1</v>
      </c>
      <c r="H67" s="14" t="n">
        <v>1</v>
      </c>
      <c r="I67" s="14" t="n">
        <v>1</v>
      </c>
      <c r="J67" s="14" t="n">
        <v>1</v>
      </c>
      <c r="K67" s="14" t="n">
        <v>0</v>
      </c>
      <c r="L67" s="14" t="n">
        <v>0</v>
      </c>
      <c r="M67" s="14" t="n">
        <v>0</v>
      </c>
      <c r="N67" s="14" t="n">
        <v>0</v>
      </c>
      <c r="O67" s="14" t="n">
        <v>0</v>
      </c>
      <c r="Q67" s="4" t="s">
        <v>98</v>
      </c>
    </row>
    <row r="68" customFormat="false" ht="15" hidden="false" customHeight="false" outlineLevel="0" collapsed="false">
      <c r="B68" s="8" t="s">
        <v>99</v>
      </c>
      <c r="C68" s="14" t="n">
        <v>0</v>
      </c>
      <c r="D68" s="14" t="n">
        <v>0</v>
      </c>
      <c r="E68" s="14" t="n">
        <v>0</v>
      </c>
      <c r="F68" s="14" t="n">
        <v>0</v>
      </c>
      <c r="G68" s="14" t="n">
        <v>0</v>
      </c>
      <c r="H68" s="14" t="n">
        <v>0</v>
      </c>
      <c r="I68" s="14" t="n">
        <v>0</v>
      </c>
      <c r="J68" s="14" t="n">
        <v>0</v>
      </c>
      <c r="K68" s="14" t="n">
        <v>0</v>
      </c>
      <c r="L68" s="14" t="n">
        <v>1</v>
      </c>
      <c r="M68" s="14" t="n">
        <v>0</v>
      </c>
      <c r="N68" s="14" t="n">
        <v>0</v>
      </c>
      <c r="O68" s="14" t="n">
        <v>0</v>
      </c>
      <c r="Q68" s="4" t="s">
        <v>100</v>
      </c>
    </row>
    <row r="69" customFormat="false" ht="15" hidden="false" customHeight="false" outlineLevel="0" collapsed="false">
      <c r="B69" s="8" t="s">
        <v>101</v>
      </c>
      <c r="C69" s="14" t="n">
        <v>0</v>
      </c>
      <c r="D69" s="14" t="n">
        <v>1</v>
      </c>
      <c r="E69" s="14" t="n">
        <v>0</v>
      </c>
      <c r="F69" s="14" t="n">
        <v>1</v>
      </c>
      <c r="G69" s="14" t="n">
        <v>0</v>
      </c>
      <c r="H69" s="14" t="n">
        <v>1</v>
      </c>
      <c r="I69" s="14" t="n">
        <v>0</v>
      </c>
      <c r="J69" s="14" t="n">
        <v>1</v>
      </c>
      <c r="K69" s="14" t="n">
        <v>0</v>
      </c>
      <c r="L69" s="14" t="n">
        <v>1</v>
      </c>
      <c r="M69" s="14" t="n">
        <v>0</v>
      </c>
      <c r="N69" s="14" t="n">
        <v>1</v>
      </c>
      <c r="O69" s="14" t="n">
        <v>0</v>
      </c>
      <c r="Q69" s="4" t="s">
        <v>102</v>
      </c>
    </row>
    <row r="70" customFormat="false" ht="15" hidden="false" customHeight="false" outlineLevel="0" collapsed="false">
      <c r="B70" s="8" t="s">
        <v>103</v>
      </c>
      <c r="C70" s="14" t="n">
        <v>1</v>
      </c>
      <c r="D70" s="14" t="n">
        <v>0</v>
      </c>
      <c r="E70" s="14" t="n">
        <v>0</v>
      </c>
      <c r="F70" s="14" t="n">
        <v>0</v>
      </c>
      <c r="G70" s="14" t="n">
        <v>1</v>
      </c>
      <c r="H70" s="14" t="n">
        <v>0</v>
      </c>
      <c r="I70" s="14" t="n">
        <v>0</v>
      </c>
      <c r="J70" s="14" t="n">
        <v>0</v>
      </c>
      <c r="K70" s="14" t="n">
        <v>1</v>
      </c>
      <c r="L70" s="14" t="n">
        <v>0</v>
      </c>
      <c r="M70" s="14" t="n">
        <v>0</v>
      </c>
      <c r="N70" s="14" t="n">
        <v>0</v>
      </c>
      <c r="O70" s="14" t="n">
        <v>1</v>
      </c>
      <c r="Q70" s="4" t="s">
        <v>104</v>
      </c>
    </row>
    <row r="71" customFormat="false" ht="15" hidden="false" customHeight="false" outlineLevel="0" collapsed="false">
      <c r="B71" s="8" t="s">
        <v>105</v>
      </c>
      <c r="C71" s="14" t="n">
        <v>0</v>
      </c>
      <c r="D71" s="14" t="n">
        <v>0</v>
      </c>
      <c r="E71" s="14" t="n">
        <v>0</v>
      </c>
      <c r="F71" s="14" t="n">
        <v>0</v>
      </c>
      <c r="G71" s="14" t="n">
        <v>0</v>
      </c>
      <c r="H71" s="14" t="n">
        <v>0</v>
      </c>
      <c r="I71" s="14" t="n">
        <v>0</v>
      </c>
      <c r="J71" s="14" t="n">
        <v>0</v>
      </c>
      <c r="K71" s="14" t="n">
        <v>0</v>
      </c>
      <c r="L71" s="14" t="n">
        <v>0</v>
      </c>
      <c r="M71" s="14" t="n">
        <v>0</v>
      </c>
      <c r="N71" s="14" t="n">
        <v>0</v>
      </c>
      <c r="O71" s="14" t="n">
        <v>1</v>
      </c>
      <c r="Q71" s="4" t="s">
        <v>106</v>
      </c>
    </row>
    <row r="72" customFormat="false" ht="15" hidden="false" customHeight="false" outlineLevel="0" collapsed="false">
      <c r="B72" s="8" t="s">
        <v>107</v>
      </c>
      <c r="C72" s="14" t="n">
        <v>0</v>
      </c>
      <c r="D72" s="14" t="n">
        <v>0</v>
      </c>
      <c r="E72" s="14" t="n">
        <v>0</v>
      </c>
      <c r="F72" s="14" t="n">
        <v>0</v>
      </c>
      <c r="G72" s="14" t="n">
        <v>0</v>
      </c>
      <c r="H72" s="14" t="n">
        <v>0</v>
      </c>
      <c r="I72" s="14" t="n">
        <v>1</v>
      </c>
      <c r="J72" s="14" t="n">
        <v>0</v>
      </c>
      <c r="K72" s="14" t="n">
        <v>0</v>
      </c>
      <c r="L72" s="14" t="n">
        <v>0</v>
      </c>
      <c r="M72" s="14" t="n">
        <v>0</v>
      </c>
      <c r="N72" s="14" t="n">
        <v>0</v>
      </c>
      <c r="O72" s="14" t="n">
        <v>0</v>
      </c>
      <c r="Q72" s="4" t="s">
        <v>108</v>
      </c>
    </row>
    <row r="73" customFormat="false" ht="15" hidden="false" customHeight="false" outlineLevel="0" collapsed="false">
      <c r="B73" s="8" t="s">
        <v>109</v>
      </c>
      <c r="C73" s="14" t="n">
        <v>0</v>
      </c>
      <c r="D73" s="14" t="n">
        <v>0</v>
      </c>
      <c r="E73" s="14" t="n">
        <v>1</v>
      </c>
      <c r="F73" s="14" t="n">
        <v>1</v>
      </c>
      <c r="G73" s="14" t="n">
        <v>1</v>
      </c>
      <c r="H73" s="14" t="n">
        <v>1</v>
      </c>
      <c r="I73" s="14" t="n">
        <v>1</v>
      </c>
      <c r="J73" s="14" t="n">
        <v>1</v>
      </c>
      <c r="K73" s="14" t="n">
        <v>1</v>
      </c>
      <c r="L73" s="14" t="n">
        <v>1</v>
      </c>
      <c r="M73" s="14" t="n">
        <v>1</v>
      </c>
      <c r="N73" s="14" t="n">
        <v>1</v>
      </c>
      <c r="O73" s="14" t="n">
        <v>1</v>
      </c>
      <c r="Q73" s="4" t="s">
        <v>110</v>
      </c>
    </row>
    <row r="74" customFormat="false" ht="15" hidden="false" customHeight="false" outlineLevel="0" collapsed="false">
      <c r="B74" s="8" t="s">
        <v>111</v>
      </c>
      <c r="C74" s="14" t="n">
        <v>0</v>
      </c>
      <c r="D74" s="14" t="n">
        <v>0</v>
      </c>
      <c r="E74" s="14" t="n">
        <v>0</v>
      </c>
      <c r="F74" s="14" t="n">
        <v>0</v>
      </c>
      <c r="G74" s="14" t="n">
        <v>0</v>
      </c>
      <c r="H74" s="14" t="n">
        <v>1</v>
      </c>
      <c r="I74" s="14" t="n">
        <v>0</v>
      </c>
      <c r="J74" s="14" t="n">
        <v>0</v>
      </c>
      <c r="K74" s="14" t="n">
        <v>0</v>
      </c>
      <c r="L74" s="14" t="n">
        <v>0</v>
      </c>
      <c r="M74" s="14" t="n">
        <v>0</v>
      </c>
      <c r="N74" s="14" t="n">
        <v>0</v>
      </c>
      <c r="O74" s="14" t="n">
        <v>0</v>
      </c>
      <c r="Q74" s="4" t="s">
        <v>112</v>
      </c>
    </row>
    <row r="75" customFormat="false" ht="15" hidden="false" customHeight="false" outlineLevel="0" collapsed="false">
      <c r="B75" s="8" t="s">
        <v>113</v>
      </c>
      <c r="C75" s="14" t="n">
        <v>0</v>
      </c>
      <c r="D75" s="14" t="n">
        <v>0</v>
      </c>
      <c r="E75" s="14" t="n">
        <v>0</v>
      </c>
      <c r="F75" s="14" t="n">
        <v>1</v>
      </c>
      <c r="G75" s="14" t="n">
        <v>0</v>
      </c>
      <c r="H75" s="14" t="n">
        <v>0</v>
      </c>
      <c r="I75" s="14" t="n">
        <v>0</v>
      </c>
      <c r="J75" s="14" t="n">
        <v>1</v>
      </c>
      <c r="K75" s="14" t="n">
        <v>0</v>
      </c>
      <c r="L75" s="14" t="n">
        <v>0</v>
      </c>
      <c r="M75" s="14" t="n">
        <v>0</v>
      </c>
      <c r="N75" s="14" t="n">
        <v>1</v>
      </c>
      <c r="O75" s="14" t="n">
        <v>0</v>
      </c>
      <c r="Q75" s="4" t="s">
        <v>114</v>
      </c>
    </row>
    <row r="76" customFormat="false" ht="15" hidden="false" customHeight="false" outlineLevel="0" collapsed="false">
      <c r="B76" s="8" t="s">
        <v>115</v>
      </c>
      <c r="C76" s="14" t="n">
        <v>0</v>
      </c>
      <c r="D76" s="14" t="n">
        <v>0</v>
      </c>
      <c r="E76" s="14" t="n">
        <v>0</v>
      </c>
      <c r="F76" s="14" t="n">
        <v>0</v>
      </c>
      <c r="G76" s="14" t="n">
        <v>0</v>
      </c>
      <c r="H76" s="14" t="n">
        <v>0</v>
      </c>
      <c r="I76" s="14" t="n">
        <v>0</v>
      </c>
      <c r="J76" s="14" t="n">
        <v>0</v>
      </c>
      <c r="K76" s="14" t="n">
        <v>0</v>
      </c>
      <c r="L76" s="14" t="n">
        <v>0</v>
      </c>
      <c r="M76" s="14" t="n">
        <v>1</v>
      </c>
      <c r="N76" s="14" t="n">
        <v>0</v>
      </c>
      <c r="O76" s="14" t="n">
        <v>0</v>
      </c>
      <c r="Q76" s="4" t="s">
        <v>116</v>
      </c>
    </row>
    <row r="78" customFormat="false" ht="15" hidden="false" customHeight="false" outlineLevel="0" collapsed="false">
      <c r="B78" s="2" t="s">
        <v>117</v>
      </c>
    </row>
    <row r="79" customFormat="false" ht="15" hidden="false" customHeight="false" outlineLevel="0" collapsed="false">
      <c r="B79" s="5" t="s">
        <v>18</v>
      </c>
      <c r="C79" s="6" t="s">
        <v>19</v>
      </c>
      <c r="D79" s="7" t="s">
        <v>20</v>
      </c>
      <c r="E79" s="7" t="s">
        <v>21</v>
      </c>
    </row>
    <row r="80" customFormat="false" ht="15" hidden="false" customHeight="false" outlineLevel="0" collapsed="false">
      <c r="B80" s="8" t="s">
        <v>118</v>
      </c>
      <c r="C80" s="14" t="n">
        <v>26</v>
      </c>
      <c r="D80" s="4" t="s">
        <v>63</v>
      </c>
      <c r="E80" s="4" t="s">
        <v>102</v>
      </c>
    </row>
    <row r="81" customFormat="false" ht="15" hidden="false" customHeight="false" outlineLevel="0" collapsed="false">
      <c r="B81" s="8" t="s">
        <v>119</v>
      </c>
      <c r="C81" s="14" t="n">
        <v>12</v>
      </c>
      <c r="D81" s="4" t="s">
        <v>63</v>
      </c>
      <c r="E81" s="4" t="s">
        <v>120</v>
      </c>
    </row>
    <row r="82" customFormat="false" ht="15" hidden="false" customHeight="false" outlineLevel="0" collapsed="false">
      <c r="B82" s="8" t="s">
        <v>121</v>
      </c>
      <c r="C82" s="14" t="n">
        <v>4</v>
      </c>
      <c r="D82" s="4" t="s">
        <v>63</v>
      </c>
      <c r="E82" s="4" t="s">
        <v>122</v>
      </c>
    </row>
    <row r="84" customFormat="false" ht="15" hidden="false" customHeight="false" outlineLevel="0" collapsed="false">
      <c r="B84" s="2" t="s">
        <v>123</v>
      </c>
    </row>
    <row r="85" customFormat="false" ht="15" hidden="false" customHeight="false" outlineLevel="0" collapsed="false">
      <c r="B85" s="5" t="s">
        <v>18</v>
      </c>
      <c r="C85" s="6" t="s">
        <v>19</v>
      </c>
      <c r="D85" s="7" t="s">
        <v>20</v>
      </c>
      <c r="E85" s="7" t="s">
        <v>21</v>
      </c>
    </row>
    <row r="86" customFormat="false" ht="15" hidden="false" customHeight="false" outlineLevel="0" collapsed="false">
      <c r="B86" s="8" t="s">
        <v>124</v>
      </c>
      <c r="C86" s="14" t="n">
        <v>45</v>
      </c>
      <c r="D86" s="4" t="s">
        <v>50</v>
      </c>
      <c r="E86" s="4"/>
    </row>
    <row r="87" customFormat="false" ht="15" hidden="false" customHeight="false" outlineLevel="0" collapsed="false">
      <c r="B87" s="8" t="s">
        <v>125</v>
      </c>
      <c r="C87" s="14" t="n">
        <v>10</v>
      </c>
      <c r="D87" s="4" t="s">
        <v>50</v>
      </c>
      <c r="E87" s="4"/>
    </row>
    <row r="88" customFormat="false" ht="15" hidden="false" customHeight="false" outlineLevel="0" collapsed="false">
      <c r="B88" s="8" t="s">
        <v>126</v>
      </c>
      <c r="C88" s="12" t="n">
        <v>0.25</v>
      </c>
      <c r="D88" s="4" t="s">
        <v>35</v>
      </c>
      <c r="E88" s="4" t="s">
        <v>127</v>
      </c>
    </row>
    <row r="89" customFormat="false" ht="15" hidden="false" customHeight="false" outlineLevel="0" collapsed="false">
      <c r="B89" s="8" t="s">
        <v>128</v>
      </c>
      <c r="C89" s="12" t="n">
        <v>0.3</v>
      </c>
      <c r="D89" s="4" t="s">
        <v>35</v>
      </c>
      <c r="E89" s="4"/>
    </row>
    <row r="90" customFormat="false" ht="15" hidden="false" customHeight="false" outlineLevel="0" collapsed="false">
      <c r="B90" s="8" t="s">
        <v>129</v>
      </c>
      <c r="C90" s="14" t="n">
        <v>6</v>
      </c>
      <c r="D90" s="4" t="s">
        <v>130</v>
      </c>
      <c r="E90" s="4"/>
    </row>
    <row r="91" customFormat="false" ht="15" hidden="false" customHeight="false" outlineLevel="0" collapsed="false">
      <c r="B91" s="8" t="s">
        <v>131</v>
      </c>
      <c r="C91" s="10" t="n">
        <v>40</v>
      </c>
      <c r="D91" s="4" t="s">
        <v>26</v>
      </c>
      <c r="E91" s="4"/>
    </row>
    <row r="92" customFormat="false" ht="15" hidden="false" customHeight="false" outlineLevel="0" collapsed="false">
      <c r="B92" s="8" t="s">
        <v>132</v>
      </c>
      <c r="C92" s="12" t="n">
        <v>0.9</v>
      </c>
      <c r="D92" s="4" t="s">
        <v>35</v>
      </c>
      <c r="E92" s="4" t="s">
        <v>133</v>
      </c>
    </row>
    <row r="93" customFormat="false" ht="15" hidden="false" customHeight="false" outlineLevel="0" collapsed="false">
      <c r="B93" s="8" t="s">
        <v>134</v>
      </c>
      <c r="C93" s="12" t="n">
        <v>0.065</v>
      </c>
      <c r="D93" s="4" t="s">
        <v>23</v>
      </c>
      <c r="E93" s="4"/>
    </row>
    <row r="94" customFormat="false" ht="15" hidden="false" customHeight="false" outlineLevel="0" collapsed="false">
      <c r="B94" s="8" t="s">
        <v>135</v>
      </c>
      <c r="C94" s="10" t="n">
        <v>50</v>
      </c>
      <c r="D94" s="4" t="s">
        <v>26</v>
      </c>
      <c r="E94" s="4"/>
    </row>
    <row r="95" customFormat="false" ht="15" hidden="false" customHeight="false" outlineLevel="0" collapsed="false">
      <c r="B95" s="8" t="s">
        <v>136</v>
      </c>
      <c r="C95" s="10" t="n">
        <v>45</v>
      </c>
      <c r="D95" s="4" t="s">
        <v>26</v>
      </c>
      <c r="E95" s="4"/>
    </row>
    <row r="96" customFormat="false" ht="15" hidden="false" customHeight="false" outlineLevel="0" collapsed="false">
      <c r="B96" s="8" t="s">
        <v>137</v>
      </c>
      <c r="C96" s="10" t="n">
        <v>5.5</v>
      </c>
      <c r="D96" s="4" t="s">
        <v>26</v>
      </c>
      <c r="E96" s="4"/>
    </row>
    <row r="97" customFormat="false" ht="15" hidden="false" customHeight="false" outlineLevel="0" collapsed="false">
      <c r="B97" s="8" t="s">
        <v>138</v>
      </c>
      <c r="C97" s="17" t="n">
        <v>1</v>
      </c>
      <c r="D97" s="4" t="s">
        <v>35</v>
      </c>
      <c r="E97" s="4"/>
    </row>
    <row r="99" customFormat="false" ht="15" hidden="false" customHeight="false" outlineLevel="0" collapsed="false">
      <c r="B99" s="2" t="s">
        <v>139</v>
      </c>
    </row>
    <row r="100" customFormat="false" ht="15" hidden="false" customHeight="false" outlineLevel="0" collapsed="false">
      <c r="B100" s="5" t="s">
        <v>95</v>
      </c>
      <c r="C100" s="16" t="n">
        <v>1</v>
      </c>
      <c r="D100" s="16" t="n">
        <v>2</v>
      </c>
      <c r="E100" s="16" t="n">
        <v>3</v>
      </c>
      <c r="F100" s="16" t="n">
        <v>4</v>
      </c>
      <c r="G100" s="16" t="n">
        <v>5</v>
      </c>
      <c r="H100" s="16" t="n">
        <v>6</v>
      </c>
      <c r="I100" s="16" t="n">
        <v>7</v>
      </c>
      <c r="J100" s="16" t="n">
        <v>8</v>
      </c>
      <c r="K100" s="16" t="n">
        <v>9</v>
      </c>
      <c r="L100" s="16" t="n">
        <v>10</v>
      </c>
      <c r="M100" s="16" t="n">
        <v>11</v>
      </c>
      <c r="N100" s="16" t="n">
        <v>12</v>
      </c>
      <c r="O100" s="16" t="n">
        <v>13</v>
      </c>
      <c r="P100" s="6"/>
      <c r="Q100" s="7" t="s">
        <v>96</v>
      </c>
    </row>
    <row r="101" customFormat="false" ht="15" hidden="false" customHeight="false" outlineLevel="0" collapsed="false">
      <c r="B101" s="8" t="s">
        <v>140</v>
      </c>
      <c r="C101" s="14" t="n">
        <v>0</v>
      </c>
      <c r="D101" s="14" t="n">
        <v>1</v>
      </c>
      <c r="E101" s="14" t="n">
        <v>1</v>
      </c>
      <c r="F101" s="14" t="n">
        <v>0</v>
      </c>
      <c r="G101" s="14" t="n">
        <v>0</v>
      </c>
      <c r="H101" s="14" t="n">
        <v>0</v>
      </c>
      <c r="I101" s="14" t="n">
        <v>0</v>
      </c>
      <c r="J101" s="14" t="n">
        <v>0</v>
      </c>
      <c r="K101" s="14" t="n">
        <v>0</v>
      </c>
      <c r="L101" s="14" t="n">
        <v>0</v>
      </c>
      <c r="M101" s="14" t="n">
        <v>0</v>
      </c>
      <c r="N101" s="14" t="n">
        <v>0</v>
      </c>
      <c r="O101" s="14" t="n">
        <v>0</v>
      </c>
      <c r="Q101" s="4" t="s">
        <v>141</v>
      </c>
    </row>
    <row r="102" customFormat="false" ht="15" hidden="false" customHeight="false" outlineLevel="0" collapsed="false">
      <c r="B102" s="8" t="s">
        <v>142</v>
      </c>
      <c r="C102" s="14" t="n">
        <v>0</v>
      </c>
      <c r="D102" s="14" t="n">
        <v>0</v>
      </c>
      <c r="E102" s="14" t="n">
        <v>0</v>
      </c>
      <c r="F102" s="14" t="n">
        <v>1</v>
      </c>
      <c r="G102" s="14" t="n">
        <v>1</v>
      </c>
      <c r="H102" s="14" t="n">
        <v>1</v>
      </c>
      <c r="I102" s="14" t="n">
        <v>0</v>
      </c>
      <c r="J102" s="14" t="n">
        <v>0</v>
      </c>
      <c r="K102" s="14" t="n">
        <v>0</v>
      </c>
      <c r="L102" s="14" t="n">
        <v>0</v>
      </c>
      <c r="M102" s="14" t="n">
        <v>0</v>
      </c>
      <c r="N102" s="14" t="n">
        <v>0</v>
      </c>
      <c r="O102" s="14" t="n">
        <v>0</v>
      </c>
      <c r="Q102" s="4" t="s">
        <v>143</v>
      </c>
    </row>
    <row r="103" customFormat="false" ht="15" hidden="false" customHeight="false" outlineLevel="0" collapsed="false">
      <c r="B103" s="8" t="s">
        <v>144</v>
      </c>
      <c r="C103" s="14" t="n">
        <v>0</v>
      </c>
      <c r="D103" s="14" t="n">
        <v>0</v>
      </c>
      <c r="E103" s="14" t="n">
        <v>1</v>
      </c>
      <c r="F103" s="14" t="n">
        <v>1</v>
      </c>
      <c r="G103" s="14" t="n">
        <v>1</v>
      </c>
      <c r="H103" s="14" t="n">
        <v>1</v>
      </c>
      <c r="I103" s="14" t="n">
        <v>1</v>
      </c>
      <c r="J103" s="14" t="n">
        <v>1</v>
      </c>
      <c r="K103" s="14" t="n">
        <v>1</v>
      </c>
      <c r="L103" s="14" t="n">
        <v>1</v>
      </c>
      <c r="M103" s="14" t="n">
        <v>1</v>
      </c>
      <c r="N103" s="14" t="n">
        <v>1</v>
      </c>
      <c r="O103" s="14" t="n">
        <v>1</v>
      </c>
      <c r="Q103" s="4" t="s">
        <v>145</v>
      </c>
    </row>
    <row r="104" customFormat="false" ht="15" hidden="false" customHeight="false" outlineLevel="0" collapsed="false">
      <c r="B104" s="8" t="s">
        <v>146</v>
      </c>
      <c r="C104" s="14" t="n">
        <v>0</v>
      </c>
      <c r="D104" s="14" t="n">
        <v>0</v>
      </c>
      <c r="E104" s="14" t="n">
        <v>0</v>
      </c>
      <c r="F104" s="14" t="n">
        <v>0</v>
      </c>
      <c r="G104" s="14" t="n">
        <v>1</v>
      </c>
      <c r="H104" s="14" t="n">
        <v>0</v>
      </c>
      <c r="I104" s="14" t="n">
        <v>0</v>
      </c>
      <c r="J104" s="14" t="n">
        <v>0</v>
      </c>
      <c r="K104" s="14" t="n">
        <v>0</v>
      </c>
      <c r="L104" s="14" t="n">
        <v>0</v>
      </c>
      <c r="M104" s="14" t="n">
        <v>0</v>
      </c>
      <c r="N104" s="14" t="n">
        <v>0</v>
      </c>
      <c r="O104" s="14" t="n">
        <v>0</v>
      </c>
      <c r="Q104" s="4" t="s">
        <v>147</v>
      </c>
    </row>
    <row r="106" customFormat="false" ht="15" hidden="false" customHeight="false" outlineLevel="0" collapsed="false">
      <c r="B106" s="2" t="s">
        <v>148</v>
      </c>
    </row>
    <row r="107" customFormat="false" ht="15" hidden="false" customHeight="false" outlineLevel="0" collapsed="false">
      <c r="B107" s="5" t="s">
        <v>149</v>
      </c>
      <c r="C107" s="6" t="s">
        <v>150</v>
      </c>
      <c r="D107" s="6" t="s">
        <v>151</v>
      </c>
      <c r="E107" s="6" t="s">
        <v>152</v>
      </c>
      <c r="F107" s="6" t="s">
        <v>153</v>
      </c>
      <c r="G107" s="6" t="s">
        <v>154</v>
      </c>
      <c r="H107" s="6" t="s">
        <v>155</v>
      </c>
    </row>
    <row r="108" customFormat="false" ht="15" hidden="false" customHeight="false" outlineLevel="0" collapsed="false">
      <c r="B108" s="8" t="s">
        <v>156</v>
      </c>
      <c r="C108" s="12" t="n">
        <v>0</v>
      </c>
      <c r="D108" s="12" t="n">
        <v>0.1</v>
      </c>
      <c r="E108" s="12" t="n">
        <v>0.2</v>
      </c>
      <c r="F108" s="12" t="n">
        <v>0.25</v>
      </c>
      <c r="G108" s="12" t="n">
        <v>0.3</v>
      </c>
      <c r="H108" s="12" t="n">
        <v>0.4</v>
      </c>
      <c r="J108" s="4"/>
    </row>
    <row r="110" customFormat="false" ht="15" hidden="false" customHeight="false" outlineLevel="0" collapsed="false">
      <c r="B110" s="2" t="s">
        <v>157</v>
      </c>
    </row>
    <row r="111" customFormat="false" ht="15" hidden="false" customHeight="false" outlineLevel="0" collapsed="false">
      <c r="B111" s="5" t="s">
        <v>158</v>
      </c>
      <c r="C111" s="16" t="n">
        <v>1</v>
      </c>
      <c r="D111" s="16" t="n">
        <v>2</v>
      </c>
      <c r="E111" s="16" t="n">
        <v>3</v>
      </c>
      <c r="F111" s="16" t="n">
        <v>4</v>
      </c>
      <c r="G111" s="6"/>
      <c r="H111" s="7" t="s">
        <v>96</v>
      </c>
    </row>
    <row r="112" customFormat="false" ht="15" hidden="false" customHeight="false" outlineLevel="0" collapsed="false">
      <c r="B112" s="8" t="s">
        <v>159</v>
      </c>
      <c r="C112" s="15" t="n">
        <v>19.6</v>
      </c>
      <c r="D112" s="15" t="n">
        <v>20.9</v>
      </c>
      <c r="E112" s="15" t="n">
        <v>19.1</v>
      </c>
      <c r="F112" s="15" t="n">
        <v>20.4</v>
      </c>
      <c r="H112" s="4"/>
    </row>
    <row r="113" customFormat="false" ht="15" hidden="false" customHeight="false" outlineLevel="0" collapsed="false">
      <c r="B113" s="8" t="s">
        <v>160</v>
      </c>
      <c r="C113" s="15" t="n">
        <v>10.9</v>
      </c>
      <c r="D113" s="15" t="n">
        <v>11.6</v>
      </c>
      <c r="E113" s="15" t="n">
        <v>10.4</v>
      </c>
      <c r="F113" s="15" t="n">
        <v>11.2</v>
      </c>
      <c r="H113" s="4"/>
    </row>
    <row r="114" customFormat="false" ht="15" hidden="false" customHeight="false" outlineLevel="0" collapsed="false">
      <c r="B114" s="8" t="s">
        <v>161</v>
      </c>
      <c r="C114" s="15" t="n">
        <v>0</v>
      </c>
      <c r="D114" s="15" t="n">
        <v>0.7</v>
      </c>
      <c r="E114" s="15" t="n">
        <v>-0.7</v>
      </c>
      <c r="F114" s="15" t="n">
        <v>0</v>
      </c>
      <c r="H114" s="4" t="s">
        <v>162</v>
      </c>
    </row>
    <row r="115" customFormat="false" ht="15" hidden="false" customHeight="false" outlineLevel="0" collapsed="false">
      <c r="B115" s="8" t="s">
        <v>163</v>
      </c>
      <c r="C115" s="15" t="n">
        <v>0</v>
      </c>
      <c r="D115" s="15" t="n">
        <v>0</v>
      </c>
      <c r="E115" s="15" t="n">
        <v>0</v>
      </c>
      <c r="F115" s="15" t="n">
        <v>0</v>
      </c>
      <c r="H115" s="4" t="s">
        <v>164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Q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0"/>
    <col collapsed="false" customWidth="true" hidden="false" outlineLevel="0" max="15" min="3" style="0" width="8.5"/>
    <col collapsed="false" customWidth="true" hidden="false" outlineLevel="0" max="16" min="16" style="0" width="10"/>
    <col collapsed="false" customWidth="true" hidden="false" outlineLevel="0" max="17" min="17" style="0" width="44"/>
    <col collapsed="false" customWidth="true" hidden="false" outlineLevel="0" max="39" min="18" style="0" width="11"/>
  </cols>
  <sheetData>
    <row r="1" customFormat="false" ht="6" hidden="false" customHeight="true" outlineLevel="0" collapsed="false"/>
    <row r="2" customFormat="false" ht="15" hidden="false" customHeight="false" outlineLevel="0" collapsed="false">
      <c r="B2" s="1" t="s">
        <v>165</v>
      </c>
    </row>
    <row r="3" customFormat="false" ht="15" hidden="false" customHeight="false" outlineLevel="0" collapsed="false">
      <c r="B3" s="4" t="s">
        <v>166</v>
      </c>
    </row>
    <row r="5" customFormat="false" ht="15" hidden="false" customHeight="false" outlineLevel="0" collapsed="false">
      <c r="B5" s="5" t="s">
        <v>26</v>
      </c>
      <c r="C5" s="16" t="n">
        <v>1</v>
      </c>
      <c r="D5" s="16" t="n">
        <v>2</v>
      </c>
      <c r="E5" s="16" t="n">
        <v>3</v>
      </c>
      <c r="F5" s="16" t="n">
        <v>4</v>
      </c>
      <c r="G5" s="16" t="n">
        <v>5</v>
      </c>
      <c r="H5" s="16" t="n">
        <v>6</v>
      </c>
      <c r="I5" s="16" t="n">
        <v>7</v>
      </c>
      <c r="J5" s="16" t="n">
        <v>8</v>
      </c>
      <c r="K5" s="16" t="n">
        <v>9</v>
      </c>
      <c r="L5" s="16" t="n">
        <v>10</v>
      </c>
      <c r="M5" s="16" t="n">
        <v>11</v>
      </c>
      <c r="N5" s="16" t="n">
        <v>12</v>
      </c>
      <c r="O5" s="16" t="n">
        <v>13</v>
      </c>
      <c r="P5" s="6" t="s">
        <v>167</v>
      </c>
      <c r="Q5" s="7" t="s">
        <v>96</v>
      </c>
    </row>
    <row r="6" customFormat="false" ht="15" hidden="false" customHeight="false" outlineLevel="0" collapsed="false">
      <c r="B6" s="2" t="s">
        <v>168</v>
      </c>
    </row>
    <row r="7" customFormat="false" ht="15" hidden="false" customHeight="false" outlineLevel="0" collapsed="false">
      <c r="B7" s="18" t="s">
        <v>169</v>
      </c>
      <c r="C7" s="19" t="n">
        <f aca="false">IF(Inputs!C67=1,Inputs!$C$55,Inputs!$C$54)</f>
        <v>20.2</v>
      </c>
      <c r="D7" s="19" t="n">
        <f aca="false">IF(Inputs!D67=1,Inputs!$C$55,Inputs!$C$54)</f>
        <v>20.2</v>
      </c>
      <c r="E7" s="19" t="n">
        <f aca="false">IF(Inputs!E67=1,Inputs!$C$55,Inputs!$C$54)</f>
        <v>20.2</v>
      </c>
      <c r="F7" s="19" t="n">
        <f aca="false">IF(Inputs!F67=1,Inputs!$C$55,Inputs!$C$54)</f>
        <v>20.2</v>
      </c>
      <c r="G7" s="19" t="n">
        <f aca="false">IF(Inputs!G67=1,Inputs!$C$55,Inputs!$C$54)</f>
        <v>18.4</v>
      </c>
      <c r="H7" s="19" t="n">
        <f aca="false">IF(Inputs!H67=1,Inputs!$C$55,Inputs!$C$54)</f>
        <v>18.4</v>
      </c>
      <c r="I7" s="19" t="n">
        <f aca="false">IF(Inputs!I67=1,Inputs!$C$55,Inputs!$C$54)</f>
        <v>18.4</v>
      </c>
      <c r="J7" s="19" t="n">
        <f aca="false">IF(Inputs!J67=1,Inputs!$C$55,Inputs!$C$54)</f>
        <v>18.4</v>
      </c>
      <c r="K7" s="19" t="n">
        <f aca="false">IF(Inputs!K67=1,Inputs!$C$55,Inputs!$C$54)</f>
        <v>20.2</v>
      </c>
      <c r="L7" s="19" t="n">
        <f aca="false">IF(Inputs!L67=1,Inputs!$C$55,Inputs!$C$54)</f>
        <v>20.2</v>
      </c>
      <c r="M7" s="19" t="n">
        <f aca="false">IF(Inputs!M67=1,Inputs!$C$55,Inputs!$C$54)</f>
        <v>20.2</v>
      </c>
      <c r="N7" s="19" t="n">
        <f aca="false">IF(Inputs!N67=1,Inputs!$C$55,Inputs!$C$54)</f>
        <v>20.2</v>
      </c>
      <c r="O7" s="19" t="n">
        <f aca="false">IF(Inputs!O67=1,Inputs!$C$55,Inputs!$C$54)</f>
        <v>20.2</v>
      </c>
      <c r="P7" s="20" t="n">
        <f aca="false">SUM(C7:O7)</f>
        <v>255.4</v>
      </c>
    </row>
    <row r="8" customFormat="false" ht="15" hidden="false" customHeight="false" outlineLevel="0" collapsed="false">
      <c r="B8" s="18" t="s">
        <v>170</v>
      </c>
      <c r="C8" s="19" t="n">
        <f aca="false">Inputs!$C$56*Inputs!C68</f>
        <v>0</v>
      </c>
      <c r="D8" s="19" t="n">
        <f aca="false">Inputs!$C$56*Inputs!D68</f>
        <v>0</v>
      </c>
      <c r="E8" s="19" t="n">
        <f aca="false">Inputs!$C$56*Inputs!E68</f>
        <v>0</v>
      </c>
      <c r="F8" s="19" t="n">
        <f aca="false">Inputs!$C$56*Inputs!F68</f>
        <v>0</v>
      </c>
      <c r="G8" s="19" t="n">
        <f aca="false">Inputs!$C$56*Inputs!G68</f>
        <v>0</v>
      </c>
      <c r="H8" s="19" t="n">
        <f aca="false">Inputs!$C$56*Inputs!H68</f>
        <v>0</v>
      </c>
      <c r="I8" s="19" t="n">
        <f aca="false">Inputs!$C$56*Inputs!I68</f>
        <v>0</v>
      </c>
      <c r="J8" s="19" t="n">
        <f aca="false">Inputs!$C$56*Inputs!J68</f>
        <v>0</v>
      </c>
      <c r="K8" s="19" t="n">
        <f aca="false">Inputs!$C$56*Inputs!K68</f>
        <v>0</v>
      </c>
      <c r="L8" s="19" t="n">
        <f aca="false">Inputs!$C$56*Inputs!L68</f>
        <v>1.2</v>
      </c>
      <c r="M8" s="19" t="n">
        <f aca="false">Inputs!$C$56*Inputs!M68</f>
        <v>0</v>
      </c>
      <c r="N8" s="19" t="n">
        <f aca="false">Inputs!$C$56*Inputs!N68</f>
        <v>0</v>
      </c>
      <c r="O8" s="19" t="n">
        <f aca="false">Inputs!$C$56*Inputs!O68</f>
        <v>0</v>
      </c>
      <c r="P8" s="20" t="n">
        <f aca="false">SUM(C8:O8)</f>
        <v>1.2</v>
      </c>
    </row>
    <row r="9" customFormat="false" ht="15" hidden="false" customHeight="false" outlineLevel="0" collapsed="false">
      <c r="B9" s="21" t="s">
        <v>171</v>
      </c>
      <c r="C9" s="22" t="n">
        <f aca="false">C7+C8</f>
        <v>20.2</v>
      </c>
      <c r="D9" s="22" t="n">
        <f aca="false">D7+D8</f>
        <v>20.2</v>
      </c>
      <c r="E9" s="22" t="n">
        <f aca="false">E7+E8</f>
        <v>20.2</v>
      </c>
      <c r="F9" s="22" t="n">
        <f aca="false">F7+F8</f>
        <v>20.2</v>
      </c>
      <c r="G9" s="22" t="n">
        <f aca="false">G7+G8</f>
        <v>18.4</v>
      </c>
      <c r="H9" s="22" t="n">
        <f aca="false">H7+H8</f>
        <v>18.4</v>
      </c>
      <c r="I9" s="22" t="n">
        <f aca="false">I7+I8</f>
        <v>18.4</v>
      </c>
      <c r="J9" s="22" t="n">
        <f aca="false">J7+J8</f>
        <v>18.4</v>
      </c>
      <c r="K9" s="22" t="n">
        <f aca="false">K7+K8</f>
        <v>20.2</v>
      </c>
      <c r="L9" s="22" t="n">
        <f aca="false">L7+L8</f>
        <v>21.4</v>
      </c>
      <c r="M9" s="22" t="n">
        <f aca="false">M7+M8</f>
        <v>20.2</v>
      </c>
      <c r="N9" s="22" t="n">
        <f aca="false">N7+N8</f>
        <v>20.2</v>
      </c>
      <c r="O9" s="22" t="n">
        <f aca="false">O7+O8</f>
        <v>20.2</v>
      </c>
      <c r="P9" s="22" t="n">
        <f aca="false">SUM(C9:O9)</f>
        <v>256.6</v>
      </c>
    </row>
    <row r="10" customFormat="false" ht="15" hidden="false" customHeight="false" outlineLevel="0" collapsed="false">
      <c r="B10" s="2" t="s">
        <v>172</v>
      </c>
    </row>
    <row r="11" customFormat="false" ht="15" hidden="false" customHeight="false" outlineLevel="0" collapsed="false">
      <c r="B11" s="18" t="s">
        <v>173</v>
      </c>
      <c r="C11" s="19" t="n">
        <f aca="false">Inputs!$C$57</f>
        <v>10.9</v>
      </c>
      <c r="D11" s="19" t="n">
        <f aca="false">Inputs!$C$57</f>
        <v>10.9</v>
      </c>
      <c r="E11" s="19" t="n">
        <f aca="false">Inputs!$C$57</f>
        <v>10.9</v>
      </c>
      <c r="F11" s="19" t="n">
        <f aca="false">Inputs!$C$57</f>
        <v>10.9</v>
      </c>
      <c r="G11" s="19" t="n">
        <f aca="false">Inputs!$C$57</f>
        <v>10.9</v>
      </c>
      <c r="H11" s="19" t="n">
        <f aca="false">Inputs!$C$57</f>
        <v>10.9</v>
      </c>
      <c r="I11" s="19" t="n">
        <f aca="false">Inputs!$C$57</f>
        <v>10.9</v>
      </c>
      <c r="J11" s="19" t="n">
        <f aca="false">Inputs!$C$57</f>
        <v>10.9</v>
      </c>
      <c r="K11" s="19" t="n">
        <f aca="false">Inputs!$C$57</f>
        <v>10.9</v>
      </c>
      <c r="L11" s="19" t="n">
        <f aca="false">Inputs!$C$57</f>
        <v>10.9</v>
      </c>
      <c r="M11" s="19" t="n">
        <f aca="false">Inputs!$C$57</f>
        <v>10.9</v>
      </c>
      <c r="N11" s="19" t="n">
        <f aca="false">Inputs!$C$57</f>
        <v>10.9</v>
      </c>
      <c r="O11" s="19" t="n">
        <f aca="false">Inputs!$C$57</f>
        <v>10.9</v>
      </c>
      <c r="P11" s="20" t="n">
        <f aca="false">SUM(C11:O11)</f>
        <v>141.7</v>
      </c>
    </row>
    <row r="12" customFormat="false" ht="15" hidden="false" customHeight="false" outlineLevel="0" collapsed="false">
      <c r="B12" s="18" t="s">
        <v>174</v>
      </c>
      <c r="C12" s="19" t="n">
        <f aca="false">Inputs!$C$58*Inputs!C69</f>
        <v>0</v>
      </c>
      <c r="D12" s="19" t="n">
        <f aca="false">Inputs!$C$58*Inputs!D69</f>
        <v>7.2</v>
      </c>
      <c r="E12" s="19" t="n">
        <f aca="false">Inputs!$C$58*Inputs!E69</f>
        <v>0</v>
      </c>
      <c r="F12" s="19" t="n">
        <f aca="false">Inputs!$C$58*Inputs!F69</f>
        <v>7.2</v>
      </c>
      <c r="G12" s="19" t="n">
        <f aca="false">Inputs!$C$58*Inputs!G69</f>
        <v>0</v>
      </c>
      <c r="H12" s="19" t="n">
        <f aca="false">Inputs!$C$58*Inputs!H69</f>
        <v>7.2</v>
      </c>
      <c r="I12" s="19" t="n">
        <f aca="false">Inputs!$C$58*Inputs!I69</f>
        <v>0</v>
      </c>
      <c r="J12" s="19" t="n">
        <f aca="false">Inputs!$C$58*Inputs!J69</f>
        <v>7.2</v>
      </c>
      <c r="K12" s="19" t="n">
        <f aca="false">Inputs!$C$58*Inputs!K69</f>
        <v>0</v>
      </c>
      <c r="L12" s="19" t="n">
        <f aca="false">Inputs!$C$58*Inputs!L69</f>
        <v>7.2</v>
      </c>
      <c r="M12" s="19" t="n">
        <f aca="false">Inputs!$C$58*Inputs!M69</f>
        <v>0</v>
      </c>
      <c r="N12" s="19" t="n">
        <f aca="false">Inputs!$C$58*Inputs!N69</f>
        <v>7.2</v>
      </c>
      <c r="O12" s="19" t="n">
        <f aca="false">Inputs!$C$58*Inputs!O69</f>
        <v>0</v>
      </c>
      <c r="P12" s="20" t="n">
        <f aca="false">SUM(C12:O12)</f>
        <v>43.2</v>
      </c>
    </row>
    <row r="13" customFormat="false" ht="15" hidden="false" customHeight="false" outlineLevel="0" collapsed="false">
      <c r="B13" s="18" t="s">
        <v>88</v>
      </c>
      <c r="C13" s="19" t="n">
        <f aca="false">Inputs!$C$59</f>
        <v>1.1</v>
      </c>
      <c r="D13" s="19" t="n">
        <f aca="false">Inputs!$C$59</f>
        <v>1.1</v>
      </c>
      <c r="E13" s="19" t="n">
        <f aca="false">Inputs!$C$59</f>
        <v>1.1</v>
      </c>
      <c r="F13" s="19" t="n">
        <f aca="false">Inputs!$C$59</f>
        <v>1.1</v>
      </c>
      <c r="G13" s="19" t="n">
        <f aca="false">Inputs!$C$59</f>
        <v>1.1</v>
      </c>
      <c r="H13" s="19" t="n">
        <f aca="false">Inputs!$C$59</f>
        <v>1.1</v>
      </c>
      <c r="I13" s="19" t="n">
        <f aca="false">Inputs!$C$59</f>
        <v>1.1</v>
      </c>
      <c r="J13" s="19" t="n">
        <f aca="false">Inputs!$C$59</f>
        <v>1.1</v>
      </c>
      <c r="K13" s="19" t="n">
        <f aca="false">Inputs!$C$59</f>
        <v>1.1</v>
      </c>
      <c r="L13" s="19" t="n">
        <f aca="false">Inputs!$C$59</f>
        <v>1.1</v>
      </c>
      <c r="M13" s="19" t="n">
        <f aca="false">Inputs!$C$59</f>
        <v>1.1</v>
      </c>
      <c r="N13" s="19" t="n">
        <f aca="false">Inputs!$C$59</f>
        <v>1.1</v>
      </c>
      <c r="O13" s="19" t="n">
        <f aca="false">Inputs!$C$59</f>
        <v>1.1</v>
      </c>
      <c r="P13" s="20" t="n">
        <f aca="false">SUM(C13:O13)</f>
        <v>14.3</v>
      </c>
    </row>
    <row r="14" customFormat="false" ht="15" hidden="false" customHeight="false" outlineLevel="0" collapsed="false">
      <c r="B14" s="18" t="s">
        <v>89</v>
      </c>
      <c r="C14" s="19" t="n">
        <f aca="false">Inputs!$C$60</f>
        <v>1.18</v>
      </c>
      <c r="D14" s="19" t="n">
        <f aca="false">Inputs!$C$60</f>
        <v>1.18</v>
      </c>
      <c r="E14" s="19" t="n">
        <f aca="false">Inputs!$C$60</f>
        <v>1.18</v>
      </c>
      <c r="F14" s="19" t="n">
        <f aca="false">Inputs!$C$60</f>
        <v>1.18</v>
      </c>
      <c r="G14" s="19" t="n">
        <f aca="false">Inputs!$C$60</f>
        <v>1.18</v>
      </c>
      <c r="H14" s="19" t="n">
        <f aca="false">Inputs!$C$60</f>
        <v>1.18</v>
      </c>
      <c r="I14" s="19" t="n">
        <f aca="false">Inputs!$C$60</f>
        <v>1.18</v>
      </c>
      <c r="J14" s="19" t="n">
        <f aca="false">Inputs!$C$60</f>
        <v>1.18</v>
      </c>
      <c r="K14" s="19" t="n">
        <f aca="false">Inputs!$C$60</f>
        <v>1.18</v>
      </c>
      <c r="L14" s="19" t="n">
        <f aca="false">Inputs!$C$60</f>
        <v>1.18</v>
      </c>
      <c r="M14" s="19" t="n">
        <f aca="false">Inputs!$C$60</f>
        <v>1.18</v>
      </c>
      <c r="N14" s="19" t="n">
        <f aca="false">Inputs!$C$60</f>
        <v>1.18</v>
      </c>
      <c r="O14" s="19" t="n">
        <f aca="false">Inputs!$C$60</f>
        <v>1.18</v>
      </c>
      <c r="P14" s="20" t="n">
        <f aca="false">SUM(C14:O14)</f>
        <v>15.34</v>
      </c>
    </row>
    <row r="15" customFormat="false" ht="15" hidden="false" customHeight="false" outlineLevel="0" collapsed="false">
      <c r="B15" s="18" t="s">
        <v>175</v>
      </c>
      <c r="C15" s="19" t="n">
        <f aca="false">Inputs!$C$61*Inputs!C70</f>
        <v>2.8</v>
      </c>
      <c r="D15" s="19" t="n">
        <f aca="false">Inputs!$C$61*Inputs!D70</f>
        <v>0</v>
      </c>
      <c r="E15" s="19" t="n">
        <f aca="false">Inputs!$C$61*Inputs!E70</f>
        <v>0</v>
      </c>
      <c r="F15" s="19" t="n">
        <f aca="false">Inputs!$C$61*Inputs!F70</f>
        <v>0</v>
      </c>
      <c r="G15" s="19" t="n">
        <f aca="false">Inputs!$C$61*Inputs!G70</f>
        <v>2.8</v>
      </c>
      <c r="H15" s="19" t="n">
        <f aca="false">Inputs!$C$61*Inputs!H70</f>
        <v>0</v>
      </c>
      <c r="I15" s="19" t="n">
        <f aca="false">Inputs!$C$61*Inputs!I70</f>
        <v>0</v>
      </c>
      <c r="J15" s="19" t="n">
        <f aca="false">Inputs!$C$61*Inputs!J70</f>
        <v>0</v>
      </c>
      <c r="K15" s="19" t="n">
        <f aca="false">Inputs!$C$61*Inputs!K70</f>
        <v>2.8</v>
      </c>
      <c r="L15" s="19" t="n">
        <f aca="false">Inputs!$C$61*Inputs!L70</f>
        <v>0</v>
      </c>
      <c r="M15" s="19" t="n">
        <f aca="false">Inputs!$C$61*Inputs!M70</f>
        <v>0</v>
      </c>
      <c r="N15" s="19" t="n">
        <f aca="false">Inputs!$C$61*Inputs!N70</f>
        <v>0</v>
      </c>
      <c r="O15" s="19" t="n">
        <f aca="false">Inputs!$C$61*Inputs!O70</f>
        <v>2.8</v>
      </c>
      <c r="P15" s="20" t="n">
        <f aca="false">SUM(C15:O15)</f>
        <v>11.2</v>
      </c>
    </row>
    <row r="16" customFormat="false" ht="15" hidden="false" customHeight="false" outlineLevel="0" collapsed="false">
      <c r="B16" s="18" t="s">
        <v>176</v>
      </c>
      <c r="C16" s="19" t="n">
        <f aca="false">Inputs!$C$62*Inputs!C71</f>
        <v>0</v>
      </c>
      <c r="D16" s="19" t="n">
        <f aca="false">Inputs!$C$62*Inputs!D71</f>
        <v>0</v>
      </c>
      <c r="E16" s="19" t="n">
        <f aca="false">Inputs!$C$62*Inputs!E71</f>
        <v>0</v>
      </c>
      <c r="F16" s="19" t="n">
        <f aca="false">Inputs!$C$62*Inputs!F71</f>
        <v>0</v>
      </c>
      <c r="G16" s="19" t="n">
        <f aca="false">Inputs!$C$62*Inputs!G71</f>
        <v>0</v>
      </c>
      <c r="H16" s="19" t="n">
        <f aca="false">Inputs!$C$62*Inputs!H71</f>
        <v>0</v>
      </c>
      <c r="I16" s="19" t="n">
        <f aca="false">Inputs!$C$62*Inputs!I71</f>
        <v>0</v>
      </c>
      <c r="J16" s="19" t="n">
        <f aca="false">Inputs!$C$62*Inputs!J71</f>
        <v>0</v>
      </c>
      <c r="K16" s="19" t="n">
        <f aca="false">Inputs!$C$62*Inputs!K71</f>
        <v>0</v>
      </c>
      <c r="L16" s="19" t="n">
        <f aca="false">Inputs!$C$62*Inputs!L71</f>
        <v>0</v>
      </c>
      <c r="M16" s="19" t="n">
        <f aca="false">Inputs!$C$62*Inputs!M71</f>
        <v>0</v>
      </c>
      <c r="N16" s="19" t="n">
        <f aca="false">Inputs!$C$62*Inputs!N71</f>
        <v>0</v>
      </c>
      <c r="O16" s="19" t="n">
        <f aca="false">Inputs!$C$62*Inputs!O71</f>
        <v>3</v>
      </c>
      <c r="P16" s="20" t="n">
        <f aca="false">SUM(C16:O16)</f>
        <v>3</v>
      </c>
    </row>
    <row r="17" customFormat="false" ht="15" hidden="false" customHeight="false" outlineLevel="0" collapsed="false">
      <c r="B17" s="18" t="s">
        <v>177</v>
      </c>
      <c r="C17" s="19" t="n">
        <f aca="false">(Inputs!$C$26+Inputs!$C$27)/Inputs!$C$32</f>
        <v>0.769230769230769</v>
      </c>
      <c r="D17" s="19" t="n">
        <f aca="false">(Inputs!$C$26+Inputs!$C$27)/Inputs!$C$32</f>
        <v>0.769230769230769</v>
      </c>
      <c r="E17" s="19" t="n">
        <f aca="false">(Inputs!$C$26+Inputs!$C$27)/Inputs!$C$32</f>
        <v>0.769230769230769</v>
      </c>
      <c r="F17" s="19" t="n">
        <f aca="false">(Inputs!$C$26+Inputs!$C$27)/Inputs!$C$32</f>
        <v>0.769230769230769</v>
      </c>
      <c r="G17" s="19" t="n">
        <f aca="false">(Inputs!$C$26+Inputs!$C$27)/Inputs!$C$32</f>
        <v>0.769230769230769</v>
      </c>
      <c r="H17" s="19" t="n">
        <f aca="false">(Inputs!$C$26+Inputs!$C$27)/Inputs!$C$32</f>
        <v>0.769230769230769</v>
      </c>
      <c r="I17" s="19" t="n">
        <f aca="false">(Inputs!$C$26+Inputs!$C$27)/Inputs!$C$32</f>
        <v>0.769230769230769</v>
      </c>
      <c r="J17" s="19" t="n">
        <f aca="false">(Inputs!$C$26+Inputs!$C$27)/Inputs!$C$32</f>
        <v>0.769230769230769</v>
      </c>
      <c r="K17" s="19" t="n">
        <f aca="false">(Inputs!$C$26+Inputs!$C$27)/Inputs!$C$32</f>
        <v>0.769230769230769</v>
      </c>
      <c r="L17" s="19" t="n">
        <f aca="false">(Inputs!$C$26+Inputs!$C$27)/Inputs!$C$32</f>
        <v>0.769230769230769</v>
      </c>
      <c r="M17" s="19" t="n">
        <f aca="false">(Inputs!$C$26+Inputs!$C$27)/Inputs!$C$32</f>
        <v>0.769230769230769</v>
      </c>
      <c r="N17" s="19" t="n">
        <f aca="false">(Inputs!$C$26+Inputs!$C$27)/Inputs!$C$32</f>
        <v>0.769230769230769</v>
      </c>
      <c r="O17" s="19" t="n">
        <f aca="false">(Inputs!$C$26+Inputs!$C$27)/Inputs!$C$32</f>
        <v>0.769230769230769</v>
      </c>
      <c r="P17" s="20" t="n">
        <f aca="false">SUM(C17:O17)</f>
        <v>10</v>
      </c>
      <c r="Q17" s="4" t="s">
        <v>178</v>
      </c>
    </row>
    <row r="18" customFormat="false" ht="15" hidden="false" customHeight="false" outlineLevel="0" collapsed="false">
      <c r="B18" s="18" t="s">
        <v>179</v>
      </c>
      <c r="C18" s="19" t="n">
        <f aca="false">Inputs!$C$28/Inputs!$C$38*Inputs!C72</f>
        <v>0</v>
      </c>
      <c r="D18" s="19" t="n">
        <f aca="false">Inputs!$C$28/Inputs!$C$38*Inputs!D72</f>
        <v>0</v>
      </c>
      <c r="E18" s="19" t="n">
        <f aca="false">Inputs!$C$28/Inputs!$C$38*Inputs!E72</f>
        <v>0</v>
      </c>
      <c r="F18" s="19" t="n">
        <f aca="false">Inputs!$C$28/Inputs!$C$38*Inputs!F72</f>
        <v>0</v>
      </c>
      <c r="G18" s="19" t="n">
        <f aca="false">Inputs!$C$28/Inputs!$C$38*Inputs!G72</f>
        <v>0</v>
      </c>
      <c r="H18" s="19" t="n">
        <f aca="false">Inputs!$C$28/Inputs!$C$38*Inputs!H72</f>
        <v>0</v>
      </c>
      <c r="I18" s="19" t="n">
        <f aca="false">Inputs!$C$28/Inputs!$C$38*Inputs!I72</f>
        <v>1.5</v>
      </c>
      <c r="J18" s="19" t="n">
        <f aca="false">Inputs!$C$28/Inputs!$C$38*Inputs!J72</f>
        <v>0</v>
      </c>
      <c r="K18" s="19" t="n">
        <f aca="false">Inputs!$C$28/Inputs!$C$38*Inputs!K72</f>
        <v>0</v>
      </c>
      <c r="L18" s="19" t="n">
        <f aca="false">Inputs!$C$28/Inputs!$C$38*Inputs!L72</f>
        <v>0</v>
      </c>
      <c r="M18" s="19" t="n">
        <f aca="false">Inputs!$C$28/Inputs!$C$38*Inputs!M72</f>
        <v>0</v>
      </c>
      <c r="N18" s="19" t="n">
        <f aca="false">Inputs!$C$28/Inputs!$C$38*Inputs!N72</f>
        <v>0</v>
      </c>
      <c r="O18" s="19" t="n">
        <f aca="false">Inputs!$C$28/Inputs!$C$38*Inputs!O72</f>
        <v>0</v>
      </c>
      <c r="P18" s="20" t="n">
        <f aca="false">SUM(C18:O18)</f>
        <v>1.5</v>
      </c>
      <c r="Q18" s="4" t="s">
        <v>180</v>
      </c>
    </row>
    <row r="19" customFormat="false" ht="15" hidden="false" customHeight="false" outlineLevel="0" collapsed="false">
      <c r="B19" s="21" t="s">
        <v>181</v>
      </c>
      <c r="C19" s="22" t="n">
        <f aca="false">C11+C12+C13+C14+C15+C16+C17+C18</f>
        <v>16.7492307692308</v>
      </c>
      <c r="D19" s="22" t="n">
        <f aca="false">D11+D12+D13+D14+D15+D16+D17+D18</f>
        <v>21.1492307692308</v>
      </c>
      <c r="E19" s="22" t="n">
        <f aca="false">E11+E12+E13+E14+E15+E16+E17+E18</f>
        <v>13.9492307692308</v>
      </c>
      <c r="F19" s="22" t="n">
        <f aca="false">F11+F12+F13+F14+F15+F16+F17+F18</f>
        <v>21.1492307692308</v>
      </c>
      <c r="G19" s="22" t="n">
        <f aca="false">G11+G12+G13+G14+G15+G16+G17+G18</f>
        <v>16.7492307692308</v>
      </c>
      <c r="H19" s="22" t="n">
        <f aca="false">H11+H12+H13+H14+H15+H16+H17+H18</f>
        <v>21.1492307692308</v>
      </c>
      <c r="I19" s="22" t="n">
        <f aca="false">I11+I12+I13+I14+I15+I16+I17+I18</f>
        <v>15.4492307692308</v>
      </c>
      <c r="J19" s="22" t="n">
        <f aca="false">J11+J12+J13+J14+J15+J16+J17+J18</f>
        <v>21.1492307692308</v>
      </c>
      <c r="K19" s="22" t="n">
        <f aca="false">K11+K12+K13+K14+K15+K16+K17+K18</f>
        <v>16.7492307692308</v>
      </c>
      <c r="L19" s="22" t="n">
        <f aca="false">L11+L12+L13+L14+L15+L16+L17+L18</f>
        <v>21.1492307692308</v>
      </c>
      <c r="M19" s="22" t="n">
        <f aca="false">M11+M12+M13+M14+M15+M16+M17+M18</f>
        <v>13.9492307692308</v>
      </c>
      <c r="N19" s="22" t="n">
        <f aca="false">N11+N12+N13+N14+N15+N16+N17+N18</f>
        <v>21.1492307692308</v>
      </c>
      <c r="O19" s="22" t="n">
        <f aca="false">O11+O12+O13+O14+O15+O16+O17+O18</f>
        <v>19.7492307692308</v>
      </c>
      <c r="P19" s="22" t="n">
        <f aca="false">SUM(C19:O19)</f>
        <v>240.24</v>
      </c>
    </row>
    <row r="20" customFormat="false" ht="15" hidden="false" customHeight="false" outlineLevel="0" collapsed="false">
      <c r="B20" s="21" t="s">
        <v>182</v>
      </c>
      <c r="C20" s="22" t="n">
        <f aca="false">C9-C19</f>
        <v>3.45076923076923</v>
      </c>
      <c r="D20" s="22" t="n">
        <f aca="false">D9-D19</f>
        <v>-0.949230769230773</v>
      </c>
      <c r="E20" s="22" t="n">
        <f aca="false">E9-E19</f>
        <v>6.25076923076923</v>
      </c>
      <c r="F20" s="22" t="n">
        <f aca="false">F9-F19</f>
        <v>-0.949230769230773</v>
      </c>
      <c r="G20" s="22" t="n">
        <f aca="false">G9-G19</f>
        <v>1.65076923076923</v>
      </c>
      <c r="H20" s="22" t="n">
        <f aca="false">H9-H19</f>
        <v>-2.74923076923077</v>
      </c>
      <c r="I20" s="22" t="n">
        <f aca="false">I9-I19</f>
        <v>2.95076923076923</v>
      </c>
      <c r="J20" s="22" t="n">
        <f aca="false">J9-J19</f>
        <v>-2.74923076923077</v>
      </c>
      <c r="K20" s="22" t="n">
        <f aca="false">K9-K19</f>
        <v>3.45076923076923</v>
      </c>
      <c r="L20" s="22" t="n">
        <f aca="false">L9-L19</f>
        <v>0.250769230769226</v>
      </c>
      <c r="M20" s="22" t="n">
        <f aca="false">M9-M19</f>
        <v>6.25076923076923</v>
      </c>
      <c r="N20" s="22" t="n">
        <f aca="false">N9-N19</f>
        <v>-0.949230769230773</v>
      </c>
      <c r="O20" s="22" t="n">
        <f aca="false">O9-O19</f>
        <v>0.450769230769229</v>
      </c>
      <c r="P20" s="22" t="n">
        <f aca="false">SUM(C20:O20)</f>
        <v>16.36</v>
      </c>
    </row>
    <row r="21" customFormat="false" ht="15" hidden="false" customHeight="false" outlineLevel="0" collapsed="false">
      <c r="B21" s="2" t="s">
        <v>183</v>
      </c>
    </row>
    <row r="22" customFormat="false" ht="15" hidden="false" customHeight="false" outlineLevel="0" collapsed="false">
      <c r="B22" s="18" t="s">
        <v>184</v>
      </c>
      <c r="C22" s="19" t="n">
        <f aca="false">Inputs!$C$63*Inputs!C73</f>
        <v>0</v>
      </c>
      <c r="D22" s="19" t="n">
        <f aca="false">Inputs!$C$63*Inputs!D73</f>
        <v>0</v>
      </c>
      <c r="E22" s="19" t="n">
        <f aca="false">Inputs!$C$63*Inputs!E73</f>
        <v>0.45</v>
      </c>
      <c r="F22" s="19" t="n">
        <f aca="false">Inputs!$C$63*Inputs!F73</f>
        <v>0.45</v>
      </c>
      <c r="G22" s="19" t="n">
        <f aca="false">Inputs!$C$63*Inputs!G73</f>
        <v>0.45</v>
      </c>
      <c r="H22" s="19" t="n">
        <f aca="false">Inputs!$C$63*Inputs!H73</f>
        <v>0.45</v>
      </c>
      <c r="I22" s="19" t="n">
        <f aca="false">Inputs!$C$63*Inputs!I73</f>
        <v>0.45</v>
      </c>
      <c r="J22" s="19" t="n">
        <f aca="false">Inputs!$C$63*Inputs!J73</f>
        <v>0.45</v>
      </c>
      <c r="K22" s="19" t="n">
        <f aca="false">Inputs!$C$63*Inputs!K73</f>
        <v>0.45</v>
      </c>
      <c r="L22" s="19" t="n">
        <f aca="false">Inputs!$C$63*Inputs!L73</f>
        <v>0.45</v>
      </c>
      <c r="M22" s="19" t="n">
        <f aca="false">Inputs!$C$63*Inputs!M73</f>
        <v>0.45</v>
      </c>
      <c r="N22" s="19" t="n">
        <f aca="false">Inputs!$C$63*Inputs!N73</f>
        <v>0.45</v>
      </c>
      <c r="O22" s="19" t="n">
        <f aca="false">Inputs!$C$63*Inputs!O73</f>
        <v>0.45</v>
      </c>
      <c r="P22" s="20" t="n">
        <f aca="false">SUM(C22:O22)</f>
        <v>4.95</v>
      </c>
    </row>
    <row r="23" customFormat="false" ht="15" hidden="false" customHeight="false" outlineLevel="0" collapsed="false">
      <c r="B23" s="2" t="s">
        <v>185</v>
      </c>
    </row>
    <row r="24" customFormat="false" ht="15" hidden="false" customHeight="false" outlineLevel="0" collapsed="false">
      <c r="B24" s="18" t="s">
        <v>186</v>
      </c>
      <c r="C24" s="19" t="n">
        <f aca="false">Inputs!$C$18*(Inputs!$C$7+Inputs!$C$19)/Inputs!$C$35*Inputs!C74</f>
        <v>0</v>
      </c>
      <c r="D24" s="19" t="n">
        <f aca="false">Inputs!$C$18*(Inputs!$C$7+Inputs!$C$19)/Inputs!$C$35*Inputs!D74</f>
        <v>0</v>
      </c>
      <c r="E24" s="19" t="n">
        <f aca="false">Inputs!$C$18*(Inputs!$C$7+Inputs!$C$19)/Inputs!$C$35*Inputs!E74</f>
        <v>0</v>
      </c>
      <c r="F24" s="19" t="n">
        <f aca="false">Inputs!$C$18*(Inputs!$C$7+Inputs!$C$19)/Inputs!$C$35*Inputs!F74</f>
        <v>0</v>
      </c>
      <c r="G24" s="19" t="n">
        <f aca="false">Inputs!$C$18*(Inputs!$C$7+Inputs!$C$19)/Inputs!$C$35*Inputs!G74</f>
        <v>0</v>
      </c>
      <c r="H24" s="19" t="n">
        <f aca="false">Inputs!$C$18*(Inputs!$C$7+Inputs!$C$19)/Inputs!$C$35*Inputs!H74</f>
        <v>18.675</v>
      </c>
      <c r="I24" s="19" t="n">
        <f aca="false">Inputs!$C$18*(Inputs!$C$7+Inputs!$C$19)/Inputs!$C$35*Inputs!I74</f>
        <v>0</v>
      </c>
      <c r="J24" s="19" t="n">
        <f aca="false">Inputs!$C$18*(Inputs!$C$7+Inputs!$C$19)/Inputs!$C$35*Inputs!J74</f>
        <v>0</v>
      </c>
      <c r="K24" s="19" t="n">
        <f aca="false">Inputs!$C$18*(Inputs!$C$7+Inputs!$C$19)/Inputs!$C$35*Inputs!K74</f>
        <v>0</v>
      </c>
      <c r="L24" s="19" t="n">
        <f aca="false">Inputs!$C$18*(Inputs!$C$7+Inputs!$C$19)/Inputs!$C$35*Inputs!L74</f>
        <v>0</v>
      </c>
      <c r="M24" s="19" t="n">
        <f aca="false">Inputs!$C$18*(Inputs!$C$7+Inputs!$C$19)/Inputs!$C$35*Inputs!M74</f>
        <v>0</v>
      </c>
      <c r="N24" s="19" t="n">
        <f aca="false">Inputs!$C$18*(Inputs!$C$7+Inputs!$C$19)/Inputs!$C$35*Inputs!N74</f>
        <v>0</v>
      </c>
      <c r="O24" s="19" t="n">
        <f aca="false">Inputs!$C$18*(Inputs!$C$7+Inputs!$C$19)/Inputs!$C$35*Inputs!O74</f>
        <v>0</v>
      </c>
      <c r="P24" s="20" t="n">
        <f aca="false">SUM(C24:O24)</f>
        <v>18.675</v>
      </c>
      <c r="Q24" s="4" t="s">
        <v>187</v>
      </c>
    </row>
    <row r="25" customFormat="false" ht="15" hidden="false" customHeight="false" outlineLevel="0" collapsed="false">
      <c r="B25" s="18" t="s">
        <v>188</v>
      </c>
      <c r="C25" s="19" t="n">
        <f aca="false">Inputs!$C$18*Inputs!$C$20/Inputs!$C$35*Inputs!C74</f>
        <v>0</v>
      </c>
      <c r="D25" s="19" t="n">
        <f aca="false">Inputs!$C$18*Inputs!$C$20/Inputs!$C$35*Inputs!D74</f>
        <v>0</v>
      </c>
      <c r="E25" s="19" t="n">
        <f aca="false">Inputs!$C$18*Inputs!$C$20/Inputs!$C$35*Inputs!E74</f>
        <v>0</v>
      </c>
      <c r="F25" s="19" t="n">
        <f aca="false">Inputs!$C$18*Inputs!$C$20/Inputs!$C$35*Inputs!F74</f>
        <v>0</v>
      </c>
      <c r="G25" s="19" t="n">
        <f aca="false">Inputs!$C$18*Inputs!$C$20/Inputs!$C$35*Inputs!G74</f>
        <v>0</v>
      </c>
      <c r="H25" s="19" t="n">
        <f aca="false">Inputs!$C$18*Inputs!$C$20/Inputs!$C$35*Inputs!H74</f>
        <v>2.25</v>
      </c>
      <c r="I25" s="19" t="n">
        <f aca="false">Inputs!$C$18*Inputs!$C$20/Inputs!$C$35*Inputs!I74</f>
        <v>0</v>
      </c>
      <c r="J25" s="19" t="n">
        <f aca="false">Inputs!$C$18*Inputs!$C$20/Inputs!$C$35*Inputs!J74</f>
        <v>0</v>
      </c>
      <c r="K25" s="19" t="n">
        <f aca="false">Inputs!$C$18*Inputs!$C$20/Inputs!$C$35*Inputs!K74</f>
        <v>0</v>
      </c>
      <c r="L25" s="19" t="n">
        <f aca="false">Inputs!$C$18*Inputs!$C$20/Inputs!$C$35*Inputs!L74</f>
        <v>0</v>
      </c>
      <c r="M25" s="19" t="n">
        <f aca="false">Inputs!$C$18*Inputs!$C$20/Inputs!$C$35*Inputs!M74</f>
        <v>0</v>
      </c>
      <c r="N25" s="19" t="n">
        <f aca="false">Inputs!$C$18*Inputs!$C$20/Inputs!$C$35*Inputs!N74</f>
        <v>0</v>
      </c>
      <c r="O25" s="19" t="n">
        <f aca="false">Inputs!$C$18*Inputs!$C$20/Inputs!$C$35*Inputs!O74</f>
        <v>0</v>
      </c>
      <c r="P25" s="20" t="n">
        <f aca="false">SUM(C25:O25)</f>
        <v>2.25</v>
      </c>
    </row>
    <row r="26" customFormat="false" ht="15" hidden="false" customHeight="false" outlineLevel="0" collapsed="false">
      <c r="B26" s="18" t="s">
        <v>189</v>
      </c>
      <c r="C26" s="19" t="n">
        <f aca="false">(Inputs!$C$12*(Inputs!$C$7+Inputs!$C$13)+(Inputs!$C$11-Inputs!$C$12)*Inputs!$C$14)/Inputs!$C$36*Inputs!C75</f>
        <v>0</v>
      </c>
      <c r="D26" s="19" t="n">
        <f aca="false">(Inputs!$C$12*(Inputs!$C$7+Inputs!$C$13)+(Inputs!$C$11-Inputs!$C$12)*Inputs!$C$14)/Inputs!$C$36*Inputs!D75</f>
        <v>0</v>
      </c>
      <c r="E26" s="19" t="n">
        <f aca="false">(Inputs!$C$12*(Inputs!$C$7+Inputs!$C$13)+(Inputs!$C$11-Inputs!$C$12)*Inputs!$C$14)/Inputs!$C$36*Inputs!E75</f>
        <v>0</v>
      </c>
      <c r="F26" s="19" t="n">
        <f aca="false">(Inputs!$C$12*(Inputs!$C$7+Inputs!$C$13)+(Inputs!$C$11-Inputs!$C$12)*Inputs!$C$14)/Inputs!$C$36*Inputs!F75</f>
        <v>0.366666666666667</v>
      </c>
      <c r="G26" s="19" t="n">
        <f aca="false">(Inputs!$C$12*(Inputs!$C$7+Inputs!$C$13)+(Inputs!$C$11-Inputs!$C$12)*Inputs!$C$14)/Inputs!$C$36*Inputs!G75</f>
        <v>0</v>
      </c>
      <c r="H26" s="19" t="n">
        <f aca="false">(Inputs!$C$12*(Inputs!$C$7+Inputs!$C$13)+(Inputs!$C$11-Inputs!$C$12)*Inputs!$C$14)/Inputs!$C$36*Inputs!H75</f>
        <v>0</v>
      </c>
      <c r="I26" s="19" t="n">
        <f aca="false">(Inputs!$C$12*(Inputs!$C$7+Inputs!$C$13)+(Inputs!$C$11-Inputs!$C$12)*Inputs!$C$14)/Inputs!$C$36*Inputs!I75</f>
        <v>0</v>
      </c>
      <c r="J26" s="19" t="n">
        <f aca="false">(Inputs!$C$12*(Inputs!$C$7+Inputs!$C$13)+(Inputs!$C$11-Inputs!$C$12)*Inputs!$C$14)/Inputs!$C$36*Inputs!J75</f>
        <v>0.366666666666667</v>
      </c>
      <c r="K26" s="19" t="n">
        <f aca="false">(Inputs!$C$12*(Inputs!$C$7+Inputs!$C$13)+(Inputs!$C$11-Inputs!$C$12)*Inputs!$C$14)/Inputs!$C$36*Inputs!K75</f>
        <v>0</v>
      </c>
      <c r="L26" s="19" t="n">
        <f aca="false">(Inputs!$C$12*(Inputs!$C$7+Inputs!$C$13)+(Inputs!$C$11-Inputs!$C$12)*Inputs!$C$14)/Inputs!$C$36*Inputs!L75</f>
        <v>0</v>
      </c>
      <c r="M26" s="19" t="n">
        <f aca="false">(Inputs!$C$12*(Inputs!$C$7+Inputs!$C$13)+(Inputs!$C$11-Inputs!$C$12)*Inputs!$C$14)/Inputs!$C$36*Inputs!M75</f>
        <v>0</v>
      </c>
      <c r="N26" s="19" t="n">
        <f aca="false">(Inputs!$C$12*(Inputs!$C$7+Inputs!$C$13)+(Inputs!$C$11-Inputs!$C$12)*Inputs!$C$14)/Inputs!$C$36*Inputs!N75</f>
        <v>0.366666666666667</v>
      </c>
      <c r="O26" s="19" t="n">
        <f aca="false">(Inputs!$C$12*(Inputs!$C$7+Inputs!$C$13)+(Inputs!$C$11-Inputs!$C$12)*Inputs!$C$14)/Inputs!$C$36*Inputs!O75</f>
        <v>0</v>
      </c>
      <c r="P26" s="20" t="n">
        <f aca="false">SUM(C26:O26)</f>
        <v>1.1</v>
      </c>
      <c r="Q26" s="4" t="s">
        <v>190</v>
      </c>
    </row>
    <row r="27" customFormat="false" ht="15" hidden="false" customHeight="false" outlineLevel="0" collapsed="false">
      <c r="B27" s="18" t="s">
        <v>191</v>
      </c>
      <c r="C27" s="19" t="n">
        <f aca="false">Inputs!$C$22*Inputs!$C$23/Inputs!$C$37*Inputs!C76</f>
        <v>0</v>
      </c>
      <c r="D27" s="19" t="n">
        <f aca="false">Inputs!$C$22*Inputs!$C$23/Inputs!$C$37*Inputs!D76</f>
        <v>0</v>
      </c>
      <c r="E27" s="19" t="n">
        <f aca="false">Inputs!$C$22*Inputs!$C$23/Inputs!$C$37*Inputs!E76</f>
        <v>0</v>
      </c>
      <c r="F27" s="19" t="n">
        <f aca="false">Inputs!$C$22*Inputs!$C$23/Inputs!$C$37*Inputs!F76</f>
        <v>0</v>
      </c>
      <c r="G27" s="19" t="n">
        <f aca="false">Inputs!$C$22*Inputs!$C$23/Inputs!$C$37*Inputs!G76</f>
        <v>0</v>
      </c>
      <c r="H27" s="19" t="n">
        <f aca="false">Inputs!$C$22*Inputs!$C$23/Inputs!$C$37*Inputs!H76</f>
        <v>0</v>
      </c>
      <c r="I27" s="19" t="n">
        <f aca="false">Inputs!$C$22*Inputs!$C$23/Inputs!$C$37*Inputs!I76</f>
        <v>0</v>
      </c>
      <c r="J27" s="19" t="n">
        <f aca="false">Inputs!$C$22*Inputs!$C$23/Inputs!$C$37*Inputs!J76</f>
        <v>0</v>
      </c>
      <c r="K27" s="19" t="n">
        <f aca="false">Inputs!$C$22*Inputs!$C$23/Inputs!$C$37*Inputs!K76</f>
        <v>0</v>
      </c>
      <c r="L27" s="19" t="n">
        <f aca="false">Inputs!$C$22*Inputs!$C$23/Inputs!$C$37*Inputs!L76</f>
        <v>0</v>
      </c>
      <c r="M27" s="19" t="n">
        <f aca="false">Inputs!$C$22*Inputs!$C$23/Inputs!$C$37*Inputs!M76</f>
        <v>14.5</v>
      </c>
      <c r="N27" s="19" t="n">
        <f aca="false">Inputs!$C$22*Inputs!$C$23/Inputs!$C$37*Inputs!N76</f>
        <v>0</v>
      </c>
      <c r="O27" s="19" t="n">
        <f aca="false">Inputs!$C$22*Inputs!$C$23/Inputs!$C$37*Inputs!O76</f>
        <v>0</v>
      </c>
      <c r="P27" s="20" t="n">
        <f aca="false">SUM(C27:O27)</f>
        <v>14.5</v>
      </c>
    </row>
    <row r="28" customFormat="false" ht="15" hidden="false" customHeight="false" outlineLevel="0" collapsed="false">
      <c r="B28" s="21" t="s">
        <v>192</v>
      </c>
      <c r="C28" s="22" t="n">
        <f aca="false">C24+C25+C26+C27</f>
        <v>0</v>
      </c>
      <c r="D28" s="22" t="n">
        <f aca="false">D24+D25+D26+D27</f>
        <v>0</v>
      </c>
      <c r="E28" s="22" t="n">
        <f aca="false">E24+E25+E26+E27</f>
        <v>0</v>
      </c>
      <c r="F28" s="22" t="n">
        <f aca="false">F24+F25+F26+F27</f>
        <v>0.366666666666667</v>
      </c>
      <c r="G28" s="22" t="n">
        <f aca="false">G24+G25+G26+G27</f>
        <v>0</v>
      </c>
      <c r="H28" s="22" t="n">
        <f aca="false">H24+H25+H26+H27</f>
        <v>20.925</v>
      </c>
      <c r="I28" s="22" t="n">
        <f aca="false">I24+I25+I26+I27</f>
        <v>0</v>
      </c>
      <c r="J28" s="22" t="n">
        <f aca="false">J24+J25+J26+J27</f>
        <v>0.366666666666667</v>
      </c>
      <c r="K28" s="22" t="n">
        <f aca="false">K24+K25+K26+K27</f>
        <v>0</v>
      </c>
      <c r="L28" s="22" t="n">
        <f aca="false">L24+L25+L26+L27</f>
        <v>0</v>
      </c>
      <c r="M28" s="22" t="n">
        <f aca="false">M24+M25+M26+M27</f>
        <v>14.5</v>
      </c>
      <c r="N28" s="22" t="n">
        <f aca="false">N24+N25+N26+N27</f>
        <v>0.366666666666667</v>
      </c>
      <c r="O28" s="22" t="n">
        <f aca="false">O24+O25+O26+O27</f>
        <v>0</v>
      </c>
      <c r="P28" s="22" t="n">
        <f aca="false">SUM(C28:O28)</f>
        <v>36.525</v>
      </c>
    </row>
    <row r="29" customFormat="false" ht="15" hidden="false" customHeight="false" outlineLevel="0" collapsed="false">
      <c r="B29" s="21" t="s">
        <v>193</v>
      </c>
      <c r="C29" s="22" t="n">
        <f aca="false">C20-C22-C28</f>
        <v>3.45076923076923</v>
      </c>
      <c r="D29" s="22" t="n">
        <f aca="false">D20-D22-D28</f>
        <v>-0.949230769230773</v>
      </c>
      <c r="E29" s="22" t="n">
        <f aca="false">E20-E22-E28</f>
        <v>5.80076923076923</v>
      </c>
      <c r="F29" s="22" t="n">
        <f aca="false">F20-F22-F28</f>
        <v>-1.76589743589744</v>
      </c>
      <c r="G29" s="22" t="n">
        <f aca="false">G20-G22-G28</f>
        <v>1.20076923076923</v>
      </c>
      <c r="H29" s="22" t="n">
        <f aca="false">H20-H22-H28</f>
        <v>-24.1242307692308</v>
      </c>
      <c r="I29" s="22" t="n">
        <f aca="false">I20-I22-I28</f>
        <v>2.50076923076923</v>
      </c>
      <c r="J29" s="22" t="n">
        <f aca="false">J20-J22-J28</f>
        <v>-3.56589743589744</v>
      </c>
      <c r="K29" s="22" t="n">
        <f aca="false">K20-K22-K28</f>
        <v>3.00076923076923</v>
      </c>
      <c r="L29" s="22" t="n">
        <f aca="false">L20-L22-L28</f>
        <v>-0.199230769230774</v>
      </c>
      <c r="M29" s="22" t="n">
        <f aca="false">M20-M22-M28</f>
        <v>-8.69923076923077</v>
      </c>
      <c r="N29" s="22" t="n">
        <f aca="false">N20-N22-N28</f>
        <v>-1.76589743589744</v>
      </c>
      <c r="O29" s="22" t="n">
        <f aca="false">O20-O22-O28</f>
        <v>0.000769230769228801</v>
      </c>
      <c r="P29" s="22" t="n">
        <f aca="false">SUM(C29:O29)</f>
        <v>-25.115</v>
      </c>
    </row>
    <row r="30" customFormat="false" ht="15" hidden="false" customHeight="false" outlineLevel="0" collapsed="false">
      <c r="B30" s="18" t="s">
        <v>194</v>
      </c>
      <c r="C30" s="19" t="n">
        <f aca="false">Inputs!$C$8</f>
        <v>45</v>
      </c>
      <c r="D30" s="19" t="n">
        <f aca="false">C31</f>
        <v>48.4507692307692</v>
      </c>
      <c r="E30" s="19" t="n">
        <f aca="false">D31</f>
        <v>47.5015384615385</v>
      </c>
      <c r="F30" s="19" t="n">
        <f aca="false">E31</f>
        <v>53.3023076923077</v>
      </c>
      <c r="G30" s="19" t="n">
        <f aca="false">F31</f>
        <v>51.5364102564102</v>
      </c>
      <c r="H30" s="19" t="n">
        <f aca="false">G31</f>
        <v>52.7371794871795</v>
      </c>
      <c r="I30" s="19" t="n">
        <f aca="false">H31</f>
        <v>28.6129487179487</v>
      </c>
      <c r="J30" s="19" t="n">
        <f aca="false">I31</f>
        <v>31.1137179487179</v>
      </c>
      <c r="K30" s="19" t="n">
        <f aca="false">J31</f>
        <v>27.5478205128205</v>
      </c>
      <c r="L30" s="19" t="n">
        <f aca="false">K31</f>
        <v>30.5485897435897</v>
      </c>
      <c r="M30" s="19" t="n">
        <f aca="false">L31</f>
        <v>30.3493589743589</v>
      </c>
      <c r="N30" s="19" t="n">
        <f aca="false">M31</f>
        <v>21.6501282051282</v>
      </c>
      <c r="O30" s="19" t="n">
        <f aca="false">N31</f>
        <v>19.8842307692307</v>
      </c>
    </row>
    <row r="31" customFormat="false" ht="15" hidden="false" customHeight="false" outlineLevel="0" collapsed="false">
      <c r="B31" s="21" t="s">
        <v>195</v>
      </c>
      <c r="C31" s="22" t="n">
        <f aca="false">C30+C29</f>
        <v>48.4507692307692</v>
      </c>
      <c r="D31" s="22" t="n">
        <f aca="false">D30+D29</f>
        <v>47.5015384615385</v>
      </c>
      <c r="E31" s="22" t="n">
        <f aca="false">E30+E29</f>
        <v>53.3023076923077</v>
      </c>
      <c r="F31" s="22" t="n">
        <f aca="false">F30+F29</f>
        <v>51.5364102564102</v>
      </c>
      <c r="G31" s="22" t="n">
        <f aca="false">G30+G29</f>
        <v>52.7371794871795</v>
      </c>
      <c r="H31" s="22" t="n">
        <f aca="false">H30+H29</f>
        <v>28.6129487179487</v>
      </c>
      <c r="I31" s="22" t="n">
        <f aca="false">I30+I29</f>
        <v>31.1137179487179</v>
      </c>
      <c r="J31" s="22" t="n">
        <f aca="false">J30+J29</f>
        <v>27.5478205128205</v>
      </c>
      <c r="K31" s="22" t="n">
        <f aca="false">K30+K29</f>
        <v>30.5485897435897</v>
      </c>
      <c r="L31" s="22" t="n">
        <f aca="false">L30+L29</f>
        <v>30.3493589743589</v>
      </c>
      <c r="M31" s="22" t="n">
        <f aca="false">M30+M29</f>
        <v>21.6501282051282</v>
      </c>
      <c r="N31" s="22" t="n">
        <f aca="false">N30+N29</f>
        <v>19.8842307692307</v>
      </c>
      <c r="O31" s="22" t="n">
        <f aca="false">O30+O29</f>
        <v>19.885</v>
      </c>
      <c r="P31" s="23"/>
    </row>
    <row r="32" customFormat="false" ht="15" hidden="false" customHeight="false" outlineLevel="0" collapsed="false">
      <c r="B32" s="18" t="s">
        <v>27</v>
      </c>
      <c r="C32" s="19" t="n">
        <f aca="false">Inputs!$C$9</f>
        <v>25</v>
      </c>
      <c r="D32" s="19" t="n">
        <f aca="false">Inputs!$C$9</f>
        <v>25</v>
      </c>
      <c r="E32" s="19" t="n">
        <f aca="false">Inputs!$C$9</f>
        <v>25</v>
      </c>
      <c r="F32" s="19" t="n">
        <f aca="false">Inputs!$C$9</f>
        <v>25</v>
      </c>
      <c r="G32" s="19" t="n">
        <f aca="false">Inputs!$C$9</f>
        <v>25</v>
      </c>
      <c r="H32" s="19" t="n">
        <f aca="false">Inputs!$C$9</f>
        <v>25</v>
      </c>
      <c r="I32" s="19" t="n">
        <f aca="false">Inputs!$C$9</f>
        <v>25</v>
      </c>
      <c r="J32" s="19" t="n">
        <f aca="false">Inputs!$C$9</f>
        <v>25</v>
      </c>
      <c r="K32" s="19" t="n">
        <f aca="false">Inputs!$C$9</f>
        <v>25</v>
      </c>
      <c r="L32" s="19" t="n">
        <f aca="false">Inputs!$C$9</f>
        <v>25</v>
      </c>
      <c r="M32" s="19" t="n">
        <f aca="false">Inputs!$C$9</f>
        <v>25</v>
      </c>
      <c r="N32" s="19" t="n">
        <f aca="false">Inputs!$C$9</f>
        <v>25</v>
      </c>
      <c r="O32" s="19" t="n">
        <f aca="false">Inputs!$C$9</f>
        <v>25</v>
      </c>
    </row>
    <row r="33" customFormat="false" ht="15" hidden="false" customHeight="false" outlineLevel="0" collapsed="false">
      <c r="B33" s="18" t="s">
        <v>196</v>
      </c>
      <c r="C33" s="19" t="n">
        <f aca="false">C31-C32</f>
        <v>23.4507692307692</v>
      </c>
      <c r="D33" s="19" t="n">
        <f aca="false">D31-D32</f>
        <v>22.5015384615385</v>
      </c>
      <c r="E33" s="19" t="n">
        <f aca="false">E31-E32</f>
        <v>28.3023076923077</v>
      </c>
      <c r="F33" s="19" t="n">
        <f aca="false">F31-F32</f>
        <v>26.5364102564102</v>
      </c>
      <c r="G33" s="19" t="n">
        <f aca="false">G31-G32</f>
        <v>27.7371794871795</v>
      </c>
      <c r="H33" s="19" t="n">
        <f aca="false">H31-H32</f>
        <v>3.61294871794869</v>
      </c>
      <c r="I33" s="19" t="n">
        <f aca="false">I31-I32</f>
        <v>6.11371794871792</v>
      </c>
      <c r="J33" s="19" t="n">
        <f aca="false">J31-J32</f>
        <v>2.54782051282048</v>
      </c>
      <c r="K33" s="19" t="n">
        <f aca="false">K31-K32</f>
        <v>5.54858974358971</v>
      </c>
      <c r="L33" s="19" t="n">
        <f aca="false">L31-L32</f>
        <v>5.34935897435894</v>
      </c>
      <c r="M33" s="19" t="n">
        <f aca="false">M31-M32</f>
        <v>-3.34987179487183</v>
      </c>
      <c r="N33" s="19" t="n">
        <f aca="false">N31-N32</f>
        <v>-5.11576923076927</v>
      </c>
      <c r="O33" s="19" t="n">
        <f aca="false">O31-O32</f>
        <v>-5.11500000000005</v>
      </c>
    </row>
    <row r="34" customFormat="false" ht="15" hidden="false" customHeight="false" outlineLevel="0" collapsed="false">
      <c r="B34" s="18" t="s">
        <v>197</v>
      </c>
      <c r="C34" s="24" t="n">
        <f aca="false">IF(C31&lt;C32,1,0)</f>
        <v>0</v>
      </c>
      <c r="D34" s="24" t="n">
        <f aca="false">IF(D31&lt;D32,1,0)</f>
        <v>0</v>
      </c>
      <c r="E34" s="24" t="n">
        <f aca="false">IF(E31&lt;E32,1,0)</f>
        <v>0</v>
      </c>
      <c r="F34" s="24" t="n">
        <f aca="false">IF(F31&lt;F32,1,0)</f>
        <v>0</v>
      </c>
      <c r="G34" s="24" t="n">
        <f aca="false">IF(G31&lt;G32,1,0)</f>
        <v>0</v>
      </c>
      <c r="H34" s="24" t="n">
        <f aca="false">IF(H31&lt;H32,1,0)</f>
        <v>0</v>
      </c>
      <c r="I34" s="24" t="n">
        <f aca="false">IF(I31&lt;I32,1,0)</f>
        <v>0</v>
      </c>
      <c r="J34" s="24" t="n">
        <f aca="false">IF(J31&lt;J32,1,0)</f>
        <v>0</v>
      </c>
      <c r="K34" s="24" t="n">
        <f aca="false">IF(K31&lt;K32,1,0)</f>
        <v>0</v>
      </c>
      <c r="L34" s="24" t="n">
        <f aca="false">IF(L31&lt;L32,1,0)</f>
        <v>0</v>
      </c>
      <c r="M34" s="24" t="n">
        <f aca="false">IF(M31&lt;M32,1,0)</f>
        <v>1</v>
      </c>
      <c r="N34" s="24" t="n">
        <f aca="false">IF(N31&lt;N32,1,0)</f>
        <v>1</v>
      </c>
      <c r="O34" s="24" t="n">
        <f aca="false">IF(O31&lt;O32,1,0)</f>
        <v>1</v>
      </c>
    </row>
    <row r="36" customFormat="false" ht="15" hidden="false" customHeight="false" outlineLevel="0" collapsed="false">
      <c r="B36" s="2" t="s">
        <v>198</v>
      </c>
    </row>
    <row r="37" customFormat="false" ht="15" hidden="false" customHeight="false" outlineLevel="0" collapsed="false">
      <c r="B37" s="5" t="s">
        <v>199</v>
      </c>
      <c r="C37" s="6" t="s">
        <v>19</v>
      </c>
      <c r="D37" s="7" t="s">
        <v>96</v>
      </c>
    </row>
    <row r="38" customFormat="false" ht="15" hidden="false" customHeight="false" outlineLevel="0" collapsed="false">
      <c r="B38" s="8" t="s">
        <v>200</v>
      </c>
      <c r="C38" s="25" t="n">
        <f aca="false">Inputs!$C$8</f>
        <v>45</v>
      </c>
    </row>
    <row r="39" customFormat="false" ht="15" hidden="false" customHeight="false" outlineLevel="0" collapsed="false">
      <c r="B39" s="8" t="s">
        <v>201</v>
      </c>
      <c r="C39" s="25" t="n">
        <f aca="false">$P$9</f>
        <v>256.6</v>
      </c>
    </row>
    <row r="40" customFormat="false" ht="15" hidden="false" customHeight="false" outlineLevel="0" collapsed="false">
      <c r="B40" s="8" t="s">
        <v>202</v>
      </c>
      <c r="C40" s="25" t="n">
        <f aca="false">$P$19</f>
        <v>240.24</v>
      </c>
    </row>
    <row r="41" customFormat="false" ht="15" hidden="false" customHeight="false" outlineLevel="0" collapsed="false">
      <c r="B41" s="8" t="s">
        <v>182</v>
      </c>
      <c r="C41" s="25" t="n">
        <f aca="false">$P$20</f>
        <v>16.36</v>
      </c>
      <c r="D41" s="4" t="s">
        <v>203</v>
      </c>
    </row>
    <row r="42" customFormat="false" ht="15" hidden="false" customHeight="false" outlineLevel="0" collapsed="false">
      <c r="B42" s="8" t="s">
        <v>184</v>
      </c>
      <c r="C42" s="25" t="n">
        <f aca="false">$P$22</f>
        <v>4.95</v>
      </c>
    </row>
    <row r="43" customFormat="false" ht="15" hidden="false" customHeight="false" outlineLevel="0" collapsed="false">
      <c r="B43" s="8" t="s">
        <v>185</v>
      </c>
      <c r="C43" s="26" t="n">
        <f aca="false">$P$28</f>
        <v>36.525</v>
      </c>
      <c r="D43" s="4" t="s">
        <v>204</v>
      </c>
    </row>
    <row r="44" customFormat="false" ht="15" hidden="false" customHeight="false" outlineLevel="0" collapsed="false">
      <c r="B44" s="8" t="s">
        <v>193</v>
      </c>
      <c r="C44" s="26" t="n">
        <f aca="false">$P$29</f>
        <v>-25.115</v>
      </c>
    </row>
    <row r="45" customFormat="false" ht="15" hidden="false" customHeight="false" outlineLevel="0" collapsed="false">
      <c r="B45" s="8" t="s">
        <v>205</v>
      </c>
      <c r="C45" s="25" t="n">
        <f aca="false">O31</f>
        <v>19.885</v>
      </c>
    </row>
    <row r="46" customFormat="false" ht="15" hidden="false" customHeight="false" outlineLevel="0" collapsed="false">
      <c r="B46" s="8" t="s">
        <v>206</v>
      </c>
      <c r="C46" s="27" t="n">
        <f aca="false">$C$38+$C$44-$C$45</f>
        <v>0</v>
      </c>
      <c r="D46" s="4" t="s">
        <v>207</v>
      </c>
    </row>
    <row r="47" customFormat="false" ht="15" hidden="false" customHeight="false" outlineLevel="0" collapsed="false">
      <c r="B47" s="8" t="s">
        <v>208</v>
      </c>
      <c r="C47" s="25" t="n">
        <f aca="false">MIN($C$31:$O$31)</f>
        <v>19.8842307692307</v>
      </c>
    </row>
    <row r="48" customFormat="false" ht="15" hidden="false" customHeight="false" outlineLevel="0" collapsed="false">
      <c r="B48" s="8" t="s">
        <v>209</v>
      </c>
      <c r="C48" s="24" t="n">
        <f aca="false">MATCH($C$47,$C$31:$O$31,0)</f>
        <v>12</v>
      </c>
    </row>
    <row r="49" customFormat="false" ht="15" hidden="false" customHeight="false" outlineLevel="0" collapsed="false">
      <c r="B49" s="8" t="s">
        <v>210</v>
      </c>
      <c r="C49" s="24" t="n">
        <f aca="false">IFERROR(MATCH(1,$C$34:$O$34,0),"None")</f>
        <v>11</v>
      </c>
      <c r="D49" s="4" t="s">
        <v>211</v>
      </c>
    </row>
    <row r="50" customFormat="false" ht="15" hidden="false" customHeight="false" outlineLevel="0" collapsed="false">
      <c r="B50" s="8" t="s">
        <v>212</v>
      </c>
      <c r="C50" s="26" t="n">
        <f aca="false">MAX($C$24:$O$24)</f>
        <v>18.675</v>
      </c>
    </row>
    <row r="51" customFormat="false" ht="15" hidden="false" customHeight="false" outlineLevel="0" collapsed="false">
      <c r="B51" s="8" t="s">
        <v>213</v>
      </c>
      <c r="C51" s="27" t="n">
        <f aca="false">MAX($C$26:$O$26)</f>
        <v>0.366666666666667</v>
      </c>
    </row>
    <row r="52" customFormat="false" ht="15" hidden="false" customHeight="false" outlineLevel="0" collapsed="false">
      <c r="B52" s="8" t="s">
        <v>214</v>
      </c>
      <c r="C52" s="26" t="n">
        <f aca="false">$C$50+MAX($C$25:$O$25)</f>
        <v>20.925</v>
      </c>
    </row>
    <row r="53" customFormat="false" ht="15" hidden="false" customHeight="false" outlineLevel="0" collapsed="false">
      <c r="B53" s="8" t="s">
        <v>215</v>
      </c>
      <c r="C53" s="27" t="n">
        <f aca="false">C17</f>
        <v>0.769230769230769</v>
      </c>
    </row>
    <row r="55" customFormat="false" ht="15" hidden="false" customHeight="false" outlineLevel="0" collapsed="false">
      <c r="B55" s="2" t="s">
        <v>216</v>
      </c>
    </row>
    <row r="56" customFormat="false" ht="15" hidden="false" customHeight="false" outlineLevel="0" collapsed="false">
      <c r="B56" s="5" t="s">
        <v>199</v>
      </c>
      <c r="C56" s="6" t="s">
        <v>19</v>
      </c>
      <c r="D56" s="7" t="s">
        <v>96</v>
      </c>
    </row>
    <row r="57" customFormat="false" ht="15" hidden="false" customHeight="false" outlineLevel="0" collapsed="false">
      <c r="B57" s="8" t="s">
        <v>217</v>
      </c>
      <c r="C57" s="25" t="n">
        <f aca="false">Inputs!$C$54*Inputs!$C$32-(Inputs!$C$57*Inputs!$C$32+Inputs!$C$58*Inputs!$C$80+Inputs!$C$59*Inputs!$C$32+Inputs!$C$60*Inputs!$C$32+Inputs!$C$61*Inputs!$C$81+Inputs!$C$62*Inputs!$C$82)</f>
        <v>132.24</v>
      </c>
      <c r="D57" s="4" t="s">
        <v>218</v>
      </c>
    </row>
    <row r="58" customFormat="false" ht="15" hidden="false" customHeight="false" outlineLevel="0" collapsed="false">
      <c r="B58" s="8" t="s">
        <v>219</v>
      </c>
      <c r="C58" s="25" t="n">
        <f aca="false">Inputs!$C$10</f>
        <v>132</v>
      </c>
    </row>
    <row r="59" customFormat="false" ht="15" hidden="false" customHeight="false" outlineLevel="0" collapsed="false">
      <c r="B59" s="8" t="s">
        <v>220</v>
      </c>
      <c r="C59" s="28" t="n">
        <f aca="false">SUM(Inputs!$C$67:$O$67)*(Inputs!$C$54-Inputs!$C$55)</f>
        <v>7.2</v>
      </c>
    </row>
    <row r="60" customFormat="false" ht="15" hidden="false" customHeight="false" outlineLevel="0" collapsed="false">
      <c r="B60" s="8" t="s">
        <v>221</v>
      </c>
      <c r="C60" s="26" t="n">
        <f aca="false">$C$44</f>
        <v>-25.115</v>
      </c>
    </row>
    <row r="61" customFormat="false" ht="15" hidden="false" customHeight="false" outlineLevel="0" collapsed="false">
      <c r="B61" s="8" t="s">
        <v>222</v>
      </c>
      <c r="C61" s="26" t="n">
        <f aca="false">Liquidity!$C$17*Inputs!$C$34/Inputs!$C$32</f>
        <v>-7.775</v>
      </c>
      <c r="D61" s="4" t="s">
        <v>223</v>
      </c>
    </row>
    <row r="63" customFormat="false" ht="15" hidden="false" customHeight="false" outlineLevel="0" collapsed="false">
      <c r="B63" s="2" t="s">
        <v>224</v>
      </c>
    </row>
    <row r="64" customFormat="false" ht="15" hidden="false" customHeight="false" outlineLevel="0" collapsed="false">
      <c r="B64" s="5" t="s">
        <v>158</v>
      </c>
      <c r="C64" s="6" t="s">
        <v>225</v>
      </c>
      <c r="D64" s="6" t="s">
        <v>226</v>
      </c>
      <c r="E64" s="6" t="s">
        <v>227</v>
      </c>
      <c r="F64" s="7" t="s">
        <v>96</v>
      </c>
    </row>
    <row r="65" customFormat="false" ht="15" hidden="false" customHeight="false" outlineLevel="0" collapsed="false">
      <c r="B65" s="18" t="s">
        <v>169</v>
      </c>
      <c r="C65" s="25" t="n">
        <f aca="false">$P$7</f>
        <v>255.4</v>
      </c>
      <c r="D65" s="26" t="n">
        <f aca="false">(Inputs!$C$54*Inputs!$C$32)*Inputs!$C$34/Inputs!$C$32</f>
        <v>262.6</v>
      </c>
      <c r="E65" s="25" t="n">
        <f aca="false">(C65-D65)</f>
        <v>-7.19999999999999</v>
      </c>
      <c r="F65" s="4" t="s">
        <v>228</v>
      </c>
    </row>
    <row r="66" customFormat="false" ht="15" hidden="false" customHeight="false" outlineLevel="0" collapsed="false">
      <c r="B66" s="18" t="s">
        <v>170</v>
      </c>
      <c r="C66" s="25" t="n">
        <f aca="false">$P$8</f>
        <v>1.2</v>
      </c>
      <c r="E66" s="25" t="n">
        <f aca="false">C66</f>
        <v>1.2</v>
      </c>
      <c r="F66" s="4" t="s">
        <v>229</v>
      </c>
    </row>
    <row r="67" customFormat="false" ht="15" hidden="false" customHeight="false" outlineLevel="0" collapsed="false">
      <c r="B67" s="18" t="s">
        <v>173</v>
      </c>
      <c r="C67" s="25" t="n">
        <f aca="false">$P$11</f>
        <v>141.7</v>
      </c>
      <c r="D67" s="26" t="n">
        <f aca="false">(Inputs!$C$57*Inputs!$C$32)*Inputs!$C$34/Inputs!$C$32</f>
        <v>141.7</v>
      </c>
      <c r="E67" s="25" t="n">
        <f aca="false">-(C67-D67)</f>
        <v>-0</v>
      </c>
      <c r="F67" s="4"/>
    </row>
    <row r="68" customFormat="false" ht="15" hidden="false" customHeight="false" outlineLevel="0" collapsed="false">
      <c r="B68" s="18" t="s">
        <v>174</v>
      </c>
      <c r="C68" s="25" t="n">
        <f aca="false">$P$12</f>
        <v>43.2</v>
      </c>
      <c r="D68" s="26" t="n">
        <f aca="false">(Inputs!$C$58*Inputs!$C$80)*Inputs!$C$34/Inputs!$C$32</f>
        <v>46.8</v>
      </c>
      <c r="E68" s="25" t="n">
        <f aca="false">-(C68-D68)</f>
        <v>3.6</v>
      </c>
      <c r="F68" s="4" t="s">
        <v>230</v>
      </c>
    </row>
    <row r="69" customFormat="false" ht="15" hidden="false" customHeight="false" outlineLevel="0" collapsed="false">
      <c r="B69" s="18" t="s">
        <v>88</v>
      </c>
      <c r="C69" s="25" t="n">
        <f aca="false">$P$13</f>
        <v>14.3</v>
      </c>
      <c r="D69" s="26" t="n">
        <f aca="false">(Inputs!$C$59*Inputs!$C$32)*Inputs!$C$34/Inputs!$C$32</f>
        <v>14.3</v>
      </c>
      <c r="E69" s="25" t="n">
        <f aca="false">-(C69-D69)</f>
        <v>-0</v>
      </c>
      <c r="F69" s="4"/>
    </row>
    <row r="70" customFormat="false" ht="15" hidden="false" customHeight="false" outlineLevel="0" collapsed="false">
      <c r="B70" s="18" t="s">
        <v>89</v>
      </c>
      <c r="C70" s="25" t="n">
        <f aca="false">$P$14</f>
        <v>15.34</v>
      </c>
      <c r="D70" s="26" t="n">
        <f aca="false">(Inputs!$C$60*Inputs!$C$32)*Inputs!$C$34/Inputs!$C$32</f>
        <v>15.34</v>
      </c>
      <c r="E70" s="25" t="n">
        <f aca="false">-(C70-D70)</f>
        <v>-0</v>
      </c>
      <c r="F70" s="4"/>
    </row>
    <row r="71" customFormat="false" ht="15" hidden="false" customHeight="false" outlineLevel="0" collapsed="false">
      <c r="B71" s="18" t="s">
        <v>175</v>
      </c>
      <c r="C71" s="25" t="n">
        <f aca="false">$P$15</f>
        <v>11.2</v>
      </c>
      <c r="D71" s="26" t="n">
        <f aca="false">(Inputs!$C$61*Inputs!$C$81)*Inputs!$C$34/Inputs!$C$32</f>
        <v>8.4</v>
      </c>
      <c r="E71" s="25" t="n">
        <f aca="false">-(C71-D71)</f>
        <v>-2.8</v>
      </c>
      <c r="F71" s="4" t="s">
        <v>231</v>
      </c>
    </row>
    <row r="72" customFormat="false" ht="15" hidden="false" customHeight="false" outlineLevel="0" collapsed="false">
      <c r="B72" s="18" t="s">
        <v>176</v>
      </c>
      <c r="C72" s="25" t="n">
        <f aca="false">$P$16</f>
        <v>3</v>
      </c>
      <c r="D72" s="26" t="n">
        <f aca="false">(Inputs!$C$62*Inputs!$C$82)*Inputs!$C$34/Inputs!$C$32</f>
        <v>3</v>
      </c>
      <c r="E72" s="25" t="n">
        <f aca="false">-(C72-D72)</f>
        <v>-0</v>
      </c>
      <c r="F72" s="4"/>
    </row>
    <row r="73" customFormat="false" ht="15" hidden="false" customHeight="false" outlineLevel="0" collapsed="false">
      <c r="B73" s="18" t="s">
        <v>177</v>
      </c>
      <c r="C73" s="25" t="n">
        <f aca="false">$P$17</f>
        <v>10</v>
      </c>
      <c r="D73" s="26" t="n">
        <f aca="false">(Inputs!$C$26+Inputs!$C$27)*Inputs!$C$34/Inputs!$C$32</f>
        <v>10</v>
      </c>
      <c r="E73" s="25" t="n">
        <f aca="false">-(C73-D73)</f>
        <v>-0</v>
      </c>
      <c r="F73" s="4"/>
    </row>
    <row r="74" customFormat="false" ht="15" hidden="false" customHeight="false" outlineLevel="0" collapsed="false">
      <c r="B74" s="18" t="s">
        <v>179</v>
      </c>
      <c r="C74" s="25" t="n">
        <f aca="false">$P$18</f>
        <v>1.5</v>
      </c>
      <c r="D74" s="26" t="n">
        <f aca="false">(Inputs!$C$28)*Inputs!$C$34/Inputs!$C$32</f>
        <v>1.5</v>
      </c>
      <c r="E74" s="25" t="n">
        <f aca="false">-(C74-D74)</f>
        <v>-0</v>
      </c>
      <c r="F74" s="4"/>
    </row>
    <row r="75" customFormat="false" ht="15" hidden="false" customHeight="false" outlineLevel="0" collapsed="false">
      <c r="B75" s="18" t="s">
        <v>184</v>
      </c>
      <c r="C75" s="25" t="n">
        <f aca="false">$P$22</f>
        <v>4.95</v>
      </c>
      <c r="E75" s="25" t="n">
        <f aca="false">-C75</f>
        <v>-4.95</v>
      </c>
      <c r="F75" s="4" t="s">
        <v>232</v>
      </c>
    </row>
    <row r="76" customFormat="false" ht="15" hidden="false" customHeight="false" outlineLevel="0" collapsed="false">
      <c r="B76" s="18" t="s">
        <v>186</v>
      </c>
      <c r="C76" s="25" t="n">
        <f aca="false">$P$24</f>
        <v>18.675</v>
      </c>
      <c r="D76" s="26" t="n">
        <f aca="false">(Liquidity!$C$11)*Inputs!$C$34/Inputs!$C$32</f>
        <v>18.675</v>
      </c>
      <c r="E76" s="25" t="n">
        <f aca="false">-(C76-D76)</f>
        <v>-0</v>
      </c>
      <c r="F76" s="4"/>
    </row>
    <row r="77" customFormat="false" ht="15" hidden="false" customHeight="false" outlineLevel="0" collapsed="false">
      <c r="B77" s="18" t="s">
        <v>188</v>
      </c>
      <c r="C77" s="25" t="n">
        <f aca="false">$P$25</f>
        <v>2.25</v>
      </c>
      <c r="D77" s="26" t="n">
        <f aca="false">(Liquidity!$C$16)*Inputs!$C$34/Inputs!$C$32</f>
        <v>2.25</v>
      </c>
      <c r="E77" s="25" t="n">
        <f aca="false">-(C77-D77)</f>
        <v>-0</v>
      </c>
      <c r="F77" s="4"/>
    </row>
    <row r="78" customFormat="false" ht="15" hidden="false" customHeight="false" outlineLevel="0" collapsed="false">
      <c r="B78" s="18" t="s">
        <v>189</v>
      </c>
      <c r="C78" s="25" t="n">
        <f aca="false">$P$26</f>
        <v>1.1</v>
      </c>
      <c r="D78" s="26" t="n">
        <f aca="false">(Liquidity!$C$12+Liquidity!$C$13)*Inputs!$C$34/Inputs!$C$32</f>
        <v>1.1</v>
      </c>
      <c r="E78" s="25" t="n">
        <f aca="false">-(C78-D78)</f>
        <v>-0</v>
      </c>
      <c r="F78" s="4"/>
    </row>
    <row r="79" customFormat="false" ht="15" hidden="false" customHeight="false" outlineLevel="0" collapsed="false">
      <c r="B79" s="18" t="s">
        <v>191</v>
      </c>
      <c r="C79" s="25" t="n">
        <f aca="false">$P$27</f>
        <v>14.5</v>
      </c>
      <c r="D79" s="26" t="n">
        <f aca="false">(Liquidity!$C$14)*Inputs!$C$34/Inputs!$C$32</f>
        <v>7.25</v>
      </c>
      <c r="E79" s="25" t="n">
        <f aca="false">-(C79-D79)</f>
        <v>-7.25</v>
      </c>
      <c r="F79" s="4" t="s">
        <v>233</v>
      </c>
    </row>
    <row r="80" customFormat="false" ht="15" hidden="false" customHeight="false" outlineLevel="0" collapsed="false">
      <c r="B80" s="18" t="s">
        <v>234</v>
      </c>
      <c r="E80" s="25" t="n">
        <f aca="false">($C$57-$C$58)*Inputs!$C$34/Inputs!$C$32</f>
        <v>0.059999999999917</v>
      </c>
      <c r="F80" s="4" t="s">
        <v>235</v>
      </c>
    </row>
    <row r="81" customFormat="false" ht="15" hidden="false" customHeight="false" outlineLevel="0" collapsed="false">
      <c r="B81" s="23" t="s">
        <v>236</v>
      </c>
      <c r="E81" s="29" t="n">
        <f aca="false">$C$61</f>
        <v>-7.775</v>
      </c>
    </row>
    <row r="82" customFormat="false" ht="15" hidden="false" customHeight="false" outlineLevel="0" collapsed="false">
      <c r="B82" s="8" t="s">
        <v>237</v>
      </c>
      <c r="E82" s="25" t="n">
        <f aca="false">SUM(E65:E80)</f>
        <v>-17.3400000000001</v>
      </c>
    </row>
    <row r="83" customFormat="false" ht="15" hidden="false" customHeight="false" outlineLevel="0" collapsed="false">
      <c r="B83" s="2" t="s">
        <v>238</v>
      </c>
      <c r="E83" s="30" t="n">
        <f aca="false">$E$81+$E$82</f>
        <v>-25.1150000000001</v>
      </c>
    </row>
    <row r="84" customFormat="false" ht="15" hidden="false" customHeight="false" outlineLevel="0" collapsed="false">
      <c r="B84" s="8" t="s">
        <v>221</v>
      </c>
      <c r="E84" s="26" t="n">
        <f aca="false">$C$44</f>
        <v>-25.115</v>
      </c>
    </row>
    <row r="85" customFormat="false" ht="15" hidden="false" customHeight="false" outlineLevel="0" collapsed="false">
      <c r="B85" s="8" t="s">
        <v>239</v>
      </c>
      <c r="E85" s="25" t="n">
        <f aca="false">$E$84-$E$81</f>
        <v>-17.34</v>
      </c>
    </row>
    <row r="86" customFormat="false" ht="15" hidden="false" customHeight="false" outlineLevel="0" collapsed="false">
      <c r="B86" s="8" t="s">
        <v>240</v>
      </c>
      <c r="E86" s="25" t="n">
        <f aca="false">$E$83-$E$84</f>
        <v>0</v>
      </c>
      <c r="F86" s="4" t="s">
        <v>241</v>
      </c>
    </row>
    <row r="88" customFormat="false" ht="15" hidden="false" customHeight="false" outlineLevel="0" collapsed="false">
      <c r="B88" s="2" t="s">
        <v>242</v>
      </c>
    </row>
    <row r="89" customFormat="false" ht="15" hidden="false" customHeight="false" outlineLevel="0" collapsed="false">
      <c r="B89" s="5" t="s">
        <v>26</v>
      </c>
      <c r="C89" s="16" t="n">
        <v>1</v>
      </c>
      <c r="D89" s="16" t="n">
        <v>2</v>
      </c>
      <c r="E89" s="16" t="n">
        <v>3</v>
      </c>
      <c r="F89" s="16" t="n">
        <v>4</v>
      </c>
      <c r="G89" s="16" t="n">
        <v>5</v>
      </c>
      <c r="H89" s="16" t="n">
        <v>6</v>
      </c>
      <c r="I89" s="16" t="n">
        <v>7</v>
      </c>
      <c r="J89" s="16" t="n">
        <v>8</v>
      </c>
      <c r="K89" s="16" t="n">
        <v>9</v>
      </c>
      <c r="L89" s="16" t="n">
        <v>10</v>
      </c>
      <c r="M89" s="16" t="n">
        <v>11</v>
      </c>
      <c r="N89" s="16" t="n">
        <v>12</v>
      </c>
      <c r="O89" s="16" t="n">
        <v>13</v>
      </c>
      <c r="P89" s="6" t="s">
        <v>167</v>
      </c>
      <c r="Q89" s="7" t="s">
        <v>96</v>
      </c>
    </row>
    <row r="90" customFormat="false" ht="15" hidden="false" customHeight="false" outlineLevel="0" collapsed="false">
      <c r="B90" s="8" t="s">
        <v>243</v>
      </c>
      <c r="C90" s="19" t="n">
        <f aca="false">C29</f>
        <v>3.45076923076923</v>
      </c>
      <c r="D90" s="19" t="n">
        <f aca="false">D29</f>
        <v>-0.949230769230773</v>
      </c>
      <c r="E90" s="19" t="n">
        <f aca="false">E29</f>
        <v>5.80076923076923</v>
      </c>
      <c r="F90" s="19" t="n">
        <f aca="false">F29</f>
        <v>-1.76589743589744</v>
      </c>
      <c r="G90" s="19" t="n">
        <f aca="false">G29</f>
        <v>1.20076923076923</v>
      </c>
      <c r="H90" s="19" t="n">
        <f aca="false">H29</f>
        <v>-24.1242307692308</v>
      </c>
      <c r="I90" s="19" t="n">
        <f aca="false">I29</f>
        <v>2.50076923076923</v>
      </c>
      <c r="J90" s="19" t="n">
        <f aca="false">J29</f>
        <v>-3.56589743589744</v>
      </c>
      <c r="K90" s="19" t="n">
        <f aca="false">K29</f>
        <v>3.00076923076923</v>
      </c>
      <c r="L90" s="19" t="n">
        <f aca="false">L29</f>
        <v>-0.199230769230774</v>
      </c>
      <c r="M90" s="19" t="n">
        <f aca="false">M29</f>
        <v>-8.69923076923077</v>
      </c>
      <c r="N90" s="19" t="n">
        <f aca="false">N29</f>
        <v>-1.76589743589744</v>
      </c>
      <c r="O90" s="19" t="n">
        <f aca="false">O29</f>
        <v>0.000769230769228801</v>
      </c>
      <c r="P90" s="20" t="n">
        <f aca="false">SUM(C90:O90)</f>
        <v>-25.115</v>
      </c>
    </row>
    <row r="91" customFormat="false" ht="15" hidden="false" customHeight="false" outlineLevel="0" collapsed="false">
      <c r="B91" s="8" t="s">
        <v>244</v>
      </c>
      <c r="C91" s="19" t="n">
        <f aca="false">Levers!D14</f>
        <v>0.365384615384615</v>
      </c>
      <c r="D91" s="19" t="n">
        <f aca="false">Levers!E14</f>
        <v>8.12976817702845</v>
      </c>
      <c r="E91" s="19" t="n">
        <f aca="false">Levers!F14</f>
        <v>8.97679183829869</v>
      </c>
      <c r="F91" s="19" t="n">
        <f aca="false">Levers!G14</f>
        <v>-5.90494332151866</v>
      </c>
      <c r="G91" s="19" t="n">
        <f aca="false">Levers!H14</f>
        <v>29.6900566784813</v>
      </c>
      <c r="H91" s="19" t="n">
        <f aca="false">Levers!I14</f>
        <v>-5.90494332151866</v>
      </c>
      <c r="I91" s="19" t="n">
        <f aca="false">Levers!J14</f>
        <v>1.21240827665485</v>
      </c>
      <c r="J91" s="19" t="n">
        <f aca="false">Levers!K14</f>
        <v>1.21240827665485</v>
      </c>
      <c r="K91" s="19" t="n">
        <f aca="false">Levers!L14</f>
        <v>1.21240827665485</v>
      </c>
      <c r="L91" s="19" t="n">
        <f aca="false">Levers!M14</f>
        <v>1.21240827665485</v>
      </c>
      <c r="M91" s="19" t="n">
        <f aca="false">Levers!N14</f>
        <v>1.21240827665485</v>
      </c>
      <c r="N91" s="19" t="n">
        <f aca="false">Levers!O14</f>
        <v>1.21240827665485</v>
      </c>
      <c r="O91" s="19" t="n">
        <f aca="false">Levers!P14</f>
        <v>1.21240827665485</v>
      </c>
      <c r="P91" s="20" t="n">
        <f aca="false">SUM(C91:O91)</f>
        <v>43.8389726027397</v>
      </c>
      <c r="Q91" s="4" t="s">
        <v>245</v>
      </c>
    </row>
    <row r="92" customFormat="false" ht="15" hidden="false" customHeight="false" outlineLevel="0" collapsed="false">
      <c r="B92" s="8" t="s">
        <v>246</v>
      </c>
      <c r="C92" s="19" t="n">
        <f aca="false">C27</f>
        <v>0</v>
      </c>
      <c r="D92" s="19" t="n">
        <f aca="false">D27</f>
        <v>0</v>
      </c>
      <c r="E92" s="19" t="n">
        <f aca="false">E27</f>
        <v>0</v>
      </c>
      <c r="F92" s="19" t="n">
        <f aca="false">F27</f>
        <v>0</v>
      </c>
      <c r="G92" s="19" t="n">
        <f aca="false">G27</f>
        <v>0</v>
      </c>
      <c r="H92" s="19" t="n">
        <f aca="false">H27</f>
        <v>0</v>
      </c>
      <c r="I92" s="19" t="n">
        <f aca="false">I27</f>
        <v>0</v>
      </c>
      <c r="J92" s="19" t="n">
        <f aca="false">J27</f>
        <v>0</v>
      </c>
      <c r="K92" s="19" t="n">
        <f aca="false">K27</f>
        <v>0</v>
      </c>
      <c r="L92" s="19" t="n">
        <f aca="false">L27</f>
        <v>0</v>
      </c>
      <c r="M92" s="19" t="n">
        <f aca="false">M27</f>
        <v>14.5</v>
      </c>
      <c r="N92" s="19" t="n">
        <f aca="false">N27</f>
        <v>0</v>
      </c>
      <c r="O92" s="19" t="n">
        <f aca="false">O27</f>
        <v>0</v>
      </c>
      <c r="P92" s="20" t="n">
        <f aca="false">SUM(C92:O92)</f>
        <v>14.5</v>
      </c>
    </row>
    <row r="93" customFormat="false" ht="15" hidden="false" customHeight="false" outlineLevel="0" collapsed="false">
      <c r="B93" s="21" t="s">
        <v>247</v>
      </c>
      <c r="C93" s="22" t="n">
        <f aca="false">Inputs!$C$8+C90+C91</f>
        <v>48.8161538461538</v>
      </c>
      <c r="D93" s="22" t="n">
        <f aca="false">C93+D90+D91</f>
        <v>55.9966912539515</v>
      </c>
      <c r="E93" s="22" t="n">
        <f aca="false">D93+E90+E91</f>
        <v>70.7742523230194</v>
      </c>
      <c r="F93" s="22" t="n">
        <f aca="false">E93+F90+F91</f>
        <v>63.1034115656033</v>
      </c>
      <c r="G93" s="22" t="n">
        <f aca="false">F93+G90+G91</f>
        <v>93.9942374748539</v>
      </c>
      <c r="H93" s="22" t="n">
        <f aca="false">G93+H90+H91</f>
        <v>63.9650633841045</v>
      </c>
      <c r="I93" s="22" t="n">
        <f aca="false">H93+I90+I91</f>
        <v>67.6782408915286</v>
      </c>
      <c r="J93" s="22" t="n">
        <f aca="false">I93+J90+J91</f>
        <v>65.324751732286</v>
      </c>
      <c r="K93" s="22" t="n">
        <f aca="false">J93+K90+K91</f>
        <v>69.53792923971</v>
      </c>
      <c r="L93" s="22" t="n">
        <f aca="false">K93+L90+L91</f>
        <v>70.5511067471341</v>
      </c>
      <c r="M93" s="22" t="n">
        <f aca="false">L93+M90+M91</f>
        <v>63.0642842545582</v>
      </c>
      <c r="N93" s="22" t="n">
        <f aca="false">M93+N90+N91</f>
        <v>62.5107950953156</v>
      </c>
      <c r="O93" s="22" t="n">
        <f aca="false">N93+O90+O91</f>
        <v>63.7239726027397</v>
      </c>
      <c r="P93" s="23"/>
    </row>
    <row r="94" customFormat="false" ht="15" hidden="false" customHeight="false" outlineLevel="0" collapsed="false">
      <c r="B94" s="18" t="s">
        <v>197</v>
      </c>
      <c r="C94" s="24" t="n">
        <f aca="false">IF(C93&lt;Inputs!$C$9,1,0)</f>
        <v>0</v>
      </c>
      <c r="D94" s="24" t="n">
        <f aca="false">IF(D93&lt;Inputs!$C$9,1,0)</f>
        <v>0</v>
      </c>
      <c r="E94" s="24" t="n">
        <f aca="false">IF(E93&lt;Inputs!$C$9,1,0)</f>
        <v>0</v>
      </c>
      <c r="F94" s="24" t="n">
        <f aca="false">IF(F93&lt;Inputs!$C$9,1,0)</f>
        <v>0</v>
      </c>
      <c r="G94" s="24" t="n">
        <f aca="false">IF(G93&lt;Inputs!$C$9,1,0)</f>
        <v>0</v>
      </c>
      <c r="H94" s="24" t="n">
        <f aca="false">IF(H93&lt;Inputs!$C$9,1,0)</f>
        <v>0</v>
      </c>
      <c r="I94" s="24" t="n">
        <f aca="false">IF(I93&lt;Inputs!$C$9,1,0)</f>
        <v>0</v>
      </c>
      <c r="J94" s="24" t="n">
        <f aca="false">IF(J93&lt;Inputs!$C$9,1,0)</f>
        <v>0</v>
      </c>
      <c r="K94" s="24" t="n">
        <f aca="false">IF(K93&lt;Inputs!$C$9,1,0)</f>
        <v>0</v>
      </c>
      <c r="L94" s="24" t="n">
        <f aca="false">IF(L93&lt;Inputs!$C$9,1,0)</f>
        <v>0</v>
      </c>
      <c r="M94" s="24" t="n">
        <f aca="false">IF(M93&lt;Inputs!$C$9,1,0)</f>
        <v>0</v>
      </c>
      <c r="N94" s="24" t="n">
        <f aca="false">IF(N93&lt;Inputs!$C$9,1,0)</f>
        <v>0</v>
      </c>
      <c r="O94" s="24" t="n">
        <f aca="false">IF(O93&lt;Inputs!$C$9,1,0)</f>
        <v>0</v>
      </c>
    </row>
    <row r="95" customFormat="false" ht="15" hidden="false" customHeight="false" outlineLevel="0" collapsed="false">
      <c r="B95" s="21" t="s">
        <v>248</v>
      </c>
      <c r="C95" s="22" t="n">
        <f aca="false">Inputs!$C$8+C90+C92</f>
        <v>48.4507692307692</v>
      </c>
      <c r="D95" s="22" t="n">
        <f aca="false">C95+D90+D92</f>
        <v>47.5015384615385</v>
      </c>
      <c r="E95" s="22" t="n">
        <f aca="false">D95+E90+E92</f>
        <v>53.3023076923077</v>
      </c>
      <c r="F95" s="22" t="n">
        <f aca="false">E95+F90+F92</f>
        <v>51.5364102564102</v>
      </c>
      <c r="G95" s="22" t="n">
        <f aca="false">F95+G90+G92</f>
        <v>52.7371794871795</v>
      </c>
      <c r="H95" s="22" t="n">
        <f aca="false">G95+H90+H92</f>
        <v>28.6129487179487</v>
      </c>
      <c r="I95" s="22" t="n">
        <f aca="false">H95+I90+I92</f>
        <v>31.1137179487179</v>
      </c>
      <c r="J95" s="22" t="n">
        <f aca="false">I95+J90+J92</f>
        <v>27.5478205128205</v>
      </c>
      <c r="K95" s="22" t="n">
        <f aca="false">J95+K90+K92</f>
        <v>30.5485897435897</v>
      </c>
      <c r="L95" s="22" t="n">
        <f aca="false">K95+L90+L92</f>
        <v>30.3493589743589</v>
      </c>
      <c r="M95" s="22" t="n">
        <f aca="false">L95+M90+M92</f>
        <v>36.1501282051282</v>
      </c>
      <c r="N95" s="22" t="n">
        <f aca="false">M95+N90+N92</f>
        <v>34.3842307692307</v>
      </c>
      <c r="O95" s="22" t="n">
        <f aca="false">N95+O90+O92</f>
        <v>34.385</v>
      </c>
      <c r="P95" s="23"/>
    </row>
    <row r="96" customFormat="false" ht="15" hidden="false" customHeight="false" outlineLevel="0" collapsed="false">
      <c r="B96" s="18" t="s">
        <v>197</v>
      </c>
      <c r="C96" s="24" t="n">
        <f aca="false">IF(C95&lt;Inputs!$C$9,1,0)</f>
        <v>0</v>
      </c>
      <c r="D96" s="24" t="n">
        <f aca="false">IF(D95&lt;Inputs!$C$9,1,0)</f>
        <v>0</v>
      </c>
      <c r="E96" s="24" t="n">
        <f aca="false">IF(E95&lt;Inputs!$C$9,1,0)</f>
        <v>0</v>
      </c>
      <c r="F96" s="24" t="n">
        <f aca="false">IF(F95&lt;Inputs!$C$9,1,0)</f>
        <v>0</v>
      </c>
      <c r="G96" s="24" t="n">
        <f aca="false">IF(G95&lt;Inputs!$C$9,1,0)</f>
        <v>0</v>
      </c>
      <c r="H96" s="24" t="n">
        <f aca="false">IF(H95&lt;Inputs!$C$9,1,0)</f>
        <v>0</v>
      </c>
      <c r="I96" s="24" t="n">
        <f aca="false">IF(I95&lt;Inputs!$C$9,1,0)</f>
        <v>0</v>
      </c>
      <c r="J96" s="24" t="n">
        <f aca="false">IF(J95&lt;Inputs!$C$9,1,0)</f>
        <v>0</v>
      </c>
      <c r="K96" s="24" t="n">
        <f aca="false">IF(K95&lt;Inputs!$C$9,1,0)</f>
        <v>0</v>
      </c>
      <c r="L96" s="24" t="n">
        <f aca="false">IF(L95&lt;Inputs!$C$9,1,0)</f>
        <v>0</v>
      </c>
      <c r="M96" s="24" t="n">
        <f aca="false">IF(M95&lt;Inputs!$C$9,1,0)</f>
        <v>0</v>
      </c>
      <c r="N96" s="24" t="n">
        <f aca="false">IF(N95&lt;Inputs!$C$9,1,0)</f>
        <v>0</v>
      </c>
      <c r="O96" s="24" t="n">
        <f aca="false">IF(O95&lt;Inputs!$C$9,1,0)</f>
        <v>0</v>
      </c>
    </row>
    <row r="97" customFormat="false" ht="15" hidden="false" customHeight="false" outlineLevel="0" collapsed="false">
      <c r="B97" s="21" t="s">
        <v>249</v>
      </c>
      <c r="C97" s="22" t="n">
        <f aca="false">Inputs!$C$8+C90+C91+C92</f>
        <v>48.8161538461538</v>
      </c>
      <c r="D97" s="22" t="n">
        <f aca="false">C97+D90+D91+D92</f>
        <v>55.9966912539515</v>
      </c>
      <c r="E97" s="22" t="n">
        <f aca="false">D97+E90+E91+E92</f>
        <v>70.7742523230194</v>
      </c>
      <c r="F97" s="22" t="n">
        <f aca="false">E97+F90+F91+F92</f>
        <v>63.1034115656033</v>
      </c>
      <c r="G97" s="22" t="n">
        <f aca="false">F97+G90+G91+G92</f>
        <v>93.9942374748539</v>
      </c>
      <c r="H97" s="22" t="n">
        <f aca="false">G97+H90+H91+H92</f>
        <v>63.9650633841045</v>
      </c>
      <c r="I97" s="22" t="n">
        <f aca="false">H97+I90+I91+I92</f>
        <v>67.6782408915286</v>
      </c>
      <c r="J97" s="22" t="n">
        <f aca="false">I97+J90+J91+J92</f>
        <v>65.324751732286</v>
      </c>
      <c r="K97" s="22" t="n">
        <f aca="false">J97+K90+K91+K92</f>
        <v>69.53792923971</v>
      </c>
      <c r="L97" s="22" t="n">
        <f aca="false">K97+L90+L91+L92</f>
        <v>70.5511067471341</v>
      </c>
      <c r="M97" s="22" t="n">
        <f aca="false">L97+M90+M91+M92</f>
        <v>77.5642842545582</v>
      </c>
      <c r="N97" s="22" t="n">
        <f aca="false">M97+N90+N91+N92</f>
        <v>77.0107950953156</v>
      </c>
      <c r="O97" s="22" t="n">
        <f aca="false">N97+O90+O91+O92</f>
        <v>78.2239726027397</v>
      </c>
      <c r="P97" s="23"/>
    </row>
    <row r="98" customFormat="false" ht="15" hidden="false" customHeight="false" outlineLevel="0" collapsed="false">
      <c r="B98" s="18" t="s">
        <v>197</v>
      </c>
      <c r="C98" s="24" t="n">
        <f aca="false">IF(C97&lt;Inputs!$C$9,1,0)</f>
        <v>0</v>
      </c>
      <c r="D98" s="24" t="n">
        <f aca="false">IF(D97&lt;Inputs!$C$9,1,0)</f>
        <v>0</v>
      </c>
      <c r="E98" s="24" t="n">
        <f aca="false">IF(E97&lt;Inputs!$C$9,1,0)</f>
        <v>0</v>
      </c>
      <c r="F98" s="24" t="n">
        <f aca="false">IF(F97&lt;Inputs!$C$9,1,0)</f>
        <v>0</v>
      </c>
      <c r="G98" s="24" t="n">
        <f aca="false">IF(G97&lt;Inputs!$C$9,1,0)</f>
        <v>0</v>
      </c>
      <c r="H98" s="24" t="n">
        <f aca="false">IF(H97&lt;Inputs!$C$9,1,0)</f>
        <v>0</v>
      </c>
      <c r="I98" s="24" t="n">
        <f aca="false">IF(I97&lt;Inputs!$C$9,1,0)</f>
        <v>0</v>
      </c>
      <c r="J98" s="24" t="n">
        <f aca="false">IF(J97&lt;Inputs!$C$9,1,0)</f>
        <v>0</v>
      </c>
      <c r="K98" s="24" t="n">
        <f aca="false">IF(K97&lt;Inputs!$C$9,1,0)</f>
        <v>0</v>
      </c>
      <c r="L98" s="24" t="n">
        <f aca="false">IF(L97&lt;Inputs!$C$9,1,0)</f>
        <v>0</v>
      </c>
      <c r="M98" s="24" t="n">
        <f aca="false">IF(M97&lt;Inputs!$C$9,1,0)</f>
        <v>0</v>
      </c>
      <c r="N98" s="24" t="n">
        <f aca="false">IF(N97&lt;Inputs!$C$9,1,0)</f>
        <v>0</v>
      </c>
      <c r="O98" s="24" t="n">
        <f aca="false">IF(O97&lt;Inputs!$C$9,1,0)</f>
        <v>0</v>
      </c>
    </row>
    <row r="100" customFormat="false" ht="15" hidden="false" customHeight="false" outlineLevel="0" collapsed="false">
      <c r="B100" s="2" t="s">
        <v>250</v>
      </c>
    </row>
    <row r="101" customFormat="false" ht="15" hidden="false" customHeight="false" outlineLevel="0" collapsed="false">
      <c r="B101" s="5" t="s">
        <v>199</v>
      </c>
      <c r="C101" s="6" t="s">
        <v>251</v>
      </c>
      <c r="D101" s="6" t="s">
        <v>252</v>
      </c>
      <c r="E101" s="6" t="s">
        <v>253</v>
      </c>
    </row>
    <row r="102" customFormat="false" ht="15" hidden="false" customHeight="false" outlineLevel="0" collapsed="false">
      <c r="B102" s="8" t="s">
        <v>205</v>
      </c>
      <c r="C102" s="25" t="n">
        <f aca="false">O93</f>
        <v>63.7239726027397</v>
      </c>
      <c r="D102" s="25" t="n">
        <f aca="false">O95</f>
        <v>34.385</v>
      </c>
      <c r="E102" s="25" t="n">
        <f aca="false">O97</f>
        <v>78.2239726027397</v>
      </c>
    </row>
    <row r="103" customFormat="false" ht="15" hidden="false" customHeight="false" outlineLevel="0" collapsed="false">
      <c r="B103" s="8" t="s">
        <v>254</v>
      </c>
      <c r="C103" s="25" t="n">
        <f aca="false">MIN($C$93:$O$93)</f>
        <v>48.8161538461538</v>
      </c>
      <c r="D103" s="25" t="n">
        <f aca="false">MIN($C$95:$O$95)</f>
        <v>27.5478205128205</v>
      </c>
      <c r="E103" s="25" t="n">
        <f aca="false">MIN($C$97:$O$97)</f>
        <v>48.8161538461538</v>
      </c>
    </row>
    <row r="104" customFormat="false" ht="15" hidden="false" customHeight="false" outlineLevel="0" collapsed="false">
      <c r="B104" s="8" t="s">
        <v>209</v>
      </c>
      <c r="C104" s="24" t="n">
        <f aca="false">MATCH(C103,$C$93:$O$93,0)</f>
        <v>1</v>
      </c>
      <c r="D104" s="24" t="n">
        <f aca="false">MATCH(D103,$C$95:$O$95,0)</f>
        <v>8</v>
      </c>
      <c r="E104" s="24" t="n">
        <f aca="false">MATCH(E103,$C$97:$O$97,0)</f>
        <v>1</v>
      </c>
    </row>
    <row r="105" customFormat="false" ht="15" hidden="false" customHeight="false" outlineLevel="0" collapsed="false">
      <c r="B105" s="8" t="s">
        <v>210</v>
      </c>
      <c r="C105" s="24" t="str">
        <f aca="false">IFERROR(MATCH(1,$C$94:$O$94,0),"None")</f>
        <v>None</v>
      </c>
      <c r="D105" s="24" t="str">
        <f aca="false">IFERROR(MATCH(1,$C$96:$O$96,0),"None")</f>
        <v>None</v>
      </c>
      <c r="E105" s="24" t="str">
        <f aca="false">IFERROR(MATCH(1,$C$98:$O$98,0),"None")</f>
        <v>None</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52"/>
    <col collapsed="false" customWidth="true" hidden="false" outlineLevel="0" max="3" min="3" style="0" width="11"/>
    <col collapsed="false" customWidth="true" hidden="false" outlineLevel="0" max="4" min="4" style="0" width="9"/>
    <col collapsed="false" customWidth="true" hidden="false" outlineLevel="0" max="39" min="5" style="0" width="11"/>
  </cols>
  <sheetData>
    <row r="1" customFormat="false" ht="6" hidden="false" customHeight="true" outlineLevel="0" collapsed="false"/>
    <row r="2" customFormat="false" ht="15" hidden="false" customHeight="false" outlineLevel="0" collapsed="false">
      <c r="B2" s="1" t="s">
        <v>255</v>
      </c>
    </row>
    <row r="3" customFormat="false" ht="15" hidden="false" customHeight="false" outlineLevel="0" collapsed="false">
      <c r="B3" s="4" t="s">
        <v>256</v>
      </c>
    </row>
    <row r="5" customFormat="false" ht="15" hidden="false" customHeight="false" outlineLevel="0" collapsed="false">
      <c r="B5" s="2" t="s">
        <v>257</v>
      </c>
    </row>
    <row r="6" customFormat="false" ht="15" hidden="false" customHeight="false" outlineLevel="0" collapsed="false">
      <c r="B6" s="5" t="s">
        <v>258</v>
      </c>
      <c r="C6" s="6" t="s">
        <v>19</v>
      </c>
      <c r="D6" s="7" t="s">
        <v>96</v>
      </c>
    </row>
    <row r="7" customFormat="false" ht="15" hidden="false" customHeight="false" outlineLevel="0" collapsed="false">
      <c r="B7" s="8" t="s">
        <v>259</v>
      </c>
      <c r="C7" s="31" t="n">
        <f aca="false">Inputs!$C$7+Inputs!$C$13</f>
        <v>0.0805</v>
      </c>
    </row>
    <row r="8" customFormat="false" ht="15" hidden="false" customHeight="false" outlineLevel="0" collapsed="false">
      <c r="B8" s="8" t="s">
        <v>260</v>
      </c>
      <c r="C8" s="31" t="n">
        <f aca="false">Inputs!$C$7+Inputs!$C$19</f>
        <v>0.083</v>
      </c>
    </row>
    <row r="9" customFormat="false" ht="15" hidden="false" customHeight="false" outlineLevel="0" collapsed="false">
      <c r="B9" s="8" t="s">
        <v>261</v>
      </c>
      <c r="C9" s="28" t="n">
        <f aca="false">Inputs!$C$12+Inputs!$C$18</f>
        <v>950</v>
      </c>
    </row>
    <row r="10" customFormat="false" ht="15" hidden="false" customHeight="false" outlineLevel="0" collapsed="false">
      <c r="B10" s="8" t="s">
        <v>262</v>
      </c>
      <c r="C10" s="28" t="n">
        <f aca="false">$C$9+Inputs!$C$22</f>
        <v>1350</v>
      </c>
    </row>
    <row r="11" customFormat="false" ht="15" hidden="false" customHeight="false" outlineLevel="0" collapsed="false">
      <c r="B11" s="18" t="s">
        <v>263</v>
      </c>
      <c r="C11" s="25" t="n">
        <f aca="false">Inputs!$C$18*$C$8</f>
        <v>74.7</v>
      </c>
    </row>
    <row r="12" customFormat="false" ht="15" hidden="false" customHeight="false" outlineLevel="0" collapsed="false">
      <c r="B12" s="18" t="s">
        <v>264</v>
      </c>
      <c r="C12" s="26" t="n">
        <f aca="false">Inputs!$C$12*$C$7</f>
        <v>4.025</v>
      </c>
    </row>
    <row r="13" customFormat="false" ht="15" hidden="false" customHeight="false" outlineLevel="0" collapsed="false">
      <c r="B13" s="18" t="s">
        <v>33</v>
      </c>
      <c r="C13" s="26" t="n">
        <f aca="false">(Inputs!$C$11-Inputs!$C$12)*Inputs!$C$14</f>
        <v>0.375</v>
      </c>
    </row>
    <row r="14" customFormat="false" ht="15" hidden="false" customHeight="false" outlineLevel="0" collapsed="false">
      <c r="B14" s="18" t="s">
        <v>265</v>
      </c>
      <c r="C14" s="25" t="n">
        <f aca="false">Inputs!$C$22*Inputs!$C$23</f>
        <v>29</v>
      </c>
    </row>
    <row r="15" customFormat="false" ht="15" hidden="false" customHeight="false" outlineLevel="0" collapsed="false">
      <c r="B15" s="21" t="s">
        <v>266</v>
      </c>
      <c r="C15" s="32" t="n">
        <f aca="false">SUM($C$11:$C$14)</f>
        <v>108.1</v>
      </c>
    </row>
    <row r="16" customFormat="false" ht="15" hidden="false" customHeight="false" outlineLevel="0" collapsed="false">
      <c r="B16" s="8" t="s">
        <v>267</v>
      </c>
      <c r="C16" s="28" t="n">
        <f aca="false">Inputs!$C$18*Inputs!$C$20</f>
        <v>9</v>
      </c>
    </row>
    <row r="17" customFormat="false" ht="15" hidden="false" customHeight="false" outlineLevel="0" collapsed="false">
      <c r="B17" s="2" t="s">
        <v>268</v>
      </c>
      <c r="C17" s="33" t="n">
        <f aca="false">Inputs!$C$10-$C$15-Inputs!$C$26-Inputs!$C$27-Inputs!$C$28-$C$16</f>
        <v>-31.1</v>
      </c>
      <c r="D17" s="4" t="s">
        <v>269</v>
      </c>
    </row>
    <row r="18" customFormat="false" ht="15" hidden="false" customHeight="false" outlineLevel="0" collapsed="false">
      <c r="B18" s="8" t="s">
        <v>270</v>
      </c>
      <c r="C18" s="34" t="n">
        <f aca="false">$C$10/Inputs!$C$10</f>
        <v>10.2272727272727</v>
      </c>
    </row>
    <row r="19" customFormat="false" ht="15" hidden="false" customHeight="false" outlineLevel="0" collapsed="false">
      <c r="B19" s="8" t="s">
        <v>271</v>
      </c>
      <c r="C19" s="34" t="n">
        <f aca="false">($C$10-Inputs!$C$8)/Inputs!$C$10</f>
        <v>9.88636363636364</v>
      </c>
    </row>
    <row r="20" customFormat="false" ht="15" hidden="false" customHeight="false" outlineLevel="0" collapsed="false">
      <c r="B20" s="8" t="s">
        <v>272</v>
      </c>
      <c r="C20" s="34" t="n">
        <f aca="false">($C$9-Inputs!$C$8)/Inputs!$C$10</f>
        <v>6.85606060606061</v>
      </c>
    </row>
    <row r="21" customFormat="false" ht="15" hidden="false" customHeight="false" outlineLevel="0" collapsed="false">
      <c r="B21" s="8" t="s">
        <v>273</v>
      </c>
      <c r="C21" s="34" t="n">
        <f aca="false">Inputs!$C$10/$C$15</f>
        <v>1.22109158186864</v>
      </c>
    </row>
    <row r="23" customFormat="false" ht="15" hidden="false" customHeight="false" outlineLevel="0" collapsed="false">
      <c r="B23" s="2" t="s">
        <v>274</v>
      </c>
    </row>
    <row r="24" customFormat="false" ht="15" hidden="false" customHeight="false" outlineLevel="0" collapsed="false">
      <c r="B24" s="5" t="s">
        <v>258</v>
      </c>
      <c r="C24" s="6" t="s">
        <v>19</v>
      </c>
      <c r="D24" s="7" t="s">
        <v>96</v>
      </c>
    </row>
    <row r="25" customFormat="false" ht="15" hidden="false" customHeight="false" outlineLevel="0" collapsed="false">
      <c r="B25" s="8" t="s">
        <v>275</v>
      </c>
      <c r="C25" s="35" t="n">
        <f aca="false">Inputs!$C$10/Inputs!$C$42</f>
        <v>0.125714285714286</v>
      </c>
    </row>
    <row r="26" customFormat="false" ht="15" hidden="false" customHeight="false" outlineLevel="0" collapsed="false">
      <c r="B26" s="8" t="s">
        <v>276</v>
      </c>
      <c r="C26" s="36" t="n">
        <f aca="false">Inputs!$C$45/Inputs!$C$44</f>
        <v>10.4878048780488</v>
      </c>
    </row>
    <row r="27" customFormat="false" ht="15" hidden="false" customHeight="false" outlineLevel="0" collapsed="false">
      <c r="B27" s="8" t="s">
        <v>277</v>
      </c>
      <c r="C27" s="34" t="n">
        <f aca="false">Inputs!$C$46/Inputs!$C$44</f>
        <v>6.58536585365854</v>
      </c>
    </row>
    <row r="28" customFormat="false" ht="15" hidden="false" customHeight="false" outlineLevel="0" collapsed="false">
      <c r="B28" s="8" t="s">
        <v>278</v>
      </c>
      <c r="C28" s="35" t="n">
        <f aca="false">1-Inputs!$C$10/Inputs!$C$44</f>
        <v>0.35609756097561</v>
      </c>
    </row>
    <row r="29" customFormat="false" ht="15" hidden="false" customHeight="false" outlineLevel="0" collapsed="false">
      <c r="B29" s="8" t="s">
        <v>279</v>
      </c>
      <c r="C29" s="35" t="n">
        <f aca="false">1-Inputs!$C$42/Inputs!$C$43</f>
        <v>0.0625</v>
      </c>
    </row>
    <row r="30" customFormat="false" ht="15" hidden="false" customHeight="false" outlineLevel="0" collapsed="false">
      <c r="B30" s="8" t="s">
        <v>280</v>
      </c>
      <c r="C30" s="25" t="n">
        <f aca="false">Inputs!$C$49*Inputs!$C$18</f>
        <v>2.25</v>
      </c>
      <c r="D30" s="4" t="s">
        <v>281</v>
      </c>
    </row>
    <row r="31" customFormat="false" ht="15" hidden="false" customHeight="false" outlineLevel="0" collapsed="false">
      <c r="B31" s="8" t="s">
        <v>282</v>
      </c>
      <c r="C31" s="24" t="n">
        <f aca="false">IF(Inputs!$C$22&gt;Inputs!$C$48,1,0)</f>
        <v>1</v>
      </c>
      <c r="D31" s="4" t="s">
        <v>283</v>
      </c>
    </row>
    <row r="33" customFormat="false" ht="15" hidden="false" customHeight="false" outlineLevel="0" collapsed="false">
      <c r="B33" s="2" t="s">
        <v>284</v>
      </c>
    </row>
    <row r="34" customFormat="false" ht="15" hidden="false" customHeight="false" outlineLevel="0" collapsed="false">
      <c r="B34" s="5" t="s">
        <v>258</v>
      </c>
      <c r="C34" s="6" t="s">
        <v>19</v>
      </c>
      <c r="D34" s="7" t="s">
        <v>96</v>
      </c>
    </row>
    <row r="35" customFormat="false" ht="15" hidden="false" customHeight="false" outlineLevel="0" collapsed="false">
      <c r="B35" s="8" t="s">
        <v>285</v>
      </c>
      <c r="C35" s="28" t="n">
        <f aca="false">Inputs!$C$8</f>
        <v>45</v>
      </c>
    </row>
    <row r="36" customFormat="false" ht="15" hidden="false" customHeight="false" outlineLevel="0" collapsed="false">
      <c r="B36" s="8" t="s">
        <v>286</v>
      </c>
      <c r="C36" s="28" t="n">
        <f aca="false">Inputs!$C$11-Inputs!$C$12</f>
        <v>100</v>
      </c>
    </row>
    <row r="37" customFormat="false" ht="15" hidden="false" customHeight="false" outlineLevel="0" collapsed="false">
      <c r="B37" s="2" t="s">
        <v>287</v>
      </c>
      <c r="C37" s="37" t="n">
        <f aca="false">$C$35+$C$36</f>
        <v>145</v>
      </c>
    </row>
    <row r="38" customFormat="false" ht="15" hidden="false" customHeight="false" outlineLevel="0" collapsed="false">
      <c r="B38" s="8" t="s">
        <v>288</v>
      </c>
      <c r="C38" s="28" t="n">
        <f aca="false">Inputs!$C$15*Inputs!$C$11</f>
        <v>52.5</v>
      </c>
      <c r="D38" s="4" t="s">
        <v>289</v>
      </c>
    </row>
    <row r="39" customFormat="false" ht="15" hidden="false" customHeight="false" outlineLevel="0" collapsed="false">
      <c r="B39" s="8" t="s">
        <v>290</v>
      </c>
      <c r="C39" s="28" t="n">
        <f aca="false">$C$38-Inputs!$C$12</f>
        <v>2.5</v>
      </c>
    </row>
    <row r="40" customFormat="false" ht="15" hidden="false" customHeight="false" outlineLevel="0" collapsed="false">
      <c r="B40" s="2" t="s">
        <v>291</v>
      </c>
      <c r="C40" s="37" t="n">
        <f aca="false">$C$35+$C$39</f>
        <v>47.5</v>
      </c>
    </row>
    <row r="41" customFormat="false" ht="15" hidden="false" customHeight="false" outlineLevel="0" collapsed="false">
      <c r="B41" s="2" t="s">
        <v>292</v>
      </c>
      <c r="C41" s="37" t="n">
        <f aca="false">$C$40-Inputs!$C$9</f>
        <v>22.5</v>
      </c>
    </row>
    <row r="42" customFormat="false" ht="15" hidden="false" customHeight="false" outlineLevel="0" collapsed="false">
      <c r="B42" s="8" t="s">
        <v>293</v>
      </c>
      <c r="C42" s="35" t="n">
        <f aca="false">1-$C$41/$C$37</f>
        <v>0.844827586206897</v>
      </c>
    </row>
    <row r="44" customFormat="false" ht="15" hidden="false" customHeight="false" outlineLevel="0" collapsed="false">
      <c r="B44" s="2" t="s">
        <v>294</v>
      </c>
    </row>
    <row r="45" customFormat="false" ht="15" hidden="false" customHeight="false" outlineLevel="0" collapsed="false">
      <c r="B45" s="5" t="s">
        <v>258</v>
      </c>
      <c r="C45" s="6" t="s">
        <v>19</v>
      </c>
      <c r="D45" s="7" t="s">
        <v>96</v>
      </c>
    </row>
    <row r="46" customFormat="false" ht="15" hidden="false" customHeight="false" outlineLevel="0" collapsed="false">
      <c r="B46" s="8" t="s">
        <v>295</v>
      </c>
      <c r="C46" s="28" t="n">
        <f aca="false">$C$9-Inputs!$C$8</f>
        <v>905</v>
      </c>
    </row>
    <row r="47" customFormat="false" ht="15" hidden="false" customHeight="false" outlineLevel="0" collapsed="false">
      <c r="B47" s="8" t="s">
        <v>272</v>
      </c>
      <c r="C47" s="34" t="n">
        <f aca="false">$C$46/Inputs!$C$10</f>
        <v>6.85606060606061</v>
      </c>
    </row>
    <row r="48" customFormat="false" ht="15" hidden="false" customHeight="false" outlineLevel="0" collapsed="false">
      <c r="B48" s="8" t="s">
        <v>296</v>
      </c>
      <c r="C48" s="34" t="n">
        <f aca="false">Inputs!$C$16</f>
        <v>6.5</v>
      </c>
    </row>
    <row r="49" customFormat="false" ht="15" hidden="false" customHeight="false" outlineLevel="0" collapsed="false">
      <c r="B49" s="8" t="s">
        <v>297</v>
      </c>
      <c r="C49" s="24" t="n">
        <f aca="false">IF(Inputs!$C$12&gt;$C$38,1,0)</f>
        <v>0</v>
      </c>
    </row>
    <row r="50" customFormat="false" ht="15" hidden="false" customHeight="false" outlineLevel="0" collapsed="false">
      <c r="B50" s="8" t="s">
        <v>298</v>
      </c>
      <c r="C50" s="24" t="n">
        <f aca="false">IF($C$47&lt;=$C$48,1,0)</f>
        <v>0</v>
      </c>
      <c r="D50" s="4" t="s">
        <v>299</v>
      </c>
    </row>
    <row r="51" customFormat="false" ht="15" hidden="false" customHeight="false" outlineLevel="0" collapsed="false">
      <c r="B51" s="8" t="s">
        <v>300</v>
      </c>
      <c r="C51" s="28" t="n">
        <f aca="false">$C$46/$C$48</f>
        <v>139.230769230769</v>
      </c>
    </row>
    <row r="52" customFormat="false" ht="15" hidden="false" customHeight="false" outlineLevel="0" collapsed="false">
      <c r="B52" s="8" t="s">
        <v>301</v>
      </c>
      <c r="C52" s="35" t="n">
        <f aca="false">$C$51/Inputs!$C$10-1</f>
        <v>0.0547785547785546</v>
      </c>
    </row>
    <row r="53" customFormat="false" ht="15" hidden="false" customHeight="false" outlineLevel="0" collapsed="false">
      <c r="B53" s="8" t="s">
        <v>302</v>
      </c>
      <c r="C53" s="28" t="n">
        <f aca="false">$C$46-$C$48*Inputs!$C$10</f>
        <v>47</v>
      </c>
    </row>
    <row r="55" customFormat="false" ht="15" hidden="false" customHeight="false" outlineLevel="0" collapsed="false">
      <c r="B55" s="2" t="s">
        <v>303</v>
      </c>
    </row>
    <row r="56" customFormat="false" ht="15" hidden="false" customHeight="false" outlineLevel="0" collapsed="false">
      <c r="B56" s="5" t="s">
        <v>304</v>
      </c>
      <c r="C56" s="6" t="s">
        <v>19</v>
      </c>
      <c r="D56" s="7" t="s">
        <v>96</v>
      </c>
    </row>
    <row r="57" customFormat="false" ht="15" hidden="false" customHeight="false" outlineLevel="0" collapsed="false">
      <c r="B57" s="8" t="s">
        <v>305</v>
      </c>
      <c r="C57" s="24" t="n">
        <f aca="false">MATCH(1,Inputs!$C$76:$O$76,0)</f>
        <v>11</v>
      </c>
    </row>
    <row r="58" customFormat="false" ht="15" hidden="false" customHeight="false" outlineLevel="0" collapsed="false">
      <c r="B58" s="8" t="s">
        <v>306</v>
      </c>
      <c r="C58" s="28" t="n">
        <f aca="false">Inputs!$C$22*Inputs!$C$23/Inputs!$C$37</f>
        <v>14.5</v>
      </c>
    </row>
    <row r="59" customFormat="false" ht="15" hidden="false" customHeight="false" outlineLevel="0" collapsed="false">
      <c r="B59" s="8" t="s">
        <v>307</v>
      </c>
      <c r="C59" s="38" t="n">
        <f aca="false">Inputs!$C$25/7</f>
        <v>4.28571428571429</v>
      </c>
      <c r="D59" s="4" t="s">
        <v>308</v>
      </c>
    </row>
    <row r="60" customFormat="false" ht="15" hidden="false" customHeight="false" outlineLevel="0" collapsed="false">
      <c r="B60" s="8" t="s">
        <v>309</v>
      </c>
      <c r="C60" s="24" t="n">
        <f aca="false">'13_Week'!$C$49</f>
        <v>11</v>
      </c>
    </row>
    <row r="61" customFormat="false" ht="15" hidden="false" customHeight="false" outlineLevel="0" collapsed="false">
      <c r="B61" s="8" t="s">
        <v>310</v>
      </c>
      <c r="C61" s="28" t="n">
        <f aca="false">$C$39</f>
        <v>2.5</v>
      </c>
    </row>
    <row r="62" customFormat="false" ht="15" hidden="false" customHeight="false" outlineLevel="0" collapsed="false">
      <c r="B62" s="8" t="s">
        <v>311</v>
      </c>
      <c r="C62" s="24" t="n">
        <f aca="false">Inputs!$C$17</f>
        <v>14</v>
      </c>
    </row>
    <row r="64" customFormat="false" ht="15" hidden="false" customHeight="false" outlineLevel="0" collapsed="false">
      <c r="B64" s="2" t="s">
        <v>312</v>
      </c>
    </row>
    <row r="65" customFormat="false" ht="15" hidden="false" customHeight="false" outlineLevel="0" collapsed="false">
      <c r="B65" s="5" t="s">
        <v>26</v>
      </c>
      <c r="C65" s="16" t="n">
        <v>1</v>
      </c>
      <c r="D65" s="16" t="n">
        <v>2</v>
      </c>
      <c r="E65" s="16" t="n">
        <v>3</v>
      </c>
      <c r="F65" s="16" t="n">
        <v>4</v>
      </c>
      <c r="G65" s="16" t="n">
        <v>5</v>
      </c>
      <c r="H65" s="16" t="n">
        <v>6</v>
      </c>
      <c r="I65" s="16" t="n">
        <v>7</v>
      </c>
      <c r="J65" s="16" t="n">
        <v>8</v>
      </c>
      <c r="K65" s="16" t="n">
        <v>9</v>
      </c>
      <c r="L65" s="16" t="n">
        <v>10</v>
      </c>
      <c r="M65" s="16" t="n">
        <v>11</v>
      </c>
      <c r="N65" s="16" t="n">
        <v>12</v>
      </c>
      <c r="O65" s="16" t="n">
        <v>13</v>
      </c>
    </row>
    <row r="66" customFormat="false" ht="15" hidden="false" customHeight="false" outlineLevel="0" collapsed="false">
      <c r="B66" s="8" t="s">
        <v>195</v>
      </c>
      <c r="C66" s="19" t="n">
        <f aca="false">'13_Week'!C31</f>
        <v>48.4507692307692</v>
      </c>
      <c r="D66" s="19" t="n">
        <f aca="false">'13_Week'!D31</f>
        <v>47.5015384615385</v>
      </c>
      <c r="E66" s="19" t="n">
        <f aca="false">'13_Week'!E31</f>
        <v>53.3023076923077</v>
      </c>
      <c r="F66" s="19" t="n">
        <f aca="false">'13_Week'!F31</f>
        <v>51.5364102564102</v>
      </c>
      <c r="G66" s="19" t="n">
        <f aca="false">'13_Week'!G31</f>
        <v>52.7371794871795</v>
      </c>
      <c r="H66" s="19" t="n">
        <f aca="false">'13_Week'!H31</f>
        <v>28.6129487179487</v>
      </c>
      <c r="I66" s="19" t="n">
        <f aca="false">'13_Week'!I31</f>
        <v>31.1137179487179</v>
      </c>
      <c r="J66" s="19" t="n">
        <f aca="false">'13_Week'!J31</f>
        <v>27.5478205128205</v>
      </c>
      <c r="K66" s="19" t="n">
        <f aca="false">'13_Week'!K31</f>
        <v>30.5485897435897</v>
      </c>
      <c r="L66" s="19" t="n">
        <f aca="false">'13_Week'!L31</f>
        <v>30.3493589743589</v>
      </c>
      <c r="M66" s="19" t="n">
        <f aca="false">'13_Week'!M31</f>
        <v>21.6501282051282</v>
      </c>
      <c r="N66" s="19" t="n">
        <f aca="false">'13_Week'!N31</f>
        <v>19.8842307692307</v>
      </c>
      <c r="O66" s="19" t="n">
        <f aca="false">'13_Week'!O31</f>
        <v>19.885</v>
      </c>
    </row>
    <row r="67" customFormat="false" ht="15" hidden="false" customHeight="false" outlineLevel="0" collapsed="false">
      <c r="B67" s="8" t="s">
        <v>313</v>
      </c>
      <c r="C67" s="19" t="n">
        <f aca="false">C66+$C$36</f>
        <v>148.450769230769</v>
      </c>
      <c r="D67" s="19" t="n">
        <f aca="false">D66+$C$36</f>
        <v>147.501538461538</v>
      </c>
      <c r="E67" s="19" t="n">
        <f aca="false">E66+$C$36</f>
        <v>153.302307692308</v>
      </c>
      <c r="F67" s="19" t="n">
        <f aca="false">F66+$C$36</f>
        <v>151.53641025641</v>
      </c>
      <c r="G67" s="19" t="n">
        <f aca="false">G66+$C$36</f>
        <v>152.737179487179</v>
      </c>
      <c r="H67" s="19" t="n">
        <f aca="false">H66+$C$36</f>
        <v>128.612948717949</v>
      </c>
      <c r="I67" s="19" t="n">
        <f aca="false">I66+$C$36</f>
        <v>131.113717948718</v>
      </c>
      <c r="J67" s="19" t="n">
        <f aca="false">J66+$C$36</f>
        <v>127.54782051282</v>
      </c>
      <c r="K67" s="19" t="n">
        <f aca="false">K66+$C$36</f>
        <v>130.54858974359</v>
      </c>
      <c r="L67" s="19" t="n">
        <f aca="false">L66+$C$36</f>
        <v>130.349358974359</v>
      </c>
      <c r="M67" s="19" t="n">
        <f aca="false">M66+$C$36</f>
        <v>121.650128205128</v>
      </c>
      <c r="N67" s="19" t="n">
        <f aca="false">N66+$C$36</f>
        <v>119.884230769231</v>
      </c>
      <c r="O67" s="19" t="n">
        <f aca="false">O66+$C$36</f>
        <v>119.885</v>
      </c>
    </row>
    <row r="68" customFormat="false" ht="15" hidden="false" customHeight="false" outlineLevel="0" collapsed="false">
      <c r="B68" s="8" t="s">
        <v>314</v>
      </c>
      <c r="C68" s="19" t="n">
        <f aca="false">C66+$C$39</f>
        <v>50.9507692307692</v>
      </c>
      <c r="D68" s="19" t="n">
        <f aca="false">D66+$C$39</f>
        <v>50.0015384615385</v>
      </c>
      <c r="E68" s="19" t="n">
        <f aca="false">E66+$C$39</f>
        <v>55.8023076923077</v>
      </c>
      <c r="F68" s="19" t="n">
        <f aca="false">F66+$C$39</f>
        <v>54.0364102564102</v>
      </c>
      <c r="G68" s="19" t="n">
        <f aca="false">G66+$C$39</f>
        <v>55.2371794871795</v>
      </c>
      <c r="H68" s="19" t="n">
        <f aca="false">H66+$C$39</f>
        <v>31.1129487179487</v>
      </c>
      <c r="I68" s="19" t="n">
        <f aca="false">I66+$C$39</f>
        <v>33.6137179487179</v>
      </c>
      <c r="J68" s="19" t="n">
        <f aca="false">J66+$C$39</f>
        <v>30.0478205128205</v>
      </c>
      <c r="K68" s="19" t="n">
        <f aca="false">K66+$C$39</f>
        <v>33.0485897435897</v>
      </c>
      <c r="L68" s="19" t="n">
        <f aca="false">L66+$C$39</f>
        <v>32.8493589743589</v>
      </c>
      <c r="M68" s="19" t="n">
        <f aca="false">M66+$C$39</f>
        <v>24.1501282051282</v>
      </c>
      <c r="N68" s="19" t="n">
        <f aca="false">N66+$C$39</f>
        <v>22.3842307692307</v>
      </c>
      <c r="O68" s="19" t="n">
        <f aca="false">O66+$C$39</f>
        <v>22.385</v>
      </c>
    </row>
    <row r="69" customFormat="false" ht="15" hidden="false" customHeight="false" outlineLevel="0" collapsed="false">
      <c r="B69" s="8" t="s">
        <v>315</v>
      </c>
      <c r="C69" s="19" t="n">
        <f aca="false">C68-Inputs!$C$9</f>
        <v>25.9507692307692</v>
      </c>
      <c r="D69" s="19" t="n">
        <f aca="false">D68-Inputs!$C$9</f>
        <v>25.0015384615385</v>
      </c>
      <c r="E69" s="19" t="n">
        <f aca="false">E68-Inputs!$C$9</f>
        <v>30.8023076923077</v>
      </c>
      <c r="F69" s="19" t="n">
        <f aca="false">F68-Inputs!$C$9</f>
        <v>29.0364102564102</v>
      </c>
      <c r="G69" s="19" t="n">
        <f aca="false">G68-Inputs!$C$9</f>
        <v>30.2371794871795</v>
      </c>
      <c r="H69" s="19" t="n">
        <f aca="false">H68-Inputs!$C$9</f>
        <v>6.11294871794869</v>
      </c>
      <c r="I69" s="19" t="n">
        <f aca="false">I68-Inputs!$C$9</f>
        <v>8.61371794871792</v>
      </c>
      <c r="J69" s="19" t="n">
        <f aca="false">J68-Inputs!$C$9</f>
        <v>5.04782051282048</v>
      </c>
      <c r="K69" s="19" t="n">
        <f aca="false">K68-Inputs!$C$9</f>
        <v>8.04858974358971</v>
      </c>
      <c r="L69" s="19" t="n">
        <f aca="false">L68-Inputs!$C$9</f>
        <v>7.84935897435894</v>
      </c>
      <c r="M69" s="19" t="n">
        <f aca="false">M68-Inputs!$C$9</f>
        <v>-0.849871794871834</v>
      </c>
      <c r="N69" s="19" t="n">
        <f aca="false">N68-Inputs!$C$9</f>
        <v>-2.61576923076927</v>
      </c>
      <c r="O69" s="19" t="n">
        <f aca="false">O68-Inputs!$C$9</f>
        <v>-2.61500000000004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S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0"/>
    <col collapsed="false" customWidth="true" hidden="false" outlineLevel="0" max="3" min="3" style="0" width="8"/>
    <col collapsed="false" customWidth="true" hidden="false" outlineLevel="0" max="16" min="4" style="0" width="8.5"/>
    <col collapsed="false" customWidth="true" hidden="false" outlineLevel="0" max="17" min="17" style="0" width="10"/>
    <col collapsed="false" customWidth="true" hidden="false" outlineLevel="0" max="18" min="18" style="0" width="14"/>
    <col collapsed="false" customWidth="true" hidden="false" outlineLevel="0" max="19" min="19" style="0" width="46"/>
    <col collapsed="false" customWidth="true" hidden="false" outlineLevel="0" max="39" min="20" style="0" width="11"/>
  </cols>
  <sheetData>
    <row r="1" customFormat="false" ht="6" hidden="false" customHeight="true" outlineLevel="0" collapsed="false"/>
    <row r="2" customFormat="false" ht="15" hidden="false" customHeight="false" outlineLevel="0" collapsed="false">
      <c r="B2" s="1" t="s">
        <v>316</v>
      </c>
    </row>
    <row r="3" customFormat="false" ht="15" hidden="false" customHeight="false" outlineLevel="0" collapsed="false">
      <c r="B3" s="4" t="s">
        <v>317</v>
      </c>
    </row>
    <row r="5" customFormat="false" ht="15" hidden="false" customHeight="false" outlineLevel="0" collapsed="false">
      <c r="B5" s="2" t="s">
        <v>318</v>
      </c>
    </row>
    <row r="6" customFormat="false" ht="15" hidden="false" customHeight="false" outlineLevel="0" collapsed="false">
      <c r="B6" s="5" t="s">
        <v>319</v>
      </c>
      <c r="C6" s="6" t="s">
        <v>320</v>
      </c>
      <c r="D6" s="16" t="n">
        <v>1</v>
      </c>
      <c r="E6" s="16" t="n">
        <v>2</v>
      </c>
      <c r="F6" s="16" t="n">
        <v>3</v>
      </c>
      <c r="G6" s="16" t="n">
        <v>4</v>
      </c>
      <c r="H6" s="16" t="n">
        <v>5</v>
      </c>
      <c r="I6" s="16" t="n">
        <v>6</v>
      </c>
      <c r="J6" s="16" t="n">
        <v>7</v>
      </c>
      <c r="K6" s="16" t="n">
        <v>8</v>
      </c>
      <c r="L6" s="16" t="n">
        <v>9</v>
      </c>
      <c r="M6" s="16" t="n">
        <v>10</v>
      </c>
      <c r="N6" s="16" t="n">
        <v>11</v>
      </c>
      <c r="O6" s="16" t="n">
        <v>12</v>
      </c>
      <c r="P6" s="16" t="n">
        <v>13</v>
      </c>
      <c r="Q6" s="6" t="s">
        <v>167</v>
      </c>
      <c r="R6" s="6" t="s">
        <v>321</v>
      </c>
      <c r="S6" s="7" t="s">
        <v>96</v>
      </c>
    </row>
    <row r="7" customFormat="false" ht="15" hidden="false" customHeight="false" outlineLevel="0" collapsed="false">
      <c r="B7" s="8" t="s">
        <v>322</v>
      </c>
      <c r="C7" s="14" t="n">
        <v>1</v>
      </c>
      <c r="D7" s="19" t="n">
        <f aca="false">Inputs!$C$27/Inputs!$C$32</f>
        <v>0.192307692307692</v>
      </c>
      <c r="E7" s="19" t="n">
        <f aca="false">Inputs!$C$27/Inputs!$C$32</f>
        <v>0.192307692307692</v>
      </c>
      <c r="F7" s="19" t="n">
        <f aca="false">Inputs!$C$27/Inputs!$C$32</f>
        <v>0.192307692307692</v>
      </c>
      <c r="G7" s="19" t="n">
        <f aca="false">Inputs!$C$27/Inputs!$C$32</f>
        <v>0.192307692307692</v>
      </c>
      <c r="H7" s="19" t="n">
        <f aca="false">Inputs!$C$27/Inputs!$C$32</f>
        <v>0.192307692307692</v>
      </c>
      <c r="I7" s="19" t="n">
        <f aca="false">Inputs!$C$27/Inputs!$C$32</f>
        <v>0.192307692307692</v>
      </c>
      <c r="J7" s="19" t="n">
        <f aca="false">Inputs!$C$27/Inputs!$C$32</f>
        <v>0.192307692307692</v>
      </c>
      <c r="K7" s="19" t="n">
        <f aca="false">Inputs!$C$27/Inputs!$C$32</f>
        <v>0.192307692307692</v>
      </c>
      <c r="L7" s="19" t="n">
        <f aca="false">Inputs!$C$27/Inputs!$C$32</f>
        <v>0.192307692307692</v>
      </c>
      <c r="M7" s="19" t="n">
        <f aca="false">Inputs!$C$27/Inputs!$C$32</f>
        <v>0.192307692307692</v>
      </c>
      <c r="N7" s="19" t="n">
        <f aca="false">Inputs!$C$27/Inputs!$C$32</f>
        <v>0.192307692307692</v>
      </c>
      <c r="O7" s="19" t="n">
        <f aca="false">Inputs!$C$27/Inputs!$C$32</f>
        <v>0.192307692307692</v>
      </c>
      <c r="P7" s="19" t="n">
        <f aca="false">Inputs!$C$27/Inputs!$C$32</f>
        <v>0.192307692307692</v>
      </c>
      <c r="Q7" s="33" t="n">
        <f aca="false">SUM(D7:P7)</f>
        <v>2.5</v>
      </c>
      <c r="R7" s="28" t="n">
        <f aca="false">Q7/$C$20</f>
        <v>1.2940473820426</v>
      </c>
      <c r="S7" s="4" t="s">
        <v>323</v>
      </c>
    </row>
    <row r="8" customFormat="false" ht="15" hidden="false" customHeight="false" outlineLevel="0" collapsed="false">
      <c r="B8" s="8" t="s">
        <v>324</v>
      </c>
      <c r="C8" s="14" t="n">
        <v>1</v>
      </c>
      <c r="D8" s="19" t="n">
        <f aca="false">$C$33/SUM(Inputs!$C$101:$O$101)*Inputs!C101</f>
        <v>0</v>
      </c>
      <c r="E8" s="19" t="n">
        <f aca="false">$C$33/SUM(Inputs!$C$101:$O$101)*Inputs!D101</f>
        <v>7.76438356164384</v>
      </c>
      <c r="F8" s="19" t="n">
        <f aca="false">$C$33/SUM(Inputs!$C$101:$O$101)*Inputs!E101</f>
        <v>7.76438356164384</v>
      </c>
      <c r="G8" s="19" t="n">
        <f aca="false">$C$33/SUM(Inputs!$C$101:$O$101)*Inputs!F101</f>
        <v>0</v>
      </c>
      <c r="H8" s="19" t="n">
        <f aca="false">$C$33/SUM(Inputs!$C$101:$O$101)*Inputs!G101</f>
        <v>0</v>
      </c>
      <c r="I8" s="19" t="n">
        <f aca="false">$C$33/SUM(Inputs!$C$101:$O$101)*Inputs!H101</f>
        <v>0</v>
      </c>
      <c r="J8" s="19" t="n">
        <f aca="false">$C$33/SUM(Inputs!$C$101:$O$101)*Inputs!I101</f>
        <v>0</v>
      </c>
      <c r="K8" s="19" t="n">
        <f aca="false">$C$33/SUM(Inputs!$C$101:$O$101)*Inputs!J101</f>
        <v>0</v>
      </c>
      <c r="L8" s="19" t="n">
        <f aca="false">$C$33/SUM(Inputs!$C$101:$O$101)*Inputs!K101</f>
        <v>0</v>
      </c>
      <c r="M8" s="19" t="n">
        <f aca="false">$C$33/SUM(Inputs!$C$101:$O$101)*Inputs!L101</f>
        <v>0</v>
      </c>
      <c r="N8" s="19" t="n">
        <f aca="false">$C$33/SUM(Inputs!$C$101:$O$101)*Inputs!M101</f>
        <v>0</v>
      </c>
      <c r="O8" s="19" t="n">
        <f aca="false">$C$33/SUM(Inputs!$C$101:$O$101)*Inputs!N101</f>
        <v>0</v>
      </c>
      <c r="P8" s="19" t="n">
        <f aca="false">$C$33/SUM(Inputs!$C$101:$O$101)*Inputs!O101</f>
        <v>0</v>
      </c>
      <c r="Q8" s="33" t="n">
        <f aca="false">SUM(D8:P8)</f>
        <v>15.5287671232877</v>
      </c>
      <c r="R8" s="28" t="n">
        <f aca="false">Q8/$C$20</f>
        <v>8.03798417689586</v>
      </c>
      <c r="S8" s="4" t="s">
        <v>325</v>
      </c>
    </row>
    <row r="9" customFormat="false" ht="15" hidden="false" customHeight="false" outlineLevel="0" collapsed="false">
      <c r="B9" s="8" t="s">
        <v>326</v>
      </c>
      <c r="C9" s="14" t="n">
        <v>1</v>
      </c>
      <c r="D9" s="19" t="n">
        <f aca="false">-$C$35/SUM(Inputs!$C$102:$O$102)*Inputs!C102</f>
        <v>-0</v>
      </c>
      <c r="E9" s="19" t="n">
        <f aca="false">-$C$35/SUM(Inputs!$C$102:$O$102)*Inputs!D102</f>
        <v>-0</v>
      </c>
      <c r="F9" s="19" t="n">
        <f aca="false">-$C$35/SUM(Inputs!$C$102:$O$102)*Inputs!E102</f>
        <v>-0</v>
      </c>
      <c r="G9" s="19" t="n">
        <f aca="false">-$C$35/SUM(Inputs!$C$102:$O$102)*Inputs!F102</f>
        <v>-7.11735159817352</v>
      </c>
      <c r="H9" s="19" t="n">
        <f aca="false">-$C$35/SUM(Inputs!$C$102:$O$102)*Inputs!G102</f>
        <v>-7.11735159817352</v>
      </c>
      <c r="I9" s="19" t="n">
        <f aca="false">-$C$35/SUM(Inputs!$C$102:$O$102)*Inputs!H102</f>
        <v>-7.11735159817352</v>
      </c>
      <c r="J9" s="19" t="n">
        <f aca="false">-$C$35/SUM(Inputs!$C$102:$O$102)*Inputs!I102</f>
        <v>-0</v>
      </c>
      <c r="K9" s="19" t="n">
        <f aca="false">-$C$35/SUM(Inputs!$C$102:$O$102)*Inputs!J102</f>
        <v>-0</v>
      </c>
      <c r="L9" s="19" t="n">
        <f aca="false">-$C$35/SUM(Inputs!$C$102:$O$102)*Inputs!K102</f>
        <v>-0</v>
      </c>
      <c r="M9" s="19" t="n">
        <f aca="false">-$C$35/SUM(Inputs!$C$102:$O$102)*Inputs!L102</f>
        <v>-0</v>
      </c>
      <c r="N9" s="19" t="n">
        <f aca="false">-$C$35/SUM(Inputs!$C$102:$O$102)*Inputs!M102</f>
        <v>-0</v>
      </c>
      <c r="O9" s="19" t="n">
        <f aca="false">-$C$35/SUM(Inputs!$C$102:$O$102)*Inputs!N102</f>
        <v>-0</v>
      </c>
      <c r="P9" s="19" t="n">
        <f aca="false">-$C$35/SUM(Inputs!$C$102:$O$102)*Inputs!O102</f>
        <v>-0</v>
      </c>
      <c r="Q9" s="33" t="n">
        <f aca="false">SUM(D9:P9)</f>
        <v>-21.3520547945205</v>
      </c>
      <c r="R9" s="28" t="n">
        <f aca="false">Q9/$C$20</f>
        <v>-11.0522282432318</v>
      </c>
      <c r="S9" s="4" t="s">
        <v>327</v>
      </c>
    </row>
    <row r="10" customFormat="false" ht="15" hidden="false" customHeight="false" outlineLevel="0" collapsed="false">
      <c r="B10" s="8" t="s">
        <v>328</v>
      </c>
      <c r="C10" s="14" t="n">
        <v>1</v>
      </c>
      <c r="D10" s="19" t="n">
        <f aca="false">Inputs!$C$26/Inputs!$C$32*Inputs!$C$89</f>
        <v>0.173076923076923</v>
      </c>
      <c r="E10" s="19" t="n">
        <f aca="false">Inputs!$C$26/Inputs!$C$32*Inputs!$C$89</f>
        <v>0.173076923076923</v>
      </c>
      <c r="F10" s="19" t="n">
        <f aca="false">Inputs!$C$26/Inputs!$C$32*Inputs!$C$89</f>
        <v>0.173076923076923</v>
      </c>
      <c r="G10" s="19" t="n">
        <f aca="false">Inputs!$C$26/Inputs!$C$32*Inputs!$C$89</f>
        <v>0.173076923076923</v>
      </c>
      <c r="H10" s="19" t="n">
        <f aca="false">Inputs!$C$26/Inputs!$C$32*Inputs!$C$89</f>
        <v>0.173076923076923</v>
      </c>
      <c r="I10" s="19" t="n">
        <f aca="false">Inputs!$C$26/Inputs!$C$32*Inputs!$C$89</f>
        <v>0.173076923076923</v>
      </c>
      <c r="J10" s="19" t="n">
        <f aca="false">Inputs!$C$26/Inputs!$C$32*Inputs!$C$89</f>
        <v>0.173076923076923</v>
      </c>
      <c r="K10" s="19" t="n">
        <f aca="false">Inputs!$C$26/Inputs!$C$32*Inputs!$C$89</f>
        <v>0.173076923076923</v>
      </c>
      <c r="L10" s="19" t="n">
        <f aca="false">Inputs!$C$26/Inputs!$C$32*Inputs!$C$89</f>
        <v>0.173076923076923</v>
      </c>
      <c r="M10" s="19" t="n">
        <f aca="false">Inputs!$C$26/Inputs!$C$32*Inputs!$C$89</f>
        <v>0.173076923076923</v>
      </c>
      <c r="N10" s="19" t="n">
        <f aca="false">Inputs!$C$26/Inputs!$C$32*Inputs!$C$89</f>
        <v>0.173076923076923</v>
      </c>
      <c r="O10" s="19" t="n">
        <f aca="false">Inputs!$C$26/Inputs!$C$32*Inputs!$C$89</f>
        <v>0.173076923076923</v>
      </c>
      <c r="P10" s="19" t="n">
        <f aca="false">Inputs!$C$26/Inputs!$C$32*Inputs!$C$89</f>
        <v>0.173076923076923</v>
      </c>
      <c r="Q10" s="33" t="n">
        <f aca="false">SUM(D10:P10)</f>
        <v>2.25</v>
      </c>
      <c r="R10" s="28" t="n">
        <f aca="false">Q10/$C$20</f>
        <v>1.16464264383834</v>
      </c>
      <c r="S10" s="4" t="s">
        <v>329</v>
      </c>
    </row>
    <row r="11" customFormat="false" ht="15" hidden="false" customHeight="false" outlineLevel="0" collapsed="false">
      <c r="B11" s="8" t="s">
        <v>330</v>
      </c>
      <c r="C11" s="14" t="n">
        <v>1</v>
      </c>
      <c r="D11" s="19" t="n">
        <f aca="false">$C$48/SUM(Inputs!$C$103:$O$103)*Inputs!C103</f>
        <v>0</v>
      </c>
      <c r="E11" s="19" t="n">
        <f aca="false">$C$48/SUM(Inputs!$C$103:$O$103)*Inputs!D103</f>
        <v>0</v>
      </c>
      <c r="F11" s="19" t="n">
        <f aca="false">$C$48/SUM(Inputs!$C$103:$O$103)*Inputs!E103</f>
        <v>0.847023661270237</v>
      </c>
      <c r="G11" s="19" t="n">
        <f aca="false">$C$48/SUM(Inputs!$C$103:$O$103)*Inputs!F103</f>
        <v>0.847023661270237</v>
      </c>
      <c r="H11" s="19" t="n">
        <f aca="false">$C$48/SUM(Inputs!$C$103:$O$103)*Inputs!G103</f>
        <v>0.847023661270237</v>
      </c>
      <c r="I11" s="19" t="n">
        <f aca="false">$C$48/SUM(Inputs!$C$103:$O$103)*Inputs!H103</f>
        <v>0.847023661270237</v>
      </c>
      <c r="J11" s="19" t="n">
        <f aca="false">$C$48/SUM(Inputs!$C$103:$O$103)*Inputs!I103</f>
        <v>0.847023661270237</v>
      </c>
      <c r="K11" s="19" t="n">
        <f aca="false">$C$48/SUM(Inputs!$C$103:$O$103)*Inputs!J103</f>
        <v>0.847023661270237</v>
      </c>
      <c r="L11" s="19" t="n">
        <f aca="false">$C$48/SUM(Inputs!$C$103:$O$103)*Inputs!K103</f>
        <v>0.847023661270237</v>
      </c>
      <c r="M11" s="19" t="n">
        <f aca="false">$C$48/SUM(Inputs!$C$103:$O$103)*Inputs!L103</f>
        <v>0.847023661270237</v>
      </c>
      <c r="N11" s="19" t="n">
        <f aca="false">$C$48/SUM(Inputs!$C$103:$O$103)*Inputs!M103</f>
        <v>0.847023661270237</v>
      </c>
      <c r="O11" s="19" t="n">
        <f aca="false">$C$48/SUM(Inputs!$C$103:$O$103)*Inputs!N103</f>
        <v>0.847023661270237</v>
      </c>
      <c r="P11" s="19" t="n">
        <f aca="false">$C$48/SUM(Inputs!$C$103:$O$103)*Inputs!O103</f>
        <v>0.847023661270237</v>
      </c>
      <c r="Q11" s="33" t="n">
        <f aca="false">SUM(D11:P11)</f>
        <v>9.3172602739726</v>
      </c>
      <c r="R11" s="28" t="n">
        <f aca="false">Q11/$C$20</f>
        <v>4.82279050613751</v>
      </c>
      <c r="S11" s="4" t="s">
        <v>331</v>
      </c>
    </row>
    <row r="12" customFormat="false" ht="15" hidden="false" customHeight="false" outlineLevel="0" collapsed="false">
      <c r="B12" s="8" t="s">
        <v>332</v>
      </c>
      <c r="C12" s="14" t="n">
        <v>1</v>
      </c>
      <c r="D12" s="19" t="n">
        <f aca="false">$C$52/SUM(Inputs!$C$104:$O$104)*Inputs!C104</f>
        <v>0</v>
      </c>
      <c r="E12" s="19" t="n">
        <f aca="false">$C$52/SUM(Inputs!$C$104:$O$104)*Inputs!D104</f>
        <v>0</v>
      </c>
      <c r="F12" s="19" t="n">
        <f aca="false">$C$52/SUM(Inputs!$C$104:$O$104)*Inputs!E104</f>
        <v>0</v>
      </c>
      <c r="G12" s="19" t="n">
        <f aca="false">$C$52/SUM(Inputs!$C$104:$O$104)*Inputs!F104</f>
        <v>0</v>
      </c>
      <c r="H12" s="19" t="n">
        <f aca="false">$C$52/SUM(Inputs!$C$104:$O$104)*Inputs!G104</f>
        <v>35.595</v>
      </c>
      <c r="I12" s="19" t="n">
        <f aca="false">$C$52/SUM(Inputs!$C$104:$O$104)*Inputs!H104</f>
        <v>0</v>
      </c>
      <c r="J12" s="19" t="n">
        <f aca="false">$C$52/SUM(Inputs!$C$104:$O$104)*Inputs!I104</f>
        <v>0</v>
      </c>
      <c r="K12" s="19" t="n">
        <f aca="false">$C$52/SUM(Inputs!$C$104:$O$104)*Inputs!J104</f>
        <v>0</v>
      </c>
      <c r="L12" s="19" t="n">
        <f aca="false">$C$52/SUM(Inputs!$C$104:$O$104)*Inputs!K104</f>
        <v>0</v>
      </c>
      <c r="M12" s="19" t="n">
        <f aca="false">$C$52/SUM(Inputs!$C$104:$O$104)*Inputs!L104</f>
        <v>0</v>
      </c>
      <c r="N12" s="19" t="n">
        <f aca="false">$C$52/SUM(Inputs!$C$104:$O$104)*Inputs!M104</f>
        <v>0</v>
      </c>
      <c r="O12" s="19" t="n">
        <f aca="false">$C$52/SUM(Inputs!$C$104:$O$104)*Inputs!N104</f>
        <v>0</v>
      </c>
      <c r="P12" s="19" t="n">
        <f aca="false">$C$52/SUM(Inputs!$C$104:$O$104)*Inputs!O104</f>
        <v>0</v>
      </c>
      <c r="Q12" s="33" t="n">
        <f aca="false">SUM(D12:P12)</f>
        <v>35.595</v>
      </c>
      <c r="R12" s="28" t="n">
        <f aca="false">Q12/$C$20</f>
        <v>18.4246466255226</v>
      </c>
      <c r="S12" s="4" t="s">
        <v>333</v>
      </c>
    </row>
    <row r="13" customFormat="false" ht="15" hidden="false" customHeight="false" outlineLevel="0" collapsed="false">
      <c r="B13" s="21" t="s">
        <v>334</v>
      </c>
      <c r="C13" s="23"/>
      <c r="D13" s="22" t="n">
        <f aca="false">SUM(D7:D12)</f>
        <v>0.365384615384615</v>
      </c>
      <c r="E13" s="22" t="n">
        <f aca="false">SUM(E7:E12)</f>
        <v>8.12976817702845</v>
      </c>
      <c r="F13" s="22" t="n">
        <f aca="false">SUM(F7:F12)</f>
        <v>8.97679183829869</v>
      </c>
      <c r="G13" s="22" t="n">
        <f aca="false">SUM(G7:G12)</f>
        <v>-5.90494332151866</v>
      </c>
      <c r="H13" s="22" t="n">
        <f aca="false">SUM(H7:H12)</f>
        <v>29.6900566784813</v>
      </c>
      <c r="I13" s="22" t="n">
        <f aca="false">SUM(I7:I12)</f>
        <v>-5.90494332151866</v>
      </c>
      <c r="J13" s="22" t="n">
        <f aca="false">SUM(J7:J12)</f>
        <v>1.21240827665485</v>
      </c>
      <c r="K13" s="22" t="n">
        <f aca="false">SUM(K7:K12)</f>
        <v>1.21240827665485</v>
      </c>
      <c r="L13" s="22" t="n">
        <f aca="false">SUM(L7:L12)</f>
        <v>1.21240827665485</v>
      </c>
      <c r="M13" s="22" t="n">
        <f aca="false">SUM(M7:M12)</f>
        <v>1.21240827665485</v>
      </c>
      <c r="N13" s="22" t="n">
        <f aca="false">SUM(N7:N12)</f>
        <v>1.21240827665485</v>
      </c>
      <c r="O13" s="22" t="n">
        <f aca="false">SUM(O7:O12)</f>
        <v>1.21240827665485</v>
      </c>
      <c r="P13" s="22" t="n">
        <f aca="false">SUM(P7:P12)</f>
        <v>1.21240827665485</v>
      </c>
      <c r="Q13" s="22" t="n">
        <f aca="false">SUM(D13:P13)</f>
        <v>43.8389726027397</v>
      </c>
      <c r="R13" s="39" t="n">
        <f aca="false">Q13/$C$20</f>
        <v>22.6918830912051</v>
      </c>
    </row>
    <row r="14" customFormat="false" ht="15" hidden="false" customHeight="false" outlineLevel="0" collapsed="false">
      <c r="B14" s="2" t="s">
        <v>244</v>
      </c>
      <c r="D14" s="20" t="n">
        <f aca="false">SUMPRODUCT($C$7:$C$12,D7:D12)</f>
        <v>0.365384615384615</v>
      </c>
      <c r="E14" s="20" t="n">
        <f aca="false">SUMPRODUCT($C$7:$C$12,E7:E12)</f>
        <v>8.12976817702845</v>
      </c>
      <c r="F14" s="20" t="n">
        <f aca="false">SUMPRODUCT($C$7:$C$12,F7:F12)</f>
        <v>8.97679183829869</v>
      </c>
      <c r="G14" s="20" t="n">
        <f aca="false">SUMPRODUCT($C$7:$C$12,G7:G12)</f>
        <v>-5.90494332151866</v>
      </c>
      <c r="H14" s="20" t="n">
        <f aca="false">SUMPRODUCT($C$7:$C$12,H7:H12)</f>
        <v>29.6900566784813</v>
      </c>
      <c r="I14" s="20" t="n">
        <f aca="false">SUMPRODUCT($C$7:$C$12,I7:I12)</f>
        <v>-5.90494332151866</v>
      </c>
      <c r="J14" s="20" t="n">
        <f aca="false">SUMPRODUCT($C$7:$C$12,J7:J12)</f>
        <v>1.21240827665485</v>
      </c>
      <c r="K14" s="20" t="n">
        <f aca="false">SUMPRODUCT($C$7:$C$12,K7:K12)</f>
        <v>1.21240827665485</v>
      </c>
      <c r="L14" s="20" t="n">
        <f aca="false">SUMPRODUCT($C$7:$C$12,L7:L12)</f>
        <v>1.21240827665485</v>
      </c>
      <c r="M14" s="20" t="n">
        <f aca="false">SUMPRODUCT($C$7:$C$12,M7:M12)</f>
        <v>1.21240827665485</v>
      </c>
      <c r="N14" s="20" t="n">
        <f aca="false">SUMPRODUCT($C$7:$C$12,N7:N12)</f>
        <v>1.21240827665485</v>
      </c>
      <c r="O14" s="20" t="n">
        <f aca="false">SUMPRODUCT($C$7:$C$12,O7:O12)</f>
        <v>1.21240827665485</v>
      </c>
      <c r="P14" s="20" t="n">
        <f aca="false">SUMPRODUCT($C$7:$C$12,P7:P12)</f>
        <v>1.21240827665485</v>
      </c>
      <c r="Q14" s="20" t="n">
        <f aca="false">SUM(D14:P14)</f>
        <v>43.8389726027397</v>
      </c>
      <c r="R14" s="37" t="n">
        <f aca="false">Q14/$C$20</f>
        <v>22.6918830912051</v>
      </c>
    </row>
    <row r="16" customFormat="false" ht="15" hidden="false" customHeight="false" outlineLevel="0" collapsed="false">
      <c r="B16" s="2" t="s">
        <v>335</v>
      </c>
    </row>
    <row r="17" customFormat="false" ht="15" hidden="false" customHeight="false" outlineLevel="0" collapsed="false">
      <c r="B17" s="5" t="s">
        <v>258</v>
      </c>
      <c r="C17" s="6" t="s">
        <v>19</v>
      </c>
      <c r="D17" s="6"/>
      <c r="E17" s="7" t="s">
        <v>96</v>
      </c>
    </row>
    <row r="18" customFormat="false" ht="15" hidden="false" customHeight="false" outlineLevel="0" collapsed="false">
      <c r="B18" s="8" t="s">
        <v>336</v>
      </c>
      <c r="C18" s="26" t="n">
        <f aca="false">'13_Week'!$P$29</f>
        <v>-25.115</v>
      </c>
    </row>
    <row r="19" customFormat="false" ht="15" hidden="false" customHeight="false" outlineLevel="0" collapsed="false">
      <c r="B19" s="8" t="s">
        <v>337</v>
      </c>
      <c r="C19" s="25" t="n">
        <f aca="false">-$C$18</f>
        <v>25.115</v>
      </c>
    </row>
    <row r="20" customFormat="false" ht="15" hidden="false" customHeight="false" outlineLevel="0" collapsed="false">
      <c r="B20" s="8" t="s">
        <v>338</v>
      </c>
      <c r="C20" s="25" t="n">
        <f aca="false">$C$19/Inputs!$C$34</f>
        <v>1.93192307692308</v>
      </c>
    </row>
    <row r="21" customFormat="false" ht="15" hidden="false" customHeight="false" outlineLevel="0" collapsed="false">
      <c r="B21" s="8" t="s">
        <v>339</v>
      </c>
      <c r="C21" s="25" t="n">
        <f aca="false">$Q$13</f>
        <v>43.8389726027397</v>
      </c>
    </row>
    <row r="22" customFormat="false" ht="15" hidden="false" customHeight="false" outlineLevel="0" collapsed="false">
      <c r="B22" s="8" t="s">
        <v>340</v>
      </c>
      <c r="C22" s="28" t="n">
        <f aca="false">$C$21/$C$20</f>
        <v>22.6918830912051</v>
      </c>
    </row>
    <row r="23" customFormat="false" ht="15" hidden="false" customHeight="false" outlineLevel="0" collapsed="false">
      <c r="B23" s="8" t="s">
        <v>341</v>
      </c>
      <c r="C23" s="25" t="n">
        <f aca="false">Liquidity!$C$17</f>
        <v>-31.1</v>
      </c>
    </row>
    <row r="24" customFormat="false" ht="15" hidden="false" customHeight="false" outlineLevel="0" collapsed="false">
      <c r="B24" s="8" t="s">
        <v>342</v>
      </c>
      <c r="C24" s="28" t="n">
        <f aca="false">Inputs!$C$63*Inputs!$C$32</f>
        <v>23.4</v>
      </c>
    </row>
    <row r="25" customFormat="false" ht="15" hidden="false" customHeight="false" outlineLevel="0" collapsed="false">
      <c r="B25" s="8" t="s">
        <v>343</v>
      </c>
      <c r="C25" s="28" t="n">
        <f aca="false">-$C$23+$C$24</f>
        <v>54.5</v>
      </c>
    </row>
    <row r="26" customFormat="false" ht="15" hidden="false" customHeight="false" outlineLevel="0" collapsed="false">
      <c r="B26" s="8" t="s">
        <v>344</v>
      </c>
      <c r="C26" s="25" t="n">
        <f aca="false">$C$25/Inputs!$C$32</f>
        <v>1.04807692307692</v>
      </c>
    </row>
    <row r="27" customFormat="false" ht="15" hidden="false" customHeight="false" outlineLevel="0" collapsed="false">
      <c r="B27" s="8" t="s">
        <v>345</v>
      </c>
      <c r="C27" s="28" t="n">
        <f aca="false">$C$21/$C$26</f>
        <v>41.8280105567425</v>
      </c>
      <c r="E27" s="4" t="s">
        <v>346</v>
      </c>
    </row>
    <row r="29" customFormat="false" ht="15" hidden="false" customHeight="false" outlineLevel="0" collapsed="false">
      <c r="B29" s="2" t="s">
        <v>347</v>
      </c>
    </row>
    <row r="30" customFormat="false" ht="15" hidden="false" customHeight="false" outlineLevel="0" collapsed="false">
      <c r="B30" s="5" t="s">
        <v>258</v>
      </c>
      <c r="C30" s="6" t="s">
        <v>19</v>
      </c>
      <c r="D30" s="6"/>
      <c r="E30" s="7" t="s">
        <v>96</v>
      </c>
    </row>
    <row r="31" customFormat="false" ht="15" hidden="false" customHeight="false" outlineLevel="0" collapsed="false">
      <c r="B31" s="8" t="s">
        <v>348</v>
      </c>
      <c r="C31" s="28" t="n">
        <f aca="false">Inputs!$C$57*Inputs!$C$32</f>
        <v>566.8</v>
      </c>
    </row>
    <row r="32" customFormat="false" ht="15" hidden="false" customHeight="false" outlineLevel="0" collapsed="false">
      <c r="B32" s="8" t="s">
        <v>349</v>
      </c>
      <c r="C32" s="26" t="n">
        <f aca="false">$C$31/Inputs!$C$33</f>
        <v>1.55287671232877</v>
      </c>
    </row>
    <row r="33" customFormat="false" ht="15" hidden="false" customHeight="false" outlineLevel="0" collapsed="false">
      <c r="B33" s="8" t="s">
        <v>350</v>
      </c>
      <c r="C33" s="25" t="n">
        <f aca="false">$C$32*Inputs!$C$87</f>
        <v>15.5287671232877</v>
      </c>
    </row>
    <row r="34" customFormat="false" ht="15" hidden="false" customHeight="false" outlineLevel="0" collapsed="false">
      <c r="B34" s="8" t="s">
        <v>351</v>
      </c>
      <c r="C34" s="24" t="n">
        <f aca="false">Inputs!$C$86+Inputs!$C$87</f>
        <v>55</v>
      </c>
    </row>
    <row r="35" customFormat="false" ht="15" hidden="false" customHeight="false" outlineLevel="0" collapsed="false">
      <c r="B35" s="8" t="s">
        <v>352</v>
      </c>
      <c r="C35" s="25" t="n">
        <f aca="false">Inputs!$C$88*$C$32*$C$34</f>
        <v>21.3520547945205</v>
      </c>
      <c r="E35" s="4" t="s">
        <v>353</v>
      </c>
    </row>
    <row r="36" customFormat="false" ht="15" hidden="false" customHeight="false" outlineLevel="0" collapsed="false">
      <c r="B36" s="2" t="s">
        <v>354</v>
      </c>
      <c r="C36" s="33" t="n">
        <f aca="false">$C$33-$C$35</f>
        <v>-5.82328767123288</v>
      </c>
    </row>
    <row r="37" customFormat="false" ht="15" hidden="false" customHeight="false" outlineLevel="0" collapsed="false">
      <c r="B37" s="2" t="s">
        <v>355</v>
      </c>
      <c r="C37" s="40" t="n">
        <f aca="false">Inputs!$C$87/$C$34</f>
        <v>0.181818181818182</v>
      </c>
      <c r="E37" s="4" t="s">
        <v>356</v>
      </c>
    </row>
    <row r="38" customFormat="false" ht="15" hidden="false" customHeight="false" outlineLevel="0" collapsed="false">
      <c r="B38" s="8" t="s">
        <v>357</v>
      </c>
      <c r="C38" s="35" t="n">
        <f aca="false">$C$33/($C$32*$C$34)</f>
        <v>0.181818181818182</v>
      </c>
    </row>
    <row r="40" customFormat="false" ht="15" hidden="false" customHeight="false" outlineLevel="0" collapsed="false">
      <c r="B40" s="5" t="s">
        <v>358</v>
      </c>
      <c r="C40" s="6" t="s">
        <v>150</v>
      </c>
      <c r="D40" s="6" t="s">
        <v>151</v>
      </c>
      <c r="E40" s="6" t="s">
        <v>152</v>
      </c>
      <c r="F40" s="6" t="s">
        <v>153</v>
      </c>
      <c r="G40" s="6" t="s">
        <v>154</v>
      </c>
      <c r="H40" s="6" t="s">
        <v>155</v>
      </c>
      <c r="I40" s="7" t="s">
        <v>96</v>
      </c>
    </row>
    <row r="41" customFormat="false" ht="15" hidden="false" customHeight="false" outlineLevel="0" collapsed="false">
      <c r="B41" s="8" t="s">
        <v>156</v>
      </c>
      <c r="C41" s="35" t="n">
        <f aca="false">Inputs!C108</f>
        <v>0</v>
      </c>
      <c r="D41" s="35" t="n">
        <f aca="false">Inputs!D108</f>
        <v>0.1</v>
      </c>
      <c r="E41" s="35" t="n">
        <f aca="false">Inputs!E108</f>
        <v>0.2</v>
      </c>
      <c r="F41" s="35" t="n">
        <f aca="false">Inputs!F108</f>
        <v>0.25</v>
      </c>
      <c r="G41" s="35" t="n">
        <f aca="false">Inputs!G108</f>
        <v>0.3</v>
      </c>
      <c r="H41" s="35" t="n">
        <f aca="false">Inputs!H108</f>
        <v>0.4</v>
      </c>
    </row>
    <row r="42" customFormat="false" ht="15" hidden="false" customHeight="false" outlineLevel="0" collapsed="false">
      <c r="B42" s="8" t="s">
        <v>359</v>
      </c>
      <c r="C42" s="25" t="n">
        <f aca="false">$C$33-C41*$C$32*$C$34</f>
        <v>15.5287671232877</v>
      </c>
      <c r="D42" s="25" t="n">
        <f aca="false">$C$33-D41*$C$32*$C$34</f>
        <v>6.98794520547945</v>
      </c>
      <c r="E42" s="25" t="n">
        <f aca="false">$C$33-E41*$C$32*$C$34</f>
        <v>-1.55287671232877</v>
      </c>
      <c r="F42" s="25" t="n">
        <f aca="false">$C$33-F41*$C$32*$C$34</f>
        <v>-5.82328767123288</v>
      </c>
      <c r="G42" s="25" t="n">
        <f aca="false">$C$33-G41*$C$32*$C$34</f>
        <v>-10.093698630137</v>
      </c>
      <c r="H42" s="25" t="n">
        <f aca="false">$C$33-H41*$C$32*$C$34</f>
        <v>-18.6345205479452</v>
      </c>
      <c r="I42" s="4" t="s">
        <v>360</v>
      </c>
    </row>
    <row r="44" customFormat="false" ht="15" hidden="false" customHeight="false" outlineLevel="0" collapsed="false">
      <c r="B44" s="2" t="s">
        <v>361</v>
      </c>
    </row>
    <row r="45" customFormat="false" ht="15" hidden="false" customHeight="false" outlineLevel="0" collapsed="false">
      <c r="B45" s="5" t="s">
        <v>258</v>
      </c>
      <c r="C45" s="6" t="s">
        <v>19</v>
      </c>
      <c r="D45" s="6"/>
      <c r="E45" s="7" t="s">
        <v>96</v>
      </c>
    </row>
    <row r="46" customFormat="false" ht="15" hidden="false" customHeight="false" outlineLevel="0" collapsed="false">
      <c r="B46" s="8" t="s">
        <v>362</v>
      </c>
      <c r="C46" s="25" t="n">
        <f aca="false">Inputs!$C$27/Inputs!$C$32*Inputs!$C$34</f>
        <v>2.5</v>
      </c>
    </row>
    <row r="47" customFormat="false" ht="15" hidden="false" customHeight="false" outlineLevel="0" collapsed="false">
      <c r="B47" s="8" t="s">
        <v>363</v>
      </c>
      <c r="C47" s="26" t="n">
        <f aca="false">Inputs!$C$26/Inputs!$C$32*Inputs!$C$34*Inputs!$C$89</f>
        <v>2.25</v>
      </c>
    </row>
    <row r="48" customFormat="false" ht="15" hidden="false" customHeight="false" outlineLevel="0" collapsed="false">
      <c r="B48" s="8" t="s">
        <v>144</v>
      </c>
      <c r="C48" s="25" t="n">
        <f aca="false">$C$32*Inputs!$C$90</f>
        <v>9.3172602739726</v>
      </c>
    </row>
    <row r="49" customFormat="false" ht="15" hidden="false" customHeight="false" outlineLevel="0" collapsed="false">
      <c r="B49" s="8" t="s">
        <v>364</v>
      </c>
      <c r="C49" s="28" t="n">
        <f aca="false">Inputs!$C$91*Inputs!$C$92</f>
        <v>36</v>
      </c>
    </row>
    <row r="50" customFormat="false" ht="15" hidden="false" customHeight="false" outlineLevel="0" collapsed="false">
      <c r="B50" s="8" t="s">
        <v>365</v>
      </c>
      <c r="C50" s="24" t="n">
        <f aca="false">Inputs!$C$34-MATCH(1,Inputs!$C$104:$O$104,0)+1</f>
        <v>9</v>
      </c>
    </row>
    <row r="51" customFormat="false" ht="15" hidden="false" customHeight="false" outlineLevel="0" collapsed="false">
      <c r="B51" s="8" t="s">
        <v>366</v>
      </c>
      <c r="C51" s="26" t="n">
        <f aca="false">$C$49*Inputs!$C$93*$C$50/Inputs!$C$32</f>
        <v>0.405</v>
      </c>
      <c r="E51" s="4" t="s">
        <v>367</v>
      </c>
    </row>
    <row r="52" customFormat="false" ht="15" hidden="false" customHeight="false" outlineLevel="0" collapsed="false">
      <c r="B52" s="8" t="s">
        <v>368</v>
      </c>
      <c r="C52" s="25" t="n">
        <f aca="false">$C$49-$C$51</f>
        <v>35.595</v>
      </c>
      <c r="E52" s="4" t="s">
        <v>369</v>
      </c>
    </row>
    <row r="53" customFormat="false" ht="15" hidden="false" customHeight="false" outlineLevel="0" collapsed="false">
      <c r="B53" s="8" t="s">
        <v>370</v>
      </c>
      <c r="C53" s="28" t="n">
        <f aca="false">Inputs!$C$94-Inputs!$C$91</f>
        <v>10</v>
      </c>
    </row>
    <row r="55" customFormat="false" ht="15" hidden="false" customHeight="false" outlineLevel="0" collapsed="false">
      <c r="B55" s="2" t="s">
        <v>371</v>
      </c>
    </row>
    <row r="56" customFormat="false" ht="15" hidden="false" customHeight="false" outlineLevel="0" collapsed="false">
      <c r="B56" s="5" t="s">
        <v>258</v>
      </c>
      <c r="C56" s="6" t="s">
        <v>19</v>
      </c>
      <c r="D56" s="6"/>
      <c r="E56" s="7" t="s">
        <v>96</v>
      </c>
    </row>
    <row r="57" customFormat="false" ht="15" hidden="false" customHeight="false" outlineLevel="0" collapsed="false">
      <c r="B57" s="8" t="s">
        <v>372</v>
      </c>
      <c r="C57" s="28" t="n">
        <f aca="false">Inputs!$C$95</f>
        <v>45</v>
      </c>
    </row>
    <row r="58" customFormat="false" ht="15" hidden="false" customHeight="false" outlineLevel="0" collapsed="false">
      <c r="B58" s="8" t="s">
        <v>373</v>
      </c>
      <c r="C58" s="28" t="n">
        <f aca="false">Inputs!$C$96</f>
        <v>5.5</v>
      </c>
    </row>
    <row r="59" customFormat="false" ht="15" hidden="false" customHeight="false" outlineLevel="0" collapsed="false">
      <c r="B59" s="8" t="s">
        <v>374</v>
      </c>
      <c r="C59" s="34" t="n">
        <f aca="false">$C$57/$C$58</f>
        <v>8.18181818181818</v>
      </c>
    </row>
    <row r="60" customFormat="false" ht="15" hidden="false" customHeight="false" outlineLevel="0" collapsed="false">
      <c r="B60" s="8" t="s">
        <v>375</v>
      </c>
      <c r="C60" s="28" t="n">
        <f aca="false">$C$57*Inputs!$C$97</f>
        <v>45</v>
      </c>
    </row>
    <row r="61" customFormat="false" ht="15" hidden="false" customHeight="false" outlineLevel="0" collapsed="false">
      <c r="B61" s="2" t="s">
        <v>376</v>
      </c>
      <c r="C61" s="37" t="n">
        <f aca="false">$C$57-$C$60</f>
        <v>0</v>
      </c>
    </row>
    <row r="62" customFormat="false" ht="15" hidden="false" customHeight="false" outlineLevel="0" collapsed="false">
      <c r="B62" s="8" t="s">
        <v>377</v>
      </c>
      <c r="C62" s="34" t="n">
        <f aca="false">Liquidity!$C$20</f>
        <v>6.85606060606061</v>
      </c>
    </row>
    <row r="63" customFormat="false" ht="15" hidden="false" customHeight="false" outlineLevel="0" collapsed="false">
      <c r="B63" s="8" t="s">
        <v>378</v>
      </c>
      <c r="C63" s="34" t="n">
        <f aca="false">(Liquidity!$C$9-$C$60-Inputs!$C$8)/(Inputs!$C$10-$C$58)</f>
        <v>6.79841897233202</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46"/>
    <col collapsed="false" customWidth="true" hidden="false" outlineLevel="0" max="6" min="3" style="0" width="9"/>
    <col collapsed="false" customWidth="true" hidden="false" outlineLevel="0" max="7" min="7" style="0" width="10"/>
    <col collapsed="false" customWidth="true" hidden="false" outlineLevel="0" max="8" min="8" style="0" width="60"/>
    <col collapsed="false" customWidth="true" hidden="false" outlineLevel="0" max="39" min="9" style="0" width="11"/>
  </cols>
  <sheetData>
    <row r="1" customFormat="false" ht="6" hidden="false" customHeight="true" outlineLevel="0" collapsed="false"/>
    <row r="2" customFormat="false" ht="15" hidden="false" customHeight="false" outlineLevel="0" collapsed="false">
      <c r="B2" s="1" t="s">
        <v>379</v>
      </c>
    </row>
    <row r="3" customFormat="false" ht="15" hidden="false" customHeight="false" outlineLevel="0" collapsed="false">
      <c r="B3" s="4" t="s">
        <v>380</v>
      </c>
    </row>
    <row r="5" customFormat="false" ht="15" hidden="false" customHeight="false" outlineLevel="0" collapsed="false">
      <c r="B5" s="2" t="s">
        <v>169</v>
      </c>
    </row>
    <row r="6" customFormat="false" ht="15" hidden="false" customHeight="false" outlineLevel="0" collapsed="false">
      <c r="B6" s="5" t="s">
        <v>26</v>
      </c>
      <c r="C6" s="16" t="n">
        <v>1</v>
      </c>
      <c r="D6" s="16" t="n">
        <v>2</v>
      </c>
      <c r="E6" s="16" t="n">
        <v>3</v>
      </c>
      <c r="F6" s="16" t="n">
        <v>4</v>
      </c>
      <c r="G6" s="6" t="s">
        <v>167</v>
      </c>
      <c r="H6" s="7" t="s">
        <v>96</v>
      </c>
    </row>
    <row r="7" customFormat="false" ht="15" hidden="false" customHeight="false" outlineLevel="0" collapsed="false">
      <c r="B7" s="8" t="s">
        <v>381</v>
      </c>
      <c r="C7" s="25" t="n">
        <f aca="false">'13_Week'!C7</f>
        <v>20.2</v>
      </c>
      <c r="D7" s="25" t="n">
        <f aca="false">'13_Week'!D7</f>
        <v>20.2</v>
      </c>
      <c r="E7" s="25" t="n">
        <f aca="false">'13_Week'!E7</f>
        <v>20.2</v>
      </c>
      <c r="F7" s="25" t="n">
        <f aca="false">'13_Week'!F7</f>
        <v>20.2</v>
      </c>
      <c r="G7" s="33" t="n">
        <f aca="false">SUM(C7:F7)</f>
        <v>80.8</v>
      </c>
    </row>
    <row r="8" customFormat="false" ht="15" hidden="false" customHeight="false" outlineLevel="0" collapsed="false">
      <c r="B8" s="8" t="s">
        <v>382</v>
      </c>
      <c r="C8" s="25" t="n">
        <f aca="false">Inputs!C112</f>
        <v>19.6</v>
      </c>
      <c r="D8" s="25" t="n">
        <f aca="false">Inputs!D112</f>
        <v>20.9</v>
      </c>
      <c r="E8" s="25" t="n">
        <f aca="false">Inputs!E112</f>
        <v>19.1</v>
      </c>
      <c r="F8" s="25" t="n">
        <f aca="false">Inputs!F112</f>
        <v>20.4</v>
      </c>
      <c r="G8" s="33" t="n">
        <f aca="false">SUM(C8:F8)</f>
        <v>80</v>
      </c>
    </row>
    <row r="9" customFormat="false" ht="15" hidden="false" customHeight="false" outlineLevel="0" collapsed="false">
      <c r="B9" s="21" t="s">
        <v>383</v>
      </c>
      <c r="C9" s="32" t="n">
        <f aca="false">C8-C7</f>
        <v>-0.599999999999998</v>
      </c>
      <c r="D9" s="32" t="n">
        <f aca="false">D8-D7</f>
        <v>0.699999999999999</v>
      </c>
      <c r="E9" s="32" t="n">
        <f aca="false">E8-E7</f>
        <v>-1.1</v>
      </c>
      <c r="F9" s="32" t="n">
        <f aca="false">F8-F7</f>
        <v>0.199999999999999</v>
      </c>
      <c r="G9" s="32" t="n">
        <f aca="false">SUM(C9:F9)</f>
        <v>-0.799999999999997</v>
      </c>
    </row>
    <row r="10" customFormat="false" ht="15" hidden="false" customHeight="false" outlineLevel="0" collapsed="false">
      <c r="B10" s="18" t="s">
        <v>384</v>
      </c>
      <c r="C10" s="25" t="n">
        <f aca="false">Inputs!C114</f>
        <v>0</v>
      </c>
      <c r="D10" s="25" t="n">
        <f aca="false">Inputs!D114</f>
        <v>0.7</v>
      </c>
      <c r="E10" s="25" t="n">
        <f aca="false">Inputs!E114</f>
        <v>-0.7</v>
      </c>
      <c r="F10" s="25" t="n">
        <f aca="false">Inputs!F114</f>
        <v>0</v>
      </c>
      <c r="G10" s="33" t="n">
        <f aca="false">SUM(C10:F10)</f>
        <v>0</v>
      </c>
      <c r="H10" s="4" t="s">
        <v>385</v>
      </c>
    </row>
    <row r="11" customFormat="false" ht="15" hidden="false" customHeight="false" outlineLevel="0" collapsed="false">
      <c r="B11" s="18" t="s">
        <v>386</v>
      </c>
      <c r="C11" s="25" t="n">
        <f aca="false">C9-C10</f>
        <v>-0.599999999999998</v>
      </c>
      <c r="D11" s="25" t="n">
        <f aca="false">D9-D10</f>
        <v>0</v>
      </c>
      <c r="E11" s="25" t="n">
        <f aca="false">E9-E10</f>
        <v>-0.399999999999998</v>
      </c>
      <c r="F11" s="25" t="n">
        <f aca="false">F9-F10</f>
        <v>0.199999999999999</v>
      </c>
      <c r="G11" s="33" t="n">
        <f aca="false">SUM(C11:F11)</f>
        <v>-0.799999999999997</v>
      </c>
      <c r="H11" s="4" t="s">
        <v>387</v>
      </c>
    </row>
    <row r="13" customFormat="false" ht="15" hidden="false" customHeight="false" outlineLevel="0" collapsed="false">
      <c r="B13" s="2" t="s">
        <v>173</v>
      </c>
    </row>
    <row r="14" customFormat="false" ht="15" hidden="false" customHeight="false" outlineLevel="0" collapsed="false">
      <c r="B14" s="5" t="s">
        <v>26</v>
      </c>
      <c r="C14" s="16" t="n">
        <v>1</v>
      </c>
      <c r="D14" s="16" t="n">
        <v>2</v>
      </c>
      <c r="E14" s="16" t="n">
        <v>3</v>
      </c>
      <c r="F14" s="16" t="n">
        <v>4</v>
      </c>
      <c r="G14" s="6" t="s">
        <v>167</v>
      </c>
      <c r="H14" s="7" t="s">
        <v>96</v>
      </c>
    </row>
    <row r="15" customFormat="false" ht="15" hidden="false" customHeight="false" outlineLevel="0" collapsed="false">
      <c r="B15" s="8" t="s">
        <v>381</v>
      </c>
      <c r="C15" s="25" t="n">
        <f aca="false">'13_Week'!C11</f>
        <v>10.9</v>
      </c>
      <c r="D15" s="25" t="n">
        <f aca="false">'13_Week'!D11</f>
        <v>10.9</v>
      </c>
      <c r="E15" s="25" t="n">
        <f aca="false">'13_Week'!E11</f>
        <v>10.9</v>
      </c>
      <c r="F15" s="25" t="n">
        <f aca="false">'13_Week'!F11</f>
        <v>10.9</v>
      </c>
      <c r="G15" s="33" t="n">
        <f aca="false">SUM(C15:F15)</f>
        <v>43.6</v>
      </c>
    </row>
    <row r="16" customFormat="false" ht="15" hidden="false" customHeight="false" outlineLevel="0" collapsed="false">
      <c r="B16" s="8" t="s">
        <v>382</v>
      </c>
      <c r="C16" s="25" t="n">
        <f aca="false">Inputs!C113</f>
        <v>10.9</v>
      </c>
      <c r="D16" s="25" t="n">
        <f aca="false">Inputs!D113</f>
        <v>11.6</v>
      </c>
      <c r="E16" s="25" t="n">
        <f aca="false">Inputs!E113</f>
        <v>10.4</v>
      </c>
      <c r="F16" s="25" t="n">
        <f aca="false">Inputs!F113</f>
        <v>11.2</v>
      </c>
      <c r="G16" s="33" t="n">
        <f aca="false">SUM(C16:F16)</f>
        <v>44.1</v>
      </c>
    </row>
    <row r="17" customFormat="false" ht="15" hidden="false" customHeight="false" outlineLevel="0" collapsed="false">
      <c r="B17" s="21" t="s">
        <v>388</v>
      </c>
      <c r="C17" s="32" t="n">
        <f aca="false">C15-C16</f>
        <v>0</v>
      </c>
      <c r="D17" s="32" t="n">
        <f aca="false">D15-D16</f>
        <v>-0.699999999999999</v>
      </c>
      <c r="E17" s="32" t="n">
        <f aca="false">E15-E16</f>
        <v>0.5</v>
      </c>
      <c r="F17" s="32" t="n">
        <f aca="false">F15-F16</f>
        <v>-0.299999999999999</v>
      </c>
      <c r="G17" s="32" t="n">
        <f aca="false">SUM(C17:F17)</f>
        <v>-0.499999999999998</v>
      </c>
      <c r="H17" s="4" t="s">
        <v>389</v>
      </c>
    </row>
    <row r="18" customFormat="false" ht="15" hidden="false" customHeight="false" outlineLevel="0" collapsed="false">
      <c r="B18" s="18" t="s">
        <v>384</v>
      </c>
      <c r="C18" s="25" t="n">
        <f aca="false">Inputs!C115</f>
        <v>0</v>
      </c>
      <c r="D18" s="25" t="n">
        <f aca="false">Inputs!D115</f>
        <v>0</v>
      </c>
      <c r="E18" s="25" t="n">
        <f aca="false">Inputs!E115</f>
        <v>0</v>
      </c>
      <c r="F18" s="25" t="n">
        <f aca="false">Inputs!F115</f>
        <v>0</v>
      </c>
      <c r="G18" s="33" t="n">
        <f aca="false">SUM(C18:F18)</f>
        <v>0</v>
      </c>
    </row>
    <row r="19" customFormat="false" ht="15" hidden="false" customHeight="false" outlineLevel="0" collapsed="false">
      <c r="B19" s="18" t="s">
        <v>386</v>
      </c>
      <c r="C19" s="25" t="n">
        <f aca="false">C17-C18</f>
        <v>0</v>
      </c>
      <c r="D19" s="25" t="n">
        <f aca="false">D17-D18</f>
        <v>-0.699999999999999</v>
      </c>
      <c r="E19" s="25" t="n">
        <f aca="false">E17-E18</f>
        <v>0.5</v>
      </c>
      <c r="F19" s="25" t="n">
        <f aca="false">F17-F18</f>
        <v>-0.299999999999999</v>
      </c>
      <c r="G19" s="33" t="n">
        <f aca="false">SUM(C19:F19)</f>
        <v>-0.499999999999998</v>
      </c>
      <c r="H19" s="4" t="s">
        <v>390</v>
      </c>
    </row>
    <row r="21" customFormat="false" ht="15" hidden="false" customHeight="false" outlineLevel="0" collapsed="false">
      <c r="B21" s="2" t="s">
        <v>391</v>
      </c>
    </row>
    <row r="22" customFormat="false" ht="15" hidden="false" customHeight="false" outlineLevel="0" collapsed="false">
      <c r="B22" s="5" t="s">
        <v>26</v>
      </c>
      <c r="C22" s="16" t="n">
        <v>1</v>
      </c>
      <c r="D22" s="16" t="n">
        <v>2</v>
      </c>
      <c r="E22" s="16" t="n">
        <v>3</v>
      </c>
      <c r="F22" s="16" t="n">
        <v>4</v>
      </c>
      <c r="G22" s="6" t="s">
        <v>167</v>
      </c>
      <c r="H22" s="7" t="s">
        <v>96</v>
      </c>
    </row>
    <row r="23" customFormat="false" ht="15" hidden="false" customHeight="false" outlineLevel="0" collapsed="false">
      <c r="B23" s="2" t="s">
        <v>392</v>
      </c>
      <c r="C23" s="33" t="n">
        <f aca="false">C9+C17</f>
        <v>-0.599999999999998</v>
      </c>
      <c r="D23" s="33" t="n">
        <f aca="false">D9+D17</f>
        <v>0</v>
      </c>
      <c r="E23" s="33" t="n">
        <f aca="false">E9+E17</f>
        <v>-0.599999999999998</v>
      </c>
      <c r="F23" s="33" t="n">
        <f aca="false">F9+F17</f>
        <v>-0.0999999999999996</v>
      </c>
      <c r="G23" s="33" t="n">
        <f aca="false">SUM(C23:F23)</f>
        <v>-1.3</v>
      </c>
    </row>
    <row r="24" customFormat="false" ht="15" hidden="false" customHeight="false" outlineLevel="0" collapsed="false">
      <c r="B24" s="8" t="s">
        <v>393</v>
      </c>
      <c r="C24" s="25" t="n">
        <f aca="false">C23</f>
        <v>-0.599999999999998</v>
      </c>
      <c r="D24" s="25" t="n">
        <f aca="false">C24+D23</f>
        <v>-0.599999999999998</v>
      </c>
      <c r="E24" s="25" t="n">
        <f aca="false">D24+E23</f>
        <v>-1.2</v>
      </c>
      <c r="F24" s="25" t="n">
        <f aca="false">E24+F23</f>
        <v>-1.3</v>
      </c>
    </row>
    <row r="25" customFormat="false" ht="15" hidden="false" customHeight="false" outlineLevel="0" collapsed="false">
      <c r="B25" s="18" t="s">
        <v>384</v>
      </c>
      <c r="C25" s="25" t="n">
        <f aca="false">C10+C18</f>
        <v>0</v>
      </c>
      <c r="D25" s="25" t="n">
        <f aca="false">D10+D18</f>
        <v>0.7</v>
      </c>
      <c r="E25" s="25" t="n">
        <f aca="false">E10+E18</f>
        <v>-0.7</v>
      </c>
      <c r="F25" s="25" t="n">
        <f aca="false">F10+F18</f>
        <v>0</v>
      </c>
      <c r="G25" s="33" t="n">
        <f aca="false">SUM(C25:F25)</f>
        <v>0</v>
      </c>
    </row>
    <row r="26" customFormat="false" ht="15" hidden="false" customHeight="false" outlineLevel="0" collapsed="false">
      <c r="B26" s="18" t="s">
        <v>386</v>
      </c>
      <c r="C26" s="25" t="n">
        <f aca="false">C11+C19</f>
        <v>-0.599999999999998</v>
      </c>
      <c r="D26" s="25" t="n">
        <f aca="false">D11+D19</f>
        <v>-0.699999999999999</v>
      </c>
      <c r="E26" s="25" t="n">
        <f aca="false">E11+E19</f>
        <v>0.100000000000002</v>
      </c>
      <c r="F26" s="25" t="n">
        <f aca="false">F11+F19</f>
        <v>-0.0999999999999996</v>
      </c>
      <c r="G26" s="33" t="n">
        <f aca="false">SUM(C26:F26)</f>
        <v>-1.29999999999999</v>
      </c>
    </row>
    <row r="28" customFormat="false" ht="15" hidden="false" customHeight="false" outlineLevel="0" collapsed="false">
      <c r="B28" s="2" t="s">
        <v>394</v>
      </c>
    </row>
    <row r="29" customFormat="false" ht="15" hidden="false" customHeight="false" outlineLevel="0" collapsed="false">
      <c r="B29" s="5" t="s">
        <v>199</v>
      </c>
      <c r="C29" s="6" t="s">
        <v>19</v>
      </c>
      <c r="D29" s="6"/>
      <c r="E29" s="6"/>
      <c r="F29" s="6"/>
      <c r="G29" s="6"/>
      <c r="H29" s="7" t="s">
        <v>96</v>
      </c>
    </row>
    <row r="30" customFormat="false" ht="15" hidden="false" customHeight="false" outlineLevel="0" collapsed="false">
      <c r="B30" s="8" t="s">
        <v>395</v>
      </c>
      <c r="C30" s="25" t="n">
        <f aca="false">D9+E9</f>
        <v>-0.399999999999999</v>
      </c>
      <c r="H30" s="4" t="s">
        <v>396</v>
      </c>
    </row>
    <row r="31" customFormat="false" ht="15" hidden="false" customHeight="false" outlineLevel="0" collapsed="false">
      <c r="B31" s="8" t="s">
        <v>397</v>
      </c>
      <c r="C31" s="25" t="n">
        <f aca="false">$G$9</f>
        <v>-0.799999999999997</v>
      </c>
    </row>
    <row r="32" customFormat="false" ht="15" hidden="false" customHeight="false" outlineLevel="0" collapsed="false">
      <c r="B32" s="8" t="s">
        <v>398</v>
      </c>
      <c r="C32" s="25" t="n">
        <f aca="false">$G$17</f>
        <v>-0.499999999999998</v>
      </c>
    </row>
    <row r="33" customFormat="false" ht="15" hidden="false" customHeight="false" outlineLevel="0" collapsed="false">
      <c r="B33" s="2" t="s">
        <v>399</v>
      </c>
      <c r="C33" s="33" t="n">
        <f aca="false">$G$23</f>
        <v>-1.3</v>
      </c>
    </row>
    <row r="34" customFormat="false" ht="15" hidden="false" customHeight="false" outlineLevel="0" collapsed="false">
      <c r="B34" s="8" t="s">
        <v>400</v>
      </c>
      <c r="C34" s="25" t="n">
        <f aca="false">$G$11/COUNT($C$11:$F$11)</f>
        <v>-0.199999999999999</v>
      </c>
      <c r="H34" s="4" t="s">
        <v>401</v>
      </c>
    </row>
    <row r="35" customFormat="false" ht="15" hidden="false" customHeight="false" outlineLevel="0" collapsed="false">
      <c r="B35" s="8" t="s">
        <v>402</v>
      </c>
      <c r="C35" s="25" t="n">
        <f aca="false">$C$34*(Inputs!$C$34-COUNT($C$11:$F$11))</f>
        <v>-1.79999999999999</v>
      </c>
      <c r="H35" s="4" t="s">
        <v>403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6"/>
    <col collapsed="false" customWidth="true" hidden="false" outlineLevel="0" max="3" min="3" style="0" width="18"/>
    <col collapsed="false" customWidth="true" hidden="false" outlineLevel="0" max="4" min="4" style="0" width="58"/>
    <col collapsed="false" customWidth="true" hidden="false" outlineLevel="0" max="5" min="5" style="0" width="12"/>
    <col collapsed="false" customWidth="true" hidden="false" outlineLevel="0" max="6" min="6" style="0" width="14"/>
    <col collapsed="false" customWidth="true" hidden="false" outlineLevel="0" max="7" min="7" style="0" width="12"/>
    <col collapsed="false" customWidth="true" hidden="false" outlineLevel="0" max="8" min="8" style="0" width="11"/>
    <col collapsed="false" customWidth="true" hidden="false" outlineLevel="0" max="9" min="9" style="0" width="9"/>
    <col collapsed="false" customWidth="true" hidden="false" outlineLevel="0" max="39" min="10" style="0" width="11"/>
  </cols>
  <sheetData>
    <row r="1" customFormat="false" ht="6" hidden="false" customHeight="true" outlineLevel="0" collapsed="false"/>
    <row r="2" customFormat="false" ht="15" hidden="false" customHeight="false" outlineLevel="0" collapsed="false">
      <c r="B2" s="1" t="s">
        <v>404</v>
      </c>
    </row>
    <row r="3" customFormat="false" ht="15" hidden="false" customHeight="false" outlineLevel="0" collapsed="false">
      <c r="B3" s="4" t="s">
        <v>405</v>
      </c>
    </row>
    <row r="5" customFormat="false" ht="15" hidden="false" customHeight="false" outlineLevel="0" collapsed="false">
      <c r="B5" s="2" t="s">
        <v>406</v>
      </c>
      <c r="E5" s="41" t="n">
        <f aca="false">COUNTA(D8:D374)</f>
        <v>367</v>
      </c>
      <c r="G5" s="2" t="s">
        <v>407</v>
      </c>
      <c r="J5" s="41" t="n">
        <f aca="false">COUNTIF(J8:J374,"differs")</f>
        <v>0</v>
      </c>
    </row>
    <row r="6" customFormat="false" ht="15" hidden="false" customHeight="false" outlineLevel="0" collapsed="false">
      <c r="B6" s="2" t="s">
        <v>408</v>
      </c>
      <c r="E6" s="41" t="n">
        <f aca="false">COUNTIF(I8:I374,"FAIL")</f>
        <v>0</v>
      </c>
    </row>
    <row r="7" customFormat="false" ht="15" hidden="false" customHeight="false" outlineLevel="0" collapsed="false">
      <c r="B7" s="5" t="s">
        <v>409</v>
      </c>
      <c r="C7" s="7" t="s">
        <v>410</v>
      </c>
      <c r="D7" s="7" t="s">
        <v>411</v>
      </c>
      <c r="E7" s="6" t="s">
        <v>412</v>
      </c>
      <c r="F7" s="6" t="s">
        <v>413</v>
      </c>
      <c r="G7" s="6" t="s">
        <v>414</v>
      </c>
      <c r="H7" s="6" t="s">
        <v>415</v>
      </c>
      <c r="I7" s="6" t="s">
        <v>416</v>
      </c>
      <c r="J7" s="6" t="s">
        <v>417</v>
      </c>
    </row>
    <row r="8" customFormat="false" ht="15" hidden="false" customHeight="false" outlineLevel="0" collapsed="false">
      <c r="B8" s="42" t="n">
        <v>1</v>
      </c>
      <c r="C8" s="8" t="s">
        <v>418</v>
      </c>
      <c r="D8" s="8" t="s">
        <v>419</v>
      </c>
      <c r="E8" s="43" t="n">
        <v>20.2</v>
      </c>
      <c r="F8" s="44" t="n">
        <f aca="false">'13_Week'!$C$7</f>
        <v>20.2</v>
      </c>
      <c r="G8" s="45" t="n">
        <f aca="false">IF(ISNUMBER(F8),F8-E8,"n/a")</f>
        <v>0</v>
      </c>
      <c r="H8" s="46" t="n">
        <v>0.005000001</v>
      </c>
      <c r="I8" s="47" t="str">
        <f aca="false">IF(ISNUMBER(F8),IF(ABS(F8-E8)&lt;=H8,"PASS","FAIL"),"FAIL")</f>
        <v>PASS</v>
      </c>
      <c r="J8" s="47" t="str">
        <f aca="false">IF(ISNUMBER(F8),IF(ROUND(F8,2)=ROUND(E8,2),"same","differs"),"n/a")</f>
        <v>same</v>
      </c>
    </row>
    <row r="9" customFormat="false" ht="15" hidden="false" customHeight="false" outlineLevel="0" collapsed="false">
      <c r="B9" s="42" t="n">
        <v>2</v>
      </c>
      <c r="C9" s="8" t="s">
        <v>418</v>
      </c>
      <c r="D9" s="8" t="s">
        <v>420</v>
      </c>
      <c r="E9" s="43" t="n">
        <v>20.2</v>
      </c>
      <c r="F9" s="44" t="n">
        <f aca="false">'13_Week'!$D$7</f>
        <v>20.2</v>
      </c>
      <c r="G9" s="45" t="n">
        <f aca="false">IF(ISNUMBER(F9),F9-E9,"n/a")</f>
        <v>0</v>
      </c>
      <c r="H9" s="46" t="n">
        <v>0.005000001</v>
      </c>
      <c r="I9" s="47" t="str">
        <f aca="false">IF(ISNUMBER(F9),IF(ABS(F9-E9)&lt;=H9,"PASS","FAIL"),"FAIL")</f>
        <v>PASS</v>
      </c>
      <c r="J9" s="47" t="str">
        <f aca="false">IF(ISNUMBER(F9),IF(ROUND(F9,2)=ROUND(E9,2),"same","differs"),"n/a")</f>
        <v>same</v>
      </c>
    </row>
    <row r="10" customFormat="false" ht="15" hidden="false" customHeight="false" outlineLevel="0" collapsed="false">
      <c r="B10" s="42" t="n">
        <v>3</v>
      </c>
      <c r="C10" s="8" t="s">
        <v>418</v>
      </c>
      <c r="D10" s="8" t="s">
        <v>421</v>
      </c>
      <c r="E10" s="43" t="n">
        <v>20.2</v>
      </c>
      <c r="F10" s="44" t="n">
        <f aca="false">'13_Week'!$E$7</f>
        <v>20.2</v>
      </c>
      <c r="G10" s="45" t="n">
        <f aca="false">IF(ISNUMBER(F10),F10-E10,"n/a")</f>
        <v>0</v>
      </c>
      <c r="H10" s="46" t="n">
        <v>0.005000001</v>
      </c>
      <c r="I10" s="47" t="str">
        <f aca="false">IF(ISNUMBER(F10),IF(ABS(F10-E10)&lt;=H10,"PASS","FAIL"),"FAIL")</f>
        <v>PASS</v>
      </c>
      <c r="J10" s="47" t="str">
        <f aca="false">IF(ISNUMBER(F10),IF(ROUND(F10,2)=ROUND(E10,2),"same","differs"),"n/a")</f>
        <v>same</v>
      </c>
    </row>
    <row r="11" customFormat="false" ht="15" hidden="false" customHeight="false" outlineLevel="0" collapsed="false">
      <c r="B11" s="42" t="n">
        <v>4</v>
      </c>
      <c r="C11" s="8" t="s">
        <v>418</v>
      </c>
      <c r="D11" s="8" t="s">
        <v>422</v>
      </c>
      <c r="E11" s="43" t="n">
        <v>20.2</v>
      </c>
      <c r="F11" s="44" t="n">
        <f aca="false">'13_Week'!$F$7</f>
        <v>20.2</v>
      </c>
      <c r="G11" s="45" t="n">
        <f aca="false">IF(ISNUMBER(F11),F11-E11,"n/a")</f>
        <v>0</v>
      </c>
      <c r="H11" s="46" t="n">
        <v>0.005000001</v>
      </c>
      <c r="I11" s="47" t="str">
        <f aca="false">IF(ISNUMBER(F11),IF(ABS(F11-E11)&lt;=H11,"PASS","FAIL"),"FAIL")</f>
        <v>PASS</v>
      </c>
      <c r="J11" s="47" t="str">
        <f aca="false">IF(ISNUMBER(F11),IF(ROUND(F11,2)=ROUND(E11,2),"same","differs"),"n/a")</f>
        <v>same</v>
      </c>
    </row>
    <row r="12" customFormat="false" ht="15" hidden="false" customHeight="false" outlineLevel="0" collapsed="false">
      <c r="B12" s="42" t="n">
        <v>5</v>
      </c>
      <c r="C12" s="8" t="s">
        <v>418</v>
      </c>
      <c r="D12" s="8" t="s">
        <v>423</v>
      </c>
      <c r="E12" s="43" t="n">
        <v>18.4</v>
      </c>
      <c r="F12" s="44" t="n">
        <f aca="false">'13_Week'!$G$7</f>
        <v>18.4</v>
      </c>
      <c r="G12" s="45" t="n">
        <f aca="false">IF(ISNUMBER(F12),F12-E12,"n/a")</f>
        <v>0</v>
      </c>
      <c r="H12" s="46" t="n">
        <v>0.005000001</v>
      </c>
      <c r="I12" s="47" t="str">
        <f aca="false">IF(ISNUMBER(F12),IF(ABS(F12-E12)&lt;=H12,"PASS","FAIL"),"FAIL")</f>
        <v>PASS</v>
      </c>
      <c r="J12" s="47" t="str">
        <f aca="false">IF(ISNUMBER(F12),IF(ROUND(F12,2)=ROUND(E12,2),"same","differs"),"n/a")</f>
        <v>same</v>
      </c>
    </row>
    <row r="13" customFormat="false" ht="15" hidden="false" customHeight="false" outlineLevel="0" collapsed="false">
      <c r="B13" s="42" t="n">
        <v>6</v>
      </c>
      <c r="C13" s="8" t="s">
        <v>418</v>
      </c>
      <c r="D13" s="8" t="s">
        <v>424</v>
      </c>
      <c r="E13" s="43" t="n">
        <v>18.4</v>
      </c>
      <c r="F13" s="44" t="n">
        <f aca="false">'13_Week'!$H$7</f>
        <v>18.4</v>
      </c>
      <c r="G13" s="45" t="n">
        <f aca="false">IF(ISNUMBER(F13),F13-E13,"n/a")</f>
        <v>0</v>
      </c>
      <c r="H13" s="46" t="n">
        <v>0.005000001</v>
      </c>
      <c r="I13" s="47" t="str">
        <f aca="false">IF(ISNUMBER(F13),IF(ABS(F13-E13)&lt;=H13,"PASS","FAIL"),"FAIL")</f>
        <v>PASS</v>
      </c>
      <c r="J13" s="47" t="str">
        <f aca="false">IF(ISNUMBER(F13),IF(ROUND(F13,2)=ROUND(E13,2),"same","differs"),"n/a")</f>
        <v>same</v>
      </c>
    </row>
    <row r="14" customFormat="false" ht="15" hidden="false" customHeight="false" outlineLevel="0" collapsed="false">
      <c r="B14" s="42" t="n">
        <v>7</v>
      </c>
      <c r="C14" s="8" t="s">
        <v>418</v>
      </c>
      <c r="D14" s="8" t="s">
        <v>425</v>
      </c>
      <c r="E14" s="43" t="n">
        <v>18.4</v>
      </c>
      <c r="F14" s="44" t="n">
        <f aca="false">'13_Week'!$I$7</f>
        <v>18.4</v>
      </c>
      <c r="G14" s="45" t="n">
        <f aca="false">IF(ISNUMBER(F14),F14-E14,"n/a")</f>
        <v>0</v>
      </c>
      <c r="H14" s="46" t="n">
        <v>0.005000001</v>
      </c>
      <c r="I14" s="47" t="str">
        <f aca="false">IF(ISNUMBER(F14),IF(ABS(F14-E14)&lt;=H14,"PASS","FAIL"),"FAIL")</f>
        <v>PASS</v>
      </c>
      <c r="J14" s="47" t="str">
        <f aca="false">IF(ISNUMBER(F14),IF(ROUND(F14,2)=ROUND(E14,2),"same","differs"),"n/a")</f>
        <v>same</v>
      </c>
    </row>
    <row r="15" customFormat="false" ht="15" hidden="false" customHeight="false" outlineLevel="0" collapsed="false">
      <c r="B15" s="42" t="n">
        <v>8</v>
      </c>
      <c r="C15" s="8" t="s">
        <v>418</v>
      </c>
      <c r="D15" s="8" t="s">
        <v>426</v>
      </c>
      <c r="E15" s="43" t="n">
        <v>18.4</v>
      </c>
      <c r="F15" s="44" t="n">
        <f aca="false">'13_Week'!$J$7</f>
        <v>18.4</v>
      </c>
      <c r="G15" s="45" t="n">
        <f aca="false">IF(ISNUMBER(F15),F15-E15,"n/a")</f>
        <v>0</v>
      </c>
      <c r="H15" s="46" t="n">
        <v>0.005000001</v>
      </c>
      <c r="I15" s="47" t="str">
        <f aca="false">IF(ISNUMBER(F15),IF(ABS(F15-E15)&lt;=H15,"PASS","FAIL"),"FAIL")</f>
        <v>PASS</v>
      </c>
      <c r="J15" s="47" t="str">
        <f aca="false">IF(ISNUMBER(F15),IF(ROUND(F15,2)=ROUND(E15,2),"same","differs"),"n/a")</f>
        <v>same</v>
      </c>
    </row>
    <row r="16" customFormat="false" ht="15" hidden="false" customHeight="false" outlineLevel="0" collapsed="false">
      <c r="B16" s="42" t="n">
        <v>9</v>
      </c>
      <c r="C16" s="8" t="s">
        <v>418</v>
      </c>
      <c r="D16" s="8" t="s">
        <v>427</v>
      </c>
      <c r="E16" s="43" t="n">
        <v>20.2</v>
      </c>
      <c r="F16" s="44" t="n">
        <f aca="false">'13_Week'!$K$7</f>
        <v>20.2</v>
      </c>
      <c r="G16" s="45" t="n">
        <f aca="false">IF(ISNUMBER(F16),F16-E16,"n/a")</f>
        <v>0</v>
      </c>
      <c r="H16" s="46" t="n">
        <v>0.005000001</v>
      </c>
      <c r="I16" s="47" t="str">
        <f aca="false">IF(ISNUMBER(F16),IF(ABS(F16-E16)&lt;=H16,"PASS","FAIL"),"FAIL")</f>
        <v>PASS</v>
      </c>
      <c r="J16" s="47" t="str">
        <f aca="false">IF(ISNUMBER(F16),IF(ROUND(F16,2)=ROUND(E16,2),"same","differs"),"n/a")</f>
        <v>same</v>
      </c>
    </row>
    <row r="17" customFormat="false" ht="15" hidden="false" customHeight="false" outlineLevel="0" collapsed="false">
      <c r="B17" s="42" t="n">
        <v>10</v>
      </c>
      <c r="C17" s="8" t="s">
        <v>418</v>
      </c>
      <c r="D17" s="8" t="s">
        <v>428</v>
      </c>
      <c r="E17" s="43" t="n">
        <v>20.2</v>
      </c>
      <c r="F17" s="44" t="n">
        <f aca="false">'13_Week'!$L$7</f>
        <v>20.2</v>
      </c>
      <c r="G17" s="45" t="n">
        <f aca="false">IF(ISNUMBER(F17),F17-E17,"n/a")</f>
        <v>0</v>
      </c>
      <c r="H17" s="46" t="n">
        <v>0.005000001</v>
      </c>
      <c r="I17" s="47" t="str">
        <f aca="false">IF(ISNUMBER(F17),IF(ABS(F17-E17)&lt;=H17,"PASS","FAIL"),"FAIL")</f>
        <v>PASS</v>
      </c>
      <c r="J17" s="47" t="str">
        <f aca="false">IF(ISNUMBER(F17),IF(ROUND(F17,2)=ROUND(E17,2),"same","differs"),"n/a")</f>
        <v>same</v>
      </c>
    </row>
    <row r="18" customFormat="false" ht="15" hidden="false" customHeight="false" outlineLevel="0" collapsed="false">
      <c r="B18" s="42" t="n">
        <v>11</v>
      </c>
      <c r="C18" s="8" t="s">
        <v>418</v>
      </c>
      <c r="D18" s="8" t="s">
        <v>429</v>
      </c>
      <c r="E18" s="43" t="n">
        <v>20.2</v>
      </c>
      <c r="F18" s="44" t="n">
        <f aca="false">'13_Week'!$M$7</f>
        <v>20.2</v>
      </c>
      <c r="G18" s="45" t="n">
        <f aca="false">IF(ISNUMBER(F18),F18-E18,"n/a")</f>
        <v>0</v>
      </c>
      <c r="H18" s="46" t="n">
        <v>0.005000001</v>
      </c>
      <c r="I18" s="47" t="str">
        <f aca="false">IF(ISNUMBER(F18),IF(ABS(F18-E18)&lt;=H18,"PASS","FAIL"),"FAIL")</f>
        <v>PASS</v>
      </c>
      <c r="J18" s="47" t="str">
        <f aca="false">IF(ISNUMBER(F18),IF(ROUND(F18,2)=ROUND(E18,2),"same","differs"),"n/a")</f>
        <v>same</v>
      </c>
    </row>
    <row r="19" customFormat="false" ht="15" hidden="false" customHeight="false" outlineLevel="0" collapsed="false">
      <c r="B19" s="42" t="n">
        <v>12</v>
      </c>
      <c r="C19" s="8" t="s">
        <v>418</v>
      </c>
      <c r="D19" s="8" t="s">
        <v>430</v>
      </c>
      <c r="E19" s="43" t="n">
        <v>20.2</v>
      </c>
      <c r="F19" s="44" t="n">
        <f aca="false">'13_Week'!$N$7</f>
        <v>20.2</v>
      </c>
      <c r="G19" s="45" t="n">
        <f aca="false">IF(ISNUMBER(F19),F19-E19,"n/a")</f>
        <v>0</v>
      </c>
      <c r="H19" s="46" t="n">
        <v>0.005000001</v>
      </c>
      <c r="I19" s="47" t="str">
        <f aca="false">IF(ISNUMBER(F19),IF(ABS(F19-E19)&lt;=H19,"PASS","FAIL"),"FAIL")</f>
        <v>PASS</v>
      </c>
      <c r="J19" s="47" t="str">
        <f aca="false">IF(ISNUMBER(F19),IF(ROUND(F19,2)=ROUND(E19,2),"same","differs"),"n/a")</f>
        <v>same</v>
      </c>
    </row>
    <row r="20" customFormat="false" ht="15" hidden="false" customHeight="false" outlineLevel="0" collapsed="false">
      <c r="B20" s="42" t="n">
        <v>13</v>
      </c>
      <c r="C20" s="8" t="s">
        <v>418</v>
      </c>
      <c r="D20" s="8" t="s">
        <v>431</v>
      </c>
      <c r="E20" s="43" t="n">
        <v>20.2</v>
      </c>
      <c r="F20" s="44" t="n">
        <f aca="false">'13_Week'!$O$7</f>
        <v>20.2</v>
      </c>
      <c r="G20" s="45" t="n">
        <f aca="false">IF(ISNUMBER(F20),F20-E20,"n/a")</f>
        <v>0</v>
      </c>
      <c r="H20" s="46" t="n">
        <v>0.005000001</v>
      </c>
      <c r="I20" s="47" t="str">
        <f aca="false">IF(ISNUMBER(F20),IF(ABS(F20-E20)&lt;=H20,"PASS","FAIL"),"FAIL")</f>
        <v>PASS</v>
      </c>
      <c r="J20" s="47" t="str">
        <f aca="false">IF(ISNUMBER(F20),IF(ROUND(F20,2)=ROUND(E20,2),"same","differs"),"n/a")</f>
        <v>same</v>
      </c>
    </row>
    <row r="21" customFormat="false" ht="15" hidden="false" customHeight="false" outlineLevel="0" collapsed="false">
      <c r="B21" s="42" t="n">
        <v>14</v>
      </c>
      <c r="C21" s="8" t="s">
        <v>418</v>
      </c>
      <c r="D21" s="8" t="s">
        <v>432</v>
      </c>
      <c r="E21" s="43" t="n">
        <v>255.4</v>
      </c>
      <c r="F21" s="44" t="n">
        <f aca="false">'13_Week'!$P$7</f>
        <v>255.4</v>
      </c>
      <c r="G21" s="45" t="n">
        <f aca="false">IF(ISNUMBER(F21),F21-E21,"n/a")</f>
        <v>0</v>
      </c>
      <c r="H21" s="46" t="n">
        <v>0.005000001</v>
      </c>
      <c r="I21" s="47" t="str">
        <f aca="false">IF(ISNUMBER(F21),IF(ABS(F21-E21)&lt;=H21,"PASS","FAIL"),"FAIL")</f>
        <v>PASS</v>
      </c>
      <c r="J21" s="47" t="str">
        <f aca="false">IF(ISNUMBER(F21),IF(ROUND(F21,2)=ROUND(E21,2),"same","differs"),"n/a")</f>
        <v>same</v>
      </c>
    </row>
    <row r="22" customFormat="false" ht="15" hidden="false" customHeight="false" outlineLevel="0" collapsed="false">
      <c r="B22" s="42" t="n">
        <v>15</v>
      </c>
      <c r="C22" s="8" t="s">
        <v>418</v>
      </c>
      <c r="D22" s="8" t="s">
        <v>433</v>
      </c>
      <c r="E22" s="43" t="n">
        <v>0</v>
      </c>
      <c r="F22" s="44" t="n">
        <f aca="false">'13_Week'!$C$8</f>
        <v>0</v>
      </c>
      <c r="G22" s="45" t="n">
        <f aca="false">IF(ISNUMBER(F22),F22-E22,"n/a")</f>
        <v>0</v>
      </c>
      <c r="H22" s="46" t="n">
        <v>0.005000001</v>
      </c>
      <c r="I22" s="47" t="str">
        <f aca="false">IF(ISNUMBER(F22),IF(ABS(F22-E22)&lt;=H22,"PASS","FAIL"),"FAIL")</f>
        <v>PASS</v>
      </c>
      <c r="J22" s="47" t="str">
        <f aca="false">IF(ISNUMBER(F22),IF(ROUND(F22,2)=ROUND(E22,2),"same","differs"),"n/a")</f>
        <v>same</v>
      </c>
    </row>
    <row r="23" customFormat="false" ht="15" hidden="false" customHeight="false" outlineLevel="0" collapsed="false">
      <c r="B23" s="42" t="n">
        <v>16</v>
      </c>
      <c r="C23" s="8" t="s">
        <v>418</v>
      </c>
      <c r="D23" s="8" t="s">
        <v>434</v>
      </c>
      <c r="E23" s="43" t="n">
        <v>0</v>
      </c>
      <c r="F23" s="44" t="n">
        <f aca="false">'13_Week'!$D$8</f>
        <v>0</v>
      </c>
      <c r="G23" s="45" t="n">
        <f aca="false">IF(ISNUMBER(F23),F23-E23,"n/a")</f>
        <v>0</v>
      </c>
      <c r="H23" s="46" t="n">
        <v>0.005000001</v>
      </c>
      <c r="I23" s="47" t="str">
        <f aca="false">IF(ISNUMBER(F23),IF(ABS(F23-E23)&lt;=H23,"PASS","FAIL"),"FAIL")</f>
        <v>PASS</v>
      </c>
      <c r="J23" s="47" t="str">
        <f aca="false">IF(ISNUMBER(F23),IF(ROUND(F23,2)=ROUND(E23,2),"same","differs"),"n/a")</f>
        <v>same</v>
      </c>
    </row>
    <row r="24" customFormat="false" ht="15" hidden="false" customHeight="false" outlineLevel="0" collapsed="false">
      <c r="B24" s="42" t="n">
        <v>17</v>
      </c>
      <c r="C24" s="8" t="s">
        <v>418</v>
      </c>
      <c r="D24" s="8" t="s">
        <v>435</v>
      </c>
      <c r="E24" s="43" t="n">
        <v>0</v>
      </c>
      <c r="F24" s="44" t="n">
        <f aca="false">'13_Week'!$E$8</f>
        <v>0</v>
      </c>
      <c r="G24" s="45" t="n">
        <f aca="false">IF(ISNUMBER(F24),F24-E24,"n/a")</f>
        <v>0</v>
      </c>
      <c r="H24" s="46" t="n">
        <v>0.005000001</v>
      </c>
      <c r="I24" s="47" t="str">
        <f aca="false">IF(ISNUMBER(F24),IF(ABS(F24-E24)&lt;=H24,"PASS","FAIL"),"FAIL")</f>
        <v>PASS</v>
      </c>
      <c r="J24" s="47" t="str">
        <f aca="false">IF(ISNUMBER(F24),IF(ROUND(F24,2)=ROUND(E24,2),"same","differs"),"n/a")</f>
        <v>same</v>
      </c>
    </row>
    <row r="25" customFormat="false" ht="15" hidden="false" customHeight="false" outlineLevel="0" collapsed="false">
      <c r="B25" s="42" t="n">
        <v>18</v>
      </c>
      <c r="C25" s="8" t="s">
        <v>418</v>
      </c>
      <c r="D25" s="8" t="s">
        <v>436</v>
      </c>
      <c r="E25" s="43" t="n">
        <v>0</v>
      </c>
      <c r="F25" s="44" t="n">
        <f aca="false">'13_Week'!$F$8</f>
        <v>0</v>
      </c>
      <c r="G25" s="45" t="n">
        <f aca="false">IF(ISNUMBER(F25),F25-E25,"n/a")</f>
        <v>0</v>
      </c>
      <c r="H25" s="46" t="n">
        <v>0.005000001</v>
      </c>
      <c r="I25" s="47" t="str">
        <f aca="false">IF(ISNUMBER(F25),IF(ABS(F25-E25)&lt;=H25,"PASS","FAIL"),"FAIL")</f>
        <v>PASS</v>
      </c>
      <c r="J25" s="47" t="str">
        <f aca="false">IF(ISNUMBER(F25),IF(ROUND(F25,2)=ROUND(E25,2),"same","differs"),"n/a")</f>
        <v>same</v>
      </c>
    </row>
    <row r="26" customFormat="false" ht="15" hidden="false" customHeight="false" outlineLevel="0" collapsed="false">
      <c r="B26" s="42" t="n">
        <v>19</v>
      </c>
      <c r="C26" s="8" t="s">
        <v>418</v>
      </c>
      <c r="D26" s="8" t="s">
        <v>437</v>
      </c>
      <c r="E26" s="43" t="n">
        <v>0</v>
      </c>
      <c r="F26" s="44" t="n">
        <f aca="false">'13_Week'!$G$8</f>
        <v>0</v>
      </c>
      <c r="G26" s="45" t="n">
        <f aca="false">IF(ISNUMBER(F26),F26-E26,"n/a")</f>
        <v>0</v>
      </c>
      <c r="H26" s="46" t="n">
        <v>0.005000001</v>
      </c>
      <c r="I26" s="47" t="str">
        <f aca="false">IF(ISNUMBER(F26),IF(ABS(F26-E26)&lt;=H26,"PASS","FAIL"),"FAIL")</f>
        <v>PASS</v>
      </c>
      <c r="J26" s="47" t="str">
        <f aca="false">IF(ISNUMBER(F26),IF(ROUND(F26,2)=ROUND(E26,2),"same","differs"),"n/a")</f>
        <v>same</v>
      </c>
    </row>
    <row r="27" customFormat="false" ht="15" hidden="false" customHeight="false" outlineLevel="0" collapsed="false">
      <c r="B27" s="42" t="n">
        <v>20</v>
      </c>
      <c r="C27" s="8" t="s">
        <v>418</v>
      </c>
      <c r="D27" s="8" t="s">
        <v>438</v>
      </c>
      <c r="E27" s="43" t="n">
        <v>0</v>
      </c>
      <c r="F27" s="44" t="n">
        <f aca="false">'13_Week'!$H$8</f>
        <v>0</v>
      </c>
      <c r="G27" s="45" t="n">
        <f aca="false">IF(ISNUMBER(F27),F27-E27,"n/a")</f>
        <v>0</v>
      </c>
      <c r="H27" s="46" t="n">
        <v>0.005000001</v>
      </c>
      <c r="I27" s="47" t="str">
        <f aca="false">IF(ISNUMBER(F27),IF(ABS(F27-E27)&lt;=H27,"PASS","FAIL"),"FAIL")</f>
        <v>PASS</v>
      </c>
      <c r="J27" s="47" t="str">
        <f aca="false">IF(ISNUMBER(F27),IF(ROUND(F27,2)=ROUND(E27,2),"same","differs"),"n/a")</f>
        <v>same</v>
      </c>
    </row>
    <row r="28" customFormat="false" ht="15" hidden="false" customHeight="false" outlineLevel="0" collapsed="false">
      <c r="B28" s="42" t="n">
        <v>21</v>
      </c>
      <c r="C28" s="8" t="s">
        <v>418</v>
      </c>
      <c r="D28" s="8" t="s">
        <v>439</v>
      </c>
      <c r="E28" s="43" t="n">
        <v>0</v>
      </c>
      <c r="F28" s="44" t="n">
        <f aca="false">'13_Week'!$I$8</f>
        <v>0</v>
      </c>
      <c r="G28" s="45" t="n">
        <f aca="false">IF(ISNUMBER(F28),F28-E28,"n/a")</f>
        <v>0</v>
      </c>
      <c r="H28" s="46" t="n">
        <v>0.005000001</v>
      </c>
      <c r="I28" s="47" t="str">
        <f aca="false">IF(ISNUMBER(F28),IF(ABS(F28-E28)&lt;=H28,"PASS","FAIL"),"FAIL")</f>
        <v>PASS</v>
      </c>
      <c r="J28" s="47" t="str">
        <f aca="false">IF(ISNUMBER(F28),IF(ROUND(F28,2)=ROUND(E28,2),"same","differs"),"n/a")</f>
        <v>same</v>
      </c>
    </row>
    <row r="29" customFormat="false" ht="15" hidden="false" customHeight="false" outlineLevel="0" collapsed="false">
      <c r="B29" s="42" t="n">
        <v>22</v>
      </c>
      <c r="C29" s="8" t="s">
        <v>418</v>
      </c>
      <c r="D29" s="8" t="s">
        <v>440</v>
      </c>
      <c r="E29" s="43" t="n">
        <v>0</v>
      </c>
      <c r="F29" s="44" t="n">
        <f aca="false">'13_Week'!$J$8</f>
        <v>0</v>
      </c>
      <c r="G29" s="45" t="n">
        <f aca="false">IF(ISNUMBER(F29),F29-E29,"n/a")</f>
        <v>0</v>
      </c>
      <c r="H29" s="46" t="n">
        <v>0.005000001</v>
      </c>
      <c r="I29" s="47" t="str">
        <f aca="false">IF(ISNUMBER(F29),IF(ABS(F29-E29)&lt;=H29,"PASS","FAIL"),"FAIL")</f>
        <v>PASS</v>
      </c>
      <c r="J29" s="47" t="str">
        <f aca="false">IF(ISNUMBER(F29),IF(ROUND(F29,2)=ROUND(E29,2),"same","differs"),"n/a")</f>
        <v>same</v>
      </c>
    </row>
    <row r="30" customFormat="false" ht="15" hidden="false" customHeight="false" outlineLevel="0" collapsed="false">
      <c r="B30" s="42" t="n">
        <v>23</v>
      </c>
      <c r="C30" s="8" t="s">
        <v>418</v>
      </c>
      <c r="D30" s="8" t="s">
        <v>441</v>
      </c>
      <c r="E30" s="43" t="n">
        <v>0</v>
      </c>
      <c r="F30" s="44" t="n">
        <f aca="false">'13_Week'!$K$8</f>
        <v>0</v>
      </c>
      <c r="G30" s="45" t="n">
        <f aca="false">IF(ISNUMBER(F30),F30-E30,"n/a")</f>
        <v>0</v>
      </c>
      <c r="H30" s="46" t="n">
        <v>0.005000001</v>
      </c>
      <c r="I30" s="47" t="str">
        <f aca="false">IF(ISNUMBER(F30),IF(ABS(F30-E30)&lt;=H30,"PASS","FAIL"),"FAIL")</f>
        <v>PASS</v>
      </c>
      <c r="J30" s="47" t="str">
        <f aca="false">IF(ISNUMBER(F30),IF(ROUND(F30,2)=ROUND(E30,2),"same","differs"),"n/a")</f>
        <v>same</v>
      </c>
    </row>
    <row r="31" customFormat="false" ht="15" hidden="false" customHeight="false" outlineLevel="0" collapsed="false">
      <c r="B31" s="42" t="n">
        <v>24</v>
      </c>
      <c r="C31" s="8" t="s">
        <v>418</v>
      </c>
      <c r="D31" s="8" t="s">
        <v>442</v>
      </c>
      <c r="E31" s="43" t="n">
        <v>1.2</v>
      </c>
      <c r="F31" s="44" t="n">
        <f aca="false">'13_Week'!$L$8</f>
        <v>1.2</v>
      </c>
      <c r="G31" s="45" t="n">
        <f aca="false">IF(ISNUMBER(F31),F31-E31,"n/a")</f>
        <v>0</v>
      </c>
      <c r="H31" s="46" t="n">
        <v>0.005000001</v>
      </c>
      <c r="I31" s="47" t="str">
        <f aca="false">IF(ISNUMBER(F31),IF(ABS(F31-E31)&lt;=H31,"PASS","FAIL"),"FAIL")</f>
        <v>PASS</v>
      </c>
      <c r="J31" s="47" t="str">
        <f aca="false">IF(ISNUMBER(F31),IF(ROUND(F31,2)=ROUND(E31,2),"same","differs"),"n/a")</f>
        <v>same</v>
      </c>
    </row>
    <row r="32" customFormat="false" ht="15" hidden="false" customHeight="false" outlineLevel="0" collapsed="false">
      <c r="B32" s="42" t="n">
        <v>25</v>
      </c>
      <c r="C32" s="8" t="s">
        <v>418</v>
      </c>
      <c r="D32" s="8" t="s">
        <v>443</v>
      </c>
      <c r="E32" s="43" t="n">
        <v>0</v>
      </c>
      <c r="F32" s="44" t="n">
        <f aca="false">'13_Week'!$M$8</f>
        <v>0</v>
      </c>
      <c r="G32" s="45" t="n">
        <f aca="false">IF(ISNUMBER(F32),F32-E32,"n/a")</f>
        <v>0</v>
      </c>
      <c r="H32" s="46" t="n">
        <v>0.005000001</v>
      </c>
      <c r="I32" s="47" t="str">
        <f aca="false">IF(ISNUMBER(F32),IF(ABS(F32-E32)&lt;=H32,"PASS","FAIL"),"FAIL")</f>
        <v>PASS</v>
      </c>
      <c r="J32" s="47" t="str">
        <f aca="false">IF(ISNUMBER(F32),IF(ROUND(F32,2)=ROUND(E32,2),"same","differs"),"n/a")</f>
        <v>same</v>
      </c>
    </row>
    <row r="33" customFormat="false" ht="15" hidden="false" customHeight="false" outlineLevel="0" collapsed="false">
      <c r="B33" s="42" t="n">
        <v>26</v>
      </c>
      <c r="C33" s="8" t="s">
        <v>418</v>
      </c>
      <c r="D33" s="8" t="s">
        <v>444</v>
      </c>
      <c r="E33" s="43" t="n">
        <v>0</v>
      </c>
      <c r="F33" s="44" t="n">
        <f aca="false">'13_Week'!$N$8</f>
        <v>0</v>
      </c>
      <c r="G33" s="45" t="n">
        <f aca="false">IF(ISNUMBER(F33),F33-E33,"n/a")</f>
        <v>0</v>
      </c>
      <c r="H33" s="46" t="n">
        <v>0.005000001</v>
      </c>
      <c r="I33" s="47" t="str">
        <f aca="false">IF(ISNUMBER(F33),IF(ABS(F33-E33)&lt;=H33,"PASS","FAIL"),"FAIL")</f>
        <v>PASS</v>
      </c>
      <c r="J33" s="47" t="str">
        <f aca="false">IF(ISNUMBER(F33),IF(ROUND(F33,2)=ROUND(E33,2),"same","differs"),"n/a")</f>
        <v>same</v>
      </c>
    </row>
    <row r="34" customFormat="false" ht="15" hidden="false" customHeight="false" outlineLevel="0" collapsed="false">
      <c r="B34" s="42" t="n">
        <v>27</v>
      </c>
      <c r="C34" s="8" t="s">
        <v>418</v>
      </c>
      <c r="D34" s="8" t="s">
        <v>445</v>
      </c>
      <c r="E34" s="43" t="n">
        <v>0</v>
      </c>
      <c r="F34" s="44" t="n">
        <f aca="false">'13_Week'!$O$8</f>
        <v>0</v>
      </c>
      <c r="G34" s="45" t="n">
        <f aca="false">IF(ISNUMBER(F34),F34-E34,"n/a")</f>
        <v>0</v>
      </c>
      <c r="H34" s="46" t="n">
        <v>0.005000001</v>
      </c>
      <c r="I34" s="47" t="str">
        <f aca="false">IF(ISNUMBER(F34),IF(ABS(F34-E34)&lt;=H34,"PASS","FAIL"),"FAIL")</f>
        <v>PASS</v>
      </c>
      <c r="J34" s="47" t="str">
        <f aca="false">IF(ISNUMBER(F34),IF(ROUND(F34,2)=ROUND(E34,2),"same","differs"),"n/a")</f>
        <v>same</v>
      </c>
    </row>
    <row r="35" customFormat="false" ht="15" hidden="false" customHeight="false" outlineLevel="0" collapsed="false">
      <c r="B35" s="42" t="n">
        <v>28</v>
      </c>
      <c r="C35" s="8" t="s">
        <v>418</v>
      </c>
      <c r="D35" s="8" t="s">
        <v>446</v>
      </c>
      <c r="E35" s="43" t="n">
        <v>1.2</v>
      </c>
      <c r="F35" s="44" t="n">
        <f aca="false">'13_Week'!$P$8</f>
        <v>1.2</v>
      </c>
      <c r="G35" s="45" t="n">
        <f aca="false">IF(ISNUMBER(F35),F35-E35,"n/a")</f>
        <v>0</v>
      </c>
      <c r="H35" s="46" t="n">
        <v>0.005000001</v>
      </c>
      <c r="I35" s="47" t="str">
        <f aca="false">IF(ISNUMBER(F35),IF(ABS(F35-E35)&lt;=H35,"PASS","FAIL"),"FAIL")</f>
        <v>PASS</v>
      </c>
      <c r="J35" s="47" t="str">
        <f aca="false">IF(ISNUMBER(F35),IF(ROUND(F35,2)=ROUND(E35,2),"same","differs"),"n/a")</f>
        <v>same</v>
      </c>
    </row>
    <row r="36" customFormat="false" ht="15" hidden="false" customHeight="false" outlineLevel="0" collapsed="false">
      <c r="B36" s="42" t="n">
        <v>29</v>
      </c>
      <c r="C36" s="8" t="s">
        <v>418</v>
      </c>
      <c r="D36" s="8" t="s">
        <v>447</v>
      </c>
      <c r="E36" s="43" t="n">
        <v>10.9</v>
      </c>
      <c r="F36" s="44" t="n">
        <f aca="false">'13_Week'!$C$11</f>
        <v>10.9</v>
      </c>
      <c r="G36" s="45" t="n">
        <f aca="false">IF(ISNUMBER(F36),F36-E36,"n/a")</f>
        <v>0</v>
      </c>
      <c r="H36" s="46" t="n">
        <v>0.005000001</v>
      </c>
      <c r="I36" s="47" t="str">
        <f aca="false">IF(ISNUMBER(F36),IF(ABS(F36-E36)&lt;=H36,"PASS","FAIL"),"FAIL")</f>
        <v>PASS</v>
      </c>
      <c r="J36" s="47" t="str">
        <f aca="false">IF(ISNUMBER(F36),IF(ROUND(F36,2)=ROUND(E36,2),"same","differs"),"n/a")</f>
        <v>same</v>
      </c>
    </row>
    <row r="37" customFormat="false" ht="15" hidden="false" customHeight="false" outlineLevel="0" collapsed="false">
      <c r="B37" s="42" t="n">
        <v>30</v>
      </c>
      <c r="C37" s="8" t="s">
        <v>418</v>
      </c>
      <c r="D37" s="8" t="s">
        <v>448</v>
      </c>
      <c r="E37" s="43" t="n">
        <v>10.9</v>
      </c>
      <c r="F37" s="44" t="n">
        <f aca="false">'13_Week'!$D$11</f>
        <v>10.9</v>
      </c>
      <c r="G37" s="45" t="n">
        <f aca="false">IF(ISNUMBER(F37),F37-E37,"n/a")</f>
        <v>0</v>
      </c>
      <c r="H37" s="46" t="n">
        <v>0.005000001</v>
      </c>
      <c r="I37" s="47" t="str">
        <f aca="false">IF(ISNUMBER(F37),IF(ABS(F37-E37)&lt;=H37,"PASS","FAIL"),"FAIL")</f>
        <v>PASS</v>
      </c>
      <c r="J37" s="47" t="str">
        <f aca="false">IF(ISNUMBER(F37),IF(ROUND(F37,2)=ROUND(E37,2),"same","differs"),"n/a")</f>
        <v>same</v>
      </c>
    </row>
    <row r="38" customFormat="false" ht="15" hidden="false" customHeight="false" outlineLevel="0" collapsed="false">
      <c r="B38" s="42" t="n">
        <v>31</v>
      </c>
      <c r="C38" s="8" t="s">
        <v>418</v>
      </c>
      <c r="D38" s="8" t="s">
        <v>449</v>
      </c>
      <c r="E38" s="43" t="n">
        <v>10.9</v>
      </c>
      <c r="F38" s="44" t="n">
        <f aca="false">'13_Week'!$E$11</f>
        <v>10.9</v>
      </c>
      <c r="G38" s="45" t="n">
        <f aca="false">IF(ISNUMBER(F38),F38-E38,"n/a")</f>
        <v>0</v>
      </c>
      <c r="H38" s="46" t="n">
        <v>0.005000001</v>
      </c>
      <c r="I38" s="47" t="str">
        <f aca="false">IF(ISNUMBER(F38),IF(ABS(F38-E38)&lt;=H38,"PASS","FAIL"),"FAIL")</f>
        <v>PASS</v>
      </c>
      <c r="J38" s="47" t="str">
        <f aca="false">IF(ISNUMBER(F38),IF(ROUND(F38,2)=ROUND(E38,2),"same","differs"),"n/a")</f>
        <v>same</v>
      </c>
    </row>
    <row r="39" customFormat="false" ht="15" hidden="false" customHeight="false" outlineLevel="0" collapsed="false">
      <c r="B39" s="42" t="n">
        <v>32</v>
      </c>
      <c r="C39" s="8" t="s">
        <v>418</v>
      </c>
      <c r="D39" s="8" t="s">
        <v>450</v>
      </c>
      <c r="E39" s="43" t="n">
        <v>10.9</v>
      </c>
      <c r="F39" s="44" t="n">
        <f aca="false">'13_Week'!$F$11</f>
        <v>10.9</v>
      </c>
      <c r="G39" s="45" t="n">
        <f aca="false">IF(ISNUMBER(F39),F39-E39,"n/a")</f>
        <v>0</v>
      </c>
      <c r="H39" s="46" t="n">
        <v>0.005000001</v>
      </c>
      <c r="I39" s="47" t="str">
        <f aca="false">IF(ISNUMBER(F39),IF(ABS(F39-E39)&lt;=H39,"PASS","FAIL"),"FAIL")</f>
        <v>PASS</v>
      </c>
      <c r="J39" s="47" t="str">
        <f aca="false">IF(ISNUMBER(F39),IF(ROUND(F39,2)=ROUND(E39,2),"same","differs"),"n/a")</f>
        <v>same</v>
      </c>
    </row>
    <row r="40" customFormat="false" ht="15" hidden="false" customHeight="false" outlineLevel="0" collapsed="false">
      <c r="B40" s="42" t="n">
        <v>33</v>
      </c>
      <c r="C40" s="8" t="s">
        <v>418</v>
      </c>
      <c r="D40" s="8" t="s">
        <v>451</v>
      </c>
      <c r="E40" s="43" t="n">
        <v>10.9</v>
      </c>
      <c r="F40" s="44" t="n">
        <f aca="false">'13_Week'!$G$11</f>
        <v>10.9</v>
      </c>
      <c r="G40" s="45" t="n">
        <f aca="false">IF(ISNUMBER(F40),F40-E40,"n/a")</f>
        <v>0</v>
      </c>
      <c r="H40" s="46" t="n">
        <v>0.005000001</v>
      </c>
      <c r="I40" s="47" t="str">
        <f aca="false">IF(ISNUMBER(F40),IF(ABS(F40-E40)&lt;=H40,"PASS","FAIL"),"FAIL")</f>
        <v>PASS</v>
      </c>
      <c r="J40" s="47" t="str">
        <f aca="false">IF(ISNUMBER(F40),IF(ROUND(F40,2)=ROUND(E40,2),"same","differs"),"n/a")</f>
        <v>same</v>
      </c>
    </row>
    <row r="41" customFormat="false" ht="15" hidden="false" customHeight="false" outlineLevel="0" collapsed="false">
      <c r="B41" s="42" t="n">
        <v>34</v>
      </c>
      <c r="C41" s="8" t="s">
        <v>418</v>
      </c>
      <c r="D41" s="8" t="s">
        <v>452</v>
      </c>
      <c r="E41" s="43" t="n">
        <v>10.9</v>
      </c>
      <c r="F41" s="44" t="n">
        <f aca="false">'13_Week'!$H$11</f>
        <v>10.9</v>
      </c>
      <c r="G41" s="45" t="n">
        <f aca="false">IF(ISNUMBER(F41),F41-E41,"n/a")</f>
        <v>0</v>
      </c>
      <c r="H41" s="46" t="n">
        <v>0.005000001</v>
      </c>
      <c r="I41" s="47" t="str">
        <f aca="false">IF(ISNUMBER(F41),IF(ABS(F41-E41)&lt;=H41,"PASS","FAIL"),"FAIL")</f>
        <v>PASS</v>
      </c>
      <c r="J41" s="47" t="str">
        <f aca="false">IF(ISNUMBER(F41),IF(ROUND(F41,2)=ROUND(E41,2),"same","differs"),"n/a")</f>
        <v>same</v>
      </c>
    </row>
    <row r="42" customFormat="false" ht="15" hidden="false" customHeight="false" outlineLevel="0" collapsed="false">
      <c r="B42" s="42" t="n">
        <v>35</v>
      </c>
      <c r="C42" s="8" t="s">
        <v>418</v>
      </c>
      <c r="D42" s="8" t="s">
        <v>453</v>
      </c>
      <c r="E42" s="43" t="n">
        <v>10.9</v>
      </c>
      <c r="F42" s="44" t="n">
        <f aca="false">'13_Week'!$I$11</f>
        <v>10.9</v>
      </c>
      <c r="G42" s="45" t="n">
        <f aca="false">IF(ISNUMBER(F42),F42-E42,"n/a")</f>
        <v>0</v>
      </c>
      <c r="H42" s="46" t="n">
        <v>0.005000001</v>
      </c>
      <c r="I42" s="47" t="str">
        <f aca="false">IF(ISNUMBER(F42),IF(ABS(F42-E42)&lt;=H42,"PASS","FAIL"),"FAIL")</f>
        <v>PASS</v>
      </c>
      <c r="J42" s="47" t="str">
        <f aca="false">IF(ISNUMBER(F42),IF(ROUND(F42,2)=ROUND(E42,2),"same","differs"),"n/a")</f>
        <v>same</v>
      </c>
    </row>
    <row r="43" customFormat="false" ht="15" hidden="false" customHeight="false" outlineLevel="0" collapsed="false">
      <c r="B43" s="42" t="n">
        <v>36</v>
      </c>
      <c r="C43" s="8" t="s">
        <v>418</v>
      </c>
      <c r="D43" s="8" t="s">
        <v>454</v>
      </c>
      <c r="E43" s="43" t="n">
        <v>10.9</v>
      </c>
      <c r="F43" s="44" t="n">
        <f aca="false">'13_Week'!$J$11</f>
        <v>10.9</v>
      </c>
      <c r="G43" s="45" t="n">
        <f aca="false">IF(ISNUMBER(F43),F43-E43,"n/a")</f>
        <v>0</v>
      </c>
      <c r="H43" s="46" t="n">
        <v>0.005000001</v>
      </c>
      <c r="I43" s="47" t="str">
        <f aca="false">IF(ISNUMBER(F43),IF(ABS(F43-E43)&lt;=H43,"PASS","FAIL"),"FAIL")</f>
        <v>PASS</v>
      </c>
      <c r="J43" s="47" t="str">
        <f aca="false">IF(ISNUMBER(F43),IF(ROUND(F43,2)=ROUND(E43,2),"same","differs"),"n/a")</f>
        <v>same</v>
      </c>
    </row>
    <row r="44" customFormat="false" ht="15" hidden="false" customHeight="false" outlineLevel="0" collapsed="false">
      <c r="B44" s="42" t="n">
        <v>37</v>
      </c>
      <c r="C44" s="8" t="s">
        <v>418</v>
      </c>
      <c r="D44" s="8" t="s">
        <v>455</v>
      </c>
      <c r="E44" s="43" t="n">
        <v>10.9</v>
      </c>
      <c r="F44" s="44" t="n">
        <f aca="false">'13_Week'!$K$11</f>
        <v>10.9</v>
      </c>
      <c r="G44" s="45" t="n">
        <f aca="false">IF(ISNUMBER(F44),F44-E44,"n/a")</f>
        <v>0</v>
      </c>
      <c r="H44" s="46" t="n">
        <v>0.005000001</v>
      </c>
      <c r="I44" s="47" t="str">
        <f aca="false">IF(ISNUMBER(F44),IF(ABS(F44-E44)&lt;=H44,"PASS","FAIL"),"FAIL")</f>
        <v>PASS</v>
      </c>
      <c r="J44" s="47" t="str">
        <f aca="false">IF(ISNUMBER(F44),IF(ROUND(F44,2)=ROUND(E44,2),"same","differs"),"n/a")</f>
        <v>same</v>
      </c>
    </row>
    <row r="45" customFormat="false" ht="15" hidden="false" customHeight="false" outlineLevel="0" collapsed="false">
      <c r="B45" s="42" t="n">
        <v>38</v>
      </c>
      <c r="C45" s="8" t="s">
        <v>418</v>
      </c>
      <c r="D45" s="8" t="s">
        <v>456</v>
      </c>
      <c r="E45" s="43" t="n">
        <v>10.9</v>
      </c>
      <c r="F45" s="44" t="n">
        <f aca="false">'13_Week'!$L$11</f>
        <v>10.9</v>
      </c>
      <c r="G45" s="45" t="n">
        <f aca="false">IF(ISNUMBER(F45),F45-E45,"n/a")</f>
        <v>0</v>
      </c>
      <c r="H45" s="46" t="n">
        <v>0.005000001</v>
      </c>
      <c r="I45" s="47" t="str">
        <f aca="false">IF(ISNUMBER(F45),IF(ABS(F45-E45)&lt;=H45,"PASS","FAIL"),"FAIL")</f>
        <v>PASS</v>
      </c>
      <c r="J45" s="47" t="str">
        <f aca="false">IF(ISNUMBER(F45),IF(ROUND(F45,2)=ROUND(E45,2),"same","differs"),"n/a")</f>
        <v>same</v>
      </c>
    </row>
    <row r="46" customFormat="false" ht="15" hidden="false" customHeight="false" outlineLevel="0" collapsed="false">
      <c r="B46" s="42" t="n">
        <v>39</v>
      </c>
      <c r="C46" s="8" t="s">
        <v>418</v>
      </c>
      <c r="D46" s="8" t="s">
        <v>457</v>
      </c>
      <c r="E46" s="43" t="n">
        <v>10.9</v>
      </c>
      <c r="F46" s="44" t="n">
        <f aca="false">'13_Week'!$M$11</f>
        <v>10.9</v>
      </c>
      <c r="G46" s="45" t="n">
        <f aca="false">IF(ISNUMBER(F46),F46-E46,"n/a")</f>
        <v>0</v>
      </c>
      <c r="H46" s="46" t="n">
        <v>0.005000001</v>
      </c>
      <c r="I46" s="47" t="str">
        <f aca="false">IF(ISNUMBER(F46),IF(ABS(F46-E46)&lt;=H46,"PASS","FAIL"),"FAIL")</f>
        <v>PASS</v>
      </c>
      <c r="J46" s="47" t="str">
        <f aca="false">IF(ISNUMBER(F46),IF(ROUND(F46,2)=ROUND(E46,2),"same","differs"),"n/a")</f>
        <v>same</v>
      </c>
    </row>
    <row r="47" customFormat="false" ht="15" hidden="false" customHeight="false" outlineLevel="0" collapsed="false">
      <c r="B47" s="42" t="n">
        <v>40</v>
      </c>
      <c r="C47" s="8" t="s">
        <v>418</v>
      </c>
      <c r="D47" s="8" t="s">
        <v>458</v>
      </c>
      <c r="E47" s="43" t="n">
        <v>10.9</v>
      </c>
      <c r="F47" s="44" t="n">
        <f aca="false">'13_Week'!$N$11</f>
        <v>10.9</v>
      </c>
      <c r="G47" s="45" t="n">
        <f aca="false">IF(ISNUMBER(F47),F47-E47,"n/a")</f>
        <v>0</v>
      </c>
      <c r="H47" s="46" t="n">
        <v>0.005000001</v>
      </c>
      <c r="I47" s="47" t="str">
        <f aca="false">IF(ISNUMBER(F47),IF(ABS(F47-E47)&lt;=H47,"PASS","FAIL"),"FAIL")</f>
        <v>PASS</v>
      </c>
      <c r="J47" s="47" t="str">
        <f aca="false">IF(ISNUMBER(F47),IF(ROUND(F47,2)=ROUND(E47,2),"same","differs"),"n/a")</f>
        <v>same</v>
      </c>
    </row>
    <row r="48" customFormat="false" ht="15" hidden="false" customHeight="false" outlineLevel="0" collapsed="false">
      <c r="B48" s="42" t="n">
        <v>41</v>
      </c>
      <c r="C48" s="8" t="s">
        <v>418</v>
      </c>
      <c r="D48" s="8" t="s">
        <v>459</v>
      </c>
      <c r="E48" s="43" t="n">
        <v>10.9</v>
      </c>
      <c r="F48" s="44" t="n">
        <f aca="false">'13_Week'!$O$11</f>
        <v>10.9</v>
      </c>
      <c r="G48" s="45" t="n">
        <f aca="false">IF(ISNUMBER(F48),F48-E48,"n/a")</f>
        <v>0</v>
      </c>
      <c r="H48" s="46" t="n">
        <v>0.005000001</v>
      </c>
      <c r="I48" s="47" t="str">
        <f aca="false">IF(ISNUMBER(F48),IF(ABS(F48-E48)&lt;=H48,"PASS","FAIL"),"FAIL")</f>
        <v>PASS</v>
      </c>
      <c r="J48" s="47" t="str">
        <f aca="false">IF(ISNUMBER(F48),IF(ROUND(F48,2)=ROUND(E48,2),"same","differs"),"n/a")</f>
        <v>same</v>
      </c>
    </row>
    <row r="49" customFormat="false" ht="15" hidden="false" customHeight="false" outlineLevel="0" collapsed="false">
      <c r="B49" s="42" t="n">
        <v>42</v>
      </c>
      <c r="C49" s="8" t="s">
        <v>418</v>
      </c>
      <c r="D49" s="8" t="s">
        <v>460</v>
      </c>
      <c r="E49" s="43" t="n">
        <v>141.7</v>
      </c>
      <c r="F49" s="44" t="n">
        <f aca="false">'13_Week'!$P$11</f>
        <v>141.7</v>
      </c>
      <c r="G49" s="45" t="n">
        <f aca="false">IF(ISNUMBER(F49),F49-E49,"n/a")</f>
        <v>0</v>
      </c>
      <c r="H49" s="46" t="n">
        <v>0.005000001</v>
      </c>
      <c r="I49" s="47" t="str">
        <f aca="false">IF(ISNUMBER(F49),IF(ABS(F49-E49)&lt;=H49,"PASS","FAIL"),"FAIL")</f>
        <v>PASS</v>
      </c>
      <c r="J49" s="47" t="str">
        <f aca="false">IF(ISNUMBER(F49),IF(ROUND(F49,2)=ROUND(E49,2),"same","differs"),"n/a")</f>
        <v>same</v>
      </c>
    </row>
    <row r="50" customFormat="false" ht="15" hidden="false" customHeight="false" outlineLevel="0" collapsed="false">
      <c r="B50" s="42" t="n">
        <v>43</v>
      </c>
      <c r="C50" s="8" t="s">
        <v>418</v>
      </c>
      <c r="D50" s="8" t="s">
        <v>461</v>
      </c>
      <c r="E50" s="43" t="n">
        <v>0</v>
      </c>
      <c r="F50" s="44" t="n">
        <f aca="false">'13_Week'!$C$12</f>
        <v>0</v>
      </c>
      <c r="G50" s="45" t="n">
        <f aca="false">IF(ISNUMBER(F50),F50-E50,"n/a")</f>
        <v>0</v>
      </c>
      <c r="H50" s="46" t="n">
        <v>0.005000001</v>
      </c>
      <c r="I50" s="47" t="str">
        <f aca="false">IF(ISNUMBER(F50),IF(ABS(F50-E50)&lt;=H50,"PASS","FAIL"),"FAIL")</f>
        <v>PASS</v>
      </c>
      <c r="J50" s="47" t="str">
        <f aca="false">IF(ISNUMBER(F50),IF(ROUND(F50,2)=ROUND(E50,2),"same","differs"),"n/a")</f>
        <v>same</v>
      </c>
    </row>
    <row r="51" customFormat="false" ht="15" hidden="false" customHeight="false" outlineLevel="0" collapsed="false">
      <c r="B51" s="42" t="n">
        <v>44</v>
      </c>
      <c r="C51" s="8" t="s">
        <v>418</v>
      </c>
      <c r="D51" s="8" t="s">
        <v>462</v>
      </c>
      <c r="E51" s="43" t="n">
        <v>7.2</v>
      </c>
      <c r="F51" s="44" t="n">
        <f aca="false">'13_Week'!$D$12</f>
        <v>7.2</v>
      </c>
      <c r="G51" s="45" t="n">
        <f aca="false">IF(ISNUMBER(F51),F51-E51,"n/a")</f>
        <v>0</v>
      </c>
      <c r="H51" s="46" t="n">
        <v>0.005000001</v>
      </c>
      <c r="I51" s="47" t="str">
        <f aca="false">IF(ISNUMBER(F51),IF(ABS(F51-E51)&lt;=H51,"PASS","FAIL"),"FAIL")</f>
        <v>PASS</v>
      </c>
      <c r="J51" s="47" t="str">
        <f aca="false">IF(ISNUMBER(F51),IF(ROUND(F51,2)=ROUND(E51,2),"same","differs"),"n/a")</f>
        <v>same</v>
      </c>
    </row>
    <row r="52" customFormat="false" ht="15" hidden="false" customHeight="false" outlineLevel="0" collapsed="false">
      <c r="B52" s="42" t="n">
        <v>45</v>
      </c>
      <c r="C52" s="8" t="s">
        <v>418</v>
      </c>
      <c r="D52" s="8" t="s">
        <v>463</v>
      </c>
      <c r="E52" s="43" t="n">
        <v>0</v>
      </c>
      <c r="F52" s="44" t="n">
        <f aca="false">'13_Week'!$E$12</f>
        <v>0</v>
      </c>
      <c r="G52" s="45" t="n">
        <f aca="false">IF(ISNUMBER(F52),F52-E52,"n/a")</f>
        <v>0</v>
      </c>
      <c r="H52" s="46" t="n">
        <v>0.005000001</v>
      </c>
      <c r="I52" s="47" t="str">
        <f aca="false">IF(ISNUMBER(F52),IF(ABS(F52-E52)&lt;=H52,"PASS","FAIL"),"FAIL")</f>
        <v>PASS</v>
      </c>
      <c r="J52" s="47" t="str">
        <f aca="false">IF(ISNUMBER(F52),IF(ROUND(F52,2)=ROUND(E52,2),"same","differs"),"n/a")</f>
        <v>same</v>
      </c>
    </row>
    <row r="53" customFormat="false" ht="15" hidden="false" customHeight="false" outlineLevel="0" collapsed="false">
      <c r="B53" s="42" t="n">
        <v>46</v>
      </c>
      <c r="C53" s="8" t="s">
        <v>418</v>
      </c>
      <c r="D53" s="8" t="s">
        <v>464</v>
      </c>
      <c r="E53" s="43" t="n">
        <v>7.2</v>
      </c>
      <c r="F53" s="44" t="n">
        <f aca="false">'13_Week'!$F$12</f>
        <v>7.2</v>
      </c>
      <c r="G53" s="45" t="n">
        <f aca="false">IF(ISNUMBER(F53),F53-E53,"n/a")</f>
        <v>0</v>
      </c>
      <c r="H53" s="46" t="n">
        <v>0.005000001</v>
      </c>
      <c r="I53" s="47" t="str">
        <f aca="false">IF(ISNUMBER(F53),IF(ABS(F53-E53)&lt;=H53,"PASS","FAIL"),"FAIL")</f>
        <v>PASS</v>
      </c>
      <c r="J53" s="47" t="str">
        <f aca="false">IF(ISNUMBER(F53),IF(ROUND(F53,2)=ROUND(E53,2),"same","differs"),"n/a")</f>
        <v>same</v>
      </c>
    </row>
    <row r="54" customFormat="false" ht="15" hidden="false" customHeight="false" outlineLevel="0" collapsed="false">
      <c r="B54" s="42" t="n">
        <v>47</v>
      </c>
      <c r="C54" s="8" t="s">
        <v>418</v>
      </c>
      <c r="D54" s="8" t="s">
        <v>465</v>
      </c>
      <c r="E54" s="43" t="n">
        <v>0</v>
      </c>
      <c r="F54" s="44" t="n">
        <f aca="false">'13_Week'!$G$12</f>
        <v>0</v>
      </c>
      <c r="G54" s="45" t="n">
        <f aca="false">IF(ISNUMBER(F54),F54-E54,"n/a")</f>
        <v>0</v>
      </c>
      <c r="H54" s="46" t="n">
        <v>0.005000001</v>
      </c>
      <c r="I54" s="47" t="str">
        <f aca="false">IF(ISNUMBER(F54),IF(ABS(F54-E54)&lt;=H54,"PASS","FAIL"),"FAIL")</f>
        <v>PASS</v>
      </c>
      <c r="J54" s="47" t="str">
        <f aca="false">IF(ISNUMBER(F54),IF(ROUND(F54,2)=ROUND(E54,2),"same","differs"),"n/a")</f>
        <v>same</v>
      </c>
    </row>
    <row r="55" customFormat="false" ht="15" hidden="false" customHeight="false" outlineLevel="0" collapsed="false">
      <c r="B55" s="42" t="n">
        <v>48</v>
      </c>
      <c r="C55" s="8" t="s">
        <v>418</v>
      </c>
      <c r="D55" s="8" t="s">
        <v>466</v>
      </c>
      <c r="E55" s="43" t="n">
        <v>7.2</v>
      </c>
      <c r="F55" s="44" t="n">
        <f aca="false">'13_Week'!$H$12</f>
        <v>7.2</v>
      </c>
      <c r="G55" s="45" t="n">
        <f aca="false">IF(ISNUMBER(F55),F55-E55,"n/a")</f>
        <v>0</v>
      </c>
      <c r="H55" s="46" t="n">
        <v>0.005000001</v>
      </c>
      <c r="I55" s="47" t="str">
        <f aca="false">IF(ISNUMBER(F55),IF(ABS(F55-E55)&lt;=H55,"PASS","FAIL"),"FAIL")</f>
        <v>PASS</v>
      </c>
      <c r="J55" s="47" t="str">
        <f aca="false">IF(ISNUMBER(F55),IF(ROUND(F55,2)=ROUND(E55,2),"same","differs"),"n/a")</f>
        <v>same</v>
      </c>
    </row>
    <row r="56" customFormat="false" ht="15" hidden="false" customHeight="false" outlineLevel="0" collapsed="false">
      <c r="B56" s="42" t="n">
        <v>49</v>
      </c>
      <c r="C56" s="8" t="s">
        <v>418</v>
      </c>
      <c r="D56" s="8" t="s">
        <v>467</v>
      </c>
      <c r="E56" s="43" t="n">
        <v>0</v>
      </c>
      <c r="F56" s="44" t="n">
        <f aca="false">'13_Week'!$I$12</f>
        <v>0</v>
      </c>
      <c r="G56" s="45" t="n">
        <f aca="false">IF(ISNUMBER(F56),F56-E56,"n/a")</f>
        <v>0</v>
      </c>
      <c r="H56" s="46" t="n">
        <v>0.005000001</v>
      </c>
      <c r="I56" s="47" t="str">
        <f aca="false">IF(ISNUMBER(F56),IF(ABS(F56-E56)&lt;=H56,"PASS","FAIL"),"FAIL")</f>
        <v>PASS</v>
      </c>
      <c r="J56" s="47" t="str">
        <f aca="false">IF(ISNUMBER(F56),IF(ROUND(F56,2)=ROUND(E56,2),"same","differs"),"n/a")</f>
        <v>same</v>
      </c>
    </row>
    <row r="57" customFormat="false" ht="15" hidden="false" customHeight="false" outlineLevel="0" collapsed="false">
      <c r="B57" s="42" t="n">
        <v>50</v>
      </c>
      <c r="C57" s="8" t="s">
        <v>418</v>
      </c>
      <c r="D57" s="8" t="s">
        <v>468</v>
      </c>
      <c r="E57" s="43" t="n">
        <v>7.2</v>
      </c>
      <c r="F57" s="44" t="n">
        <f aca="false">'13_Week'!$J$12</f>
        <v>7.2</v>
      </c>
      <c r="G57" s="45" t="n">
        <f aca="false">IF(ISNUMBER(F57),F57-E57,"n/a")</f>
        <v>0</v>
      </c>
      <c r="H57" s="46" t="n">
        <v>0.005000001</v>
      </c>
      <c r="I57" s="47" t="str">
        <f aca="false">IF(ISNUMBER(F57),IF(ABS(F57-E57)&lt;=H57,"PASS","FAIL"),"FAIL")</f>
        <v>PASS</v>
      </c>
      <c r="J57" s="47" t="str">
        <f aca="false">IF(ISNUMBER(F57),IF(ROUND(F57,2)=ROUND(E57,2),"same","differs"),"n/a")</f>
        <v>same</v>
      </c>
    </row>
    <row r="58" customFormat="false" ht="15" hidden="false" customHeight="false" outlineLevel="0" collapsed="false">
      <c r="B58" s="42" t="n">
        <v>51</v>
      </c>
      <c r="C58" s="8" t="s">
        <v>418</v>
      </c>
      <c r="D58" s="8" t="s">
        <v>469</v>
      </c>
      <c r="E58" s="43" t="n">
        <v>0</v>
      </c>
      <c r="F58" s="44" t="n">
        <f aca="false">'13_Week'!$K$12</f>
        <v>0</v>
      </c>
      <c r="G58" s="45" t="n">
        <f aca="false">IF(ISNUMBER(F58),F58-E58,"n/a")</f>
        <v>0</v>
      </c>
      <c r="H58" s="46" t="n">
        <v>0.005000001</v>
      </c>
      <c r="I58" s="47" t="str">
        <f aca="false">IF(ISNUMBER(F58),IF(ABS(F58-E58)&lt;=H58,"PASS","FAIL"),"FAIL")</f>
        <v>PASS</v>
      </c>
      <c r="J58" s="47" t="str">
        <f aca="false">IF(ISNUMBER(F58),IF(ROUND(F58,2)=ROUND(E58,2),"same","differs"),"n/a")</f>
        <v>same</v>
      </c>
    </row>
    <row r="59" customFormat="false" ht="15" hidden="false" customHeight="false" outlineLevel="0" collapsed="false">
      <c r="B59" s="42" t="n">
        <v>52</v>
      </c>
      <c r="C59" s="8" t="s">
        <v>418</v>
      </c>
      <c r="D59" s="8" t="s">
        <v>470</v>
      </c>
      <c r="E59" s="43" t="n">
        <v>7.2</v>
      </c>
      <c r="F59" s="44" t="n">
        <f aca="false">'13_Week'!$L$12</f>
        <v>7.2</v>
      </c>
      <c r="G59" s="45" t="n">
        <f aca="false">IF(ISNUMBER(F59),F59-E59,"n/a")</f>
        <v>0</v>
      </c>
      <c r="H59" s="46" t="n">
        <v>0.005000001</v>
      </c>
      <c r="I59" s="47" t="str">
        <f aca="false">IF(ISNUMBER(F59),IF(ABS(F59-E59)&lt;=H59,"PASS","FAIL"),"FAIL")</f>
        <v>PASS</v>
      </c>
      <c r="J59" s="47" t="str">
        <f aca="false">IF(ISNUMBER(F59),IF(ROUND(F59,2)=ROUND(E59,2),"same","differs"),"n/a")</f>
        <v>same</v>
      </c>
    </row>
    <row r="60" customFormat="false" ht="15" hidden="false" customHeight="false" outlineLevel="0" collapsed="false">
      <c r="B60" s="42" t="n">
        <v>53</v>
      </c>
      <c r="C60" s="8" t="s">
        <v>418</v>
      </c>
      <c r="D60" s="8" t="s">
        <v>471</v>
      </c>
      <c r="E60" s="43" t="n">
        <v>0</v>
      </c>
      <c r="F60" s="44" t="n">
        <f aca="false">'13_Week'!$M$12</f>
        <v>0</v>
      </c>
      <c r="G60" s="45" t="n">
        <f aca="false">IF(ISNUMBER(F60),F60-E60,"n/a")</f>
        <v>0</v>
      </c>
      <c r="H60" s="46" t="n">
        <v>0.005000001</v>
      </c>
      <c r="I60" s="47" t="str">
        <f aca="false">IF(ISNUMBER(F60),IF(ABS(F60-E60)&lt;=H60,"PASS","FAIL"),"FAIL")</f>
        <v>PASS</v>
      </c>
      <c r="J60" s="47" t="str">
        <f aca="false">IF(ISNUMBER(F60),IF(ROUND(F60,2)=ROUND(E60,2),"same","differs"),"n/a")</f>
        <v>same</v>
      </c>
    </row>
    <row r="61" customFormat="false" ht="15" hidden="false" customHeight="false" outlineLevel="0" collapsed="false">
      <c r="B61" s="42" t="n">
        <v>54</v>
      </c>
      <c r="C61" s="8" t="s">
        <v>418</v>
      </c>
      <c r="D61" s="8" t="s">
        <v>472</v>
      </c>
      <c r="E61" s="43" t="n">
        <v>7.2</v>
      </c>
      <c r="F61" s="44" t="n">
        <f aca="false">'13_Week'!$N$12</f>
        <v>7.2</v>
      </c>
      <c r="G61" s="45" t="n">
        <f aca="false">IF(ISNUMBER(F61),F61-E61,"n/a")</f>
        <v>0</v>
      </c>
      <c r="H61" s="46" t="n">
        <v>0.005000001</v>
      </c>
      <c r="I61" s="47" t="str">
        <f aca="false">IF(ISNUMBER(F61),IF(ABS(F61-E61)&lt;=H61,"PASS","FAIL"),"FAIL")</f>
        <v>PASS</v>
      </c>
      <c r="J61" s="47" t="str">
        <f aca="false">IF(ISNUMBER(F61),IF(ROUND(F61,2)=ROUND(E61,2),"same","differs"),"n/a")</f>
        <v>same</v>
      </c>
    </row>
    <row r="62" customFormat="false" ht="15" hidden="false" customHeight="false" outlineLevel="0" collapsed="false">
      <c r="B62" s="42" t="n">
        <v>55</v>
      </c>
      <c r="C62" s="8" t="s">
        <v>418</v>
      </c>
      <c r="D62" s="8" t="s">
        <v>473</v>
      </c>
      <c r="E62" s="43" t="n">
        <v>0</v>
      </c>
      <c r="F62" s="44" t="n">
        <f aca="false">'13_Week'!$O$12</f>
        <v>0</v>
      </c>
      <c r="G62" s="45" t="n">
        <f aca="false">IF(ISNUMBER(F62),F62-E62,"n/a")</f>
        <v>0</v>
      </c>
      <c r="H62" s="46" t="n">
        <v>0.005000001</v>
      </c>
      <c r="I62" s="47" t="str">
        <f aca="false">IF(ISNUMBER(F62),IF(ABS(F62-E62)&lt;=H62,"PASS","FAIL"),"FAIL")</f>
        <v>PASS</v>
      </c>
      <c r="J62" s="47" t="str">
        <f aca="false">IF(ISNUMBER(F62),IF(ROUND(F62,2)=ROUND(E62,2),"same","differs"),"n/a")</f>
        <v>same</v>
      </c>
    </row>
    <row r="63" customFormat="false" ht="15" hidden="false" customHeight="false" outlineLevel="0" collapsed="false">
      <c r="B63" s="42" t="n">
        <v>56</v>
      </c>
      <c r="C63" s="8" t="s">
        <v>418</v>
      </c>
      <c r="D63" s="8" t="s">
        <v>474</v>
      </c>
      <c r="E63" s="43" t="n">
        <v>43.2</v>
      </c>
      <c r="F63" s="44" t="n">
        <f aca="false">'13_Week'!$P$12</f>
        <v>43.2</v>
      </c>
      <c r="G63" s="45" t="n">
        <f aca="false">IF(ISNUMBER(F63),F63-E63,"n/a")</f>
        <v>0</v>
      </c>
      <c r="H63" s="46" t="n">
        <v>0.005000001</v>
      </c>
      <c r="I63" s="47" t="str">
        <f aca="false">IF(ISNUMBER(F63),IF(ABS(F63-E63)&lt;=H63,"PASS","FAIL"),"FAIL")</f>
        <v>PASS</v>
      </c>
      <c r="J63" s="47" t="str">
        <f aca="false">IF(ISNUMBER(F63),IF(ROUND(F63,2)=ROUND(E63,2),"same","differs"),"n/a")</f>
        <v>same</v>
      </c>
    </row>
    <row r="64" customFormat="false" ht="15" hidden="false" customHeight="false" outlineLevel="0" collapsed="false">
      <c r="B64" s="42" t="n">
        <v>57</v>
      </c>
      <c r="C64" s="8" t="s">
        <v>418</v>
      </c>
      <c r="D64" s="8" t="s">
        <v>475</v>
      </c>
      <c r="E64" s="43" t="n">
        <v>1.1</v>
      </c>
      <c r="F64" s="44" t="n">
        <f aca="false">'13_Week'!$C$13</f>
        <v>1.1</v>
      </c>
      <c r="G64" s="45" t="n">
        <f aca="false">IF(ISNUMBER(F64),F64-E64,"n/a")</f>
        <v>0</v>
      </c>
      <c r="H64" s="46" t="n">
        <v>0.005000001</v>
      </c>
      <c r="I64" s="47" t="str">
        <f aca="false">IF(ISNUMBER(F64),IF(ABS(F64-E64)&lt;=H64,"PASS","FAIL"),"FAIL")</f>
        <v>PASS</v>
      </c>
      <c r="J64" s="47" t="str">
        <f aca="false">IF(ISNUMBER(F64),IF(ROUND(F64,2)=ROUND(E64,2),"same","differs"),"n/a")</f>
        <v>same</v>
      </c>
    </row>
    <row r="65" customFormat="false" ht="15" hidden="false" customHeight="false" outlineLevel="0" collapsed="false">
      <c r="B65" s="42" t="n">
        <v>58</v>
      </c>
      <c r="C65" s="8" t="s">
        <v>418</v>
      </c>
      <c r="D65" s="8" t="s">
        <v>476</v>
      </c>
      <c r="E65" s="43" t="n">
        <v>1.1</v>
      </c>
      <c r="F65" s="44" t="n">
        <f aca="false">'13_Week'!$D$13</f>
        <v>1.1</v>
      </c>
      <c r="G65" s="45" t="n">
        <f aca="false">IF(ISNUMBER(F65),F65-E65,"n/a")</f>
        <v>0</v>
      </c>
      <c r="H65" s="46" t="n">
        <v>0.005000001</v>
      </c>
      <c r="I65" s="47" t="str">
        <f aca="false">IF(ISNUMBER(F65),IF(ABS(F65-E65)&lt;=H65,"PASS","FAIL"),"FAIL")</f>
        <v>PASS</v>
      </c>
      <c r="J65" s="47" t="str">
        <f aca="false">IF(ISNUMBER(F65),IF(ROUND(F65,2)=ROUND(E65,2),"same","differs"),"n/a")</f>
        <v>same</v>
      </c>
    </row>
    <row r="66" customFormat="false" ht="15" hidden="false" customHeight="false" outlineLevel="0" collapsed="false">
      <c r="B66" s="42" t="n">
        <v>59</v>
      </c>
      <c r="C66" s="8" t="s">
        <v>418</v>
      </c>
      <c r="D66" s="8" t="s">
        <v>477</v>
      </c>
      <c r="E66" s="43" t="n">
        <v>1.1</v>
      </c>
      <c r="F66" s="44" t="n">
        <f aca="false">'13_Week'!$E$13</f>
        <v>1.1</v>
      </c>
      <c r="G66" s="45" t="n">
        <f aca="false">IF(ISNUMBER(F66),F66-E66,"n/a")</f>
        <v>0</v>
      </c>
      <c r="H66" s="46" t="n">
        <v>0.005000001</v>
      </c>
      <c r="I66" s="47" t="str">
        <f aca="false">IF(ISNUMBER(F66),IF(ABS(F66-E66)&lt;=H66,"PASS","FAIL"),"FAIL")</f>
        <v>PASS</v>
      </c>
      <c r="J66" s="47" t="str">
        <f aca="false">IF(ISNUMBER(F66),IF(ROUND(F66,2)=ROUND(E66,2),"same","differs"),"n/a")</f>
        <v>same</v>
      </c>
    </row>
    <row r="67" customFormat="false" ht="15" hidden="false" customHeight="false" outlineLevel="0" collapsed="false">
      <c r="B67" s="42" t="n">
        <v>60</v>
      </c>
      <c r="C67" s="8" t="s">
        <v>418</v>
      </c>
      <c r="D67" s="8" t="s">
        <v>478</v>
      </c>
      <c r="E67" s="43" t="n">
        <v>1.1</v>
      </c>
      <c r="F67" s="44" t="n">
        <f aca="false">'13_Week'!$F$13</f>
        <v>1.1</v>
      </c>
      <c r="G67" s="45" t="n">
        <f aca="false">IF(ISNUMBER(F67),F67-E67,"n/a")</f>
        <v>0</v>
      </c>
      <c r="H67" s="46" t="n">
        <v>0.005000001</v>
      </c>
      <c r="I67" s="47" t="str">
        <f aca="false">IF(ISNUMBER(F67),IF(ABS(F67-E67)&lt;=H67,"PASS","FAIL"),"FAIL")</f>
        <v>PASS</v>
      </c>
      <c r="J67" s="47" t="str">
        <f aca="false">IF(ISNUMBER(F67),IF(ROUND(F67,2)=ROUND(E67,2),"same","differs"),"n/a")</f>
        <v>same</v>
      </c>
    </row>
    <row r="68" customFormat="false" ht="15" hidden="false" customHeight="false" outlineLevel="0" collapsed="false">
      <c r="B68" s="42" t="n">
        <v>61</v>
      </c>
      <c r="C68" s="8" t="s">
        <v>418</v>
      </c>
      <c r="D68" s="8" t="s">
        <v>479</v>
      </c>
      <c r="E68" s="43" t="n">
        <v>1.1</v>
      </c>
      <c r="F68" s="44" t="n">
        <f aca="false">'13_Week'!$G$13</f>
        <v>1.1</v>
      </c>
      <c r="G68" s="45" t="n">
        <f aca="false">IF(ISNUMBER(F68),F68-E68,"n/a")</f>
        <v>0</v>
      </c>
      <c r="H68" s="46" t="n">
        <v>0.005000001</v>
      </c>
      <c r="I68" s="47" t="str">
        <f aca="false">IF(ISNUMBER(F68),IF(ABS(F68-E68)&lt;=H68,"PASS","FAIL"),"FAIL")</f>
        <v>PASS</v>
      </c>
      <c r="J68" s="47" t="str">
        <f aca="false">IF(ISNUMBER(F68),IF(ROUND(F68,2)=ROUND(E68,2),"same","differs"),"n/a")</f>
        <v>same</v>
      </c>
    </row>
    <row r="69" customFormat="false" ht="15" hidden="false" customHeight="false" outlineLevel="0" collapsed="false">
      <c r="B69" s="42" t="n">
        <v>62</v>
      </c>
      <c r="C69" s="8" t="s">
        <v>418</v>
      </c>
      <c r="D69" s="8" t="s">
        <v>480</v>
      </c>
      <c r="E69" s="43" t="n">
        <v>1.1</v>
      </c>
      <c r="F69" s="44" t="n">
        <f aca="false">'13_Week'!$H$13</f>
        <v>1.1</v>
      </c>
      <c r="G69" s="45" t="n">
        <f aca="false">IF(ISNUMBER(F69),F69-E69,"n/a")</f>
        <v>0</v>
      </c>
      <c r="H69" s="46" t="n">
        <v>0.005000001</v>
      </c>
      <c r="I69" s="47" t="str">
        <f aca="false">IF(ISNUMBER(F69),IF(ABS(F69-E69)&lt;=H69,"PASS","FAIL"),"FAIL")</f>
        <v>PASS</v>
      </c>
      <c r="J69" s="47" t="str">
        <f aca="false">IF(ISNUMBER(F69),IF(ROUND(F69,2)=ROUND(E69,2),"same","differs"),"n/a")</f>
        <v>same</v>
      </c>
    </row>
    <row r="70" customFormat="false" ht="15" hidden="false" customHeight="false" outlineLevel="0" collapsed="false">
      <c r="B70" s="42" t="n">
        <v>63</v>
      </c>
      <c r="C70" s="8" t="s">
        <v>418</v>
      </c>
      <c r="D70" s="8" t="s">
        <v>481</v>
      </c>
      <c r="E70" s="43" t="n">
        <v>1.1</v>
      </c>
      <c r="F70" s="44" t="n">
        <f aca="false">'13_Week'!$I$13</f>
        <v>1.1</v>
      </c>
      <c r="G70" s="45" t="n">
        <f aca="false">IF(ISNUMBER(F70),F70-E70,"n/a")</f>
        <v>0</v>
      </c>
      <c r="H70" s="46" t="n">
        <v>0.005000001</v>
      </c>
      <c r="I70" s="47" t="str">
        <f aca="false">IF(ISNUMBER(F70),IF(ABS(F70-E70)&lt;=H70,"PASS","FAIL"),"FAIL")</f>
        <v>PASS</v>
      </c>
      <c r="J70" s="47" t="str">
        <f aca="false">IF(ISNUMBER(F70),IF(ROUND(F70,2)=ROUND(E70,2),"same","differs"),"n/a")</f>
        <v>same</v>
      </c>
    </row>
    <row r="71" customFormat="false" ht="15" hidden="false" customHeight="false" outlineLevel="0" collapsed="false">
      <c r="B71" s="42" t="n">
        <v>64</v>
      </c>
      <c r="C71" s="8" t="s">
        <v>418</v>
      </c>
      <c r="D71" s="8" t="s">
        <v>482</v>
      </c>
      <c r="E71" s="43" t="n">
        <v>1.1</v>
      </c>
      <c r="F71" s="44" t="n">
        <f aca="false">'13_Week'!$J$13</f>
        <v>1.1</v>
      </c>
      <c r="G71" s="45" t="n">
        <f aca="false">IF(ISNUMBER(F71),F71-E71,"n/a")</f>
        <v>0</v>
      </c>
      <c r="H71" s="46" t="n">
        <v>0.005000001</v>
      </c>
      <c r="I71" s="47" t="str">
        <f aca="false">IF(ISNUMBER(F71),IF(ABS(F71-E71)&lt;=H71,"PASS","FAIL"),"FAIL")</f>
        <v>PASS</v>
      </c>
      <c r="J71" s="47" t="str">
        <f aca="false">IF(ISNUMBER(F71),IF(ROUND(F71,2)=ROUND(E71,2),"same","differs"),"n/a")</f>
        <v>same</v>
      </c>
    </row>
    <row r="72" customFormat="false" ht="15" hidden="false" customHeight="false" outlineLevel="0" collapsed="false">
      <c r="B72" s="42" t="n">
        <v>65</v>
      </c>
      <c r="C72" s="8" t="s">
        <v>418</v>
      </c>
      <c r="D72" s="8" t="s">
        <v>483</v>
      </c>
      <c r="E72" s="43" t="n">
        <v>1.1</v>
      </c>
      <c r="F72" s="44" t="n">
        <f aca="false">'13_Week'!$K$13</f>
        <v>1.1</v>
      </c>
      <c r="G72" s="45" t="n">
        <f aca="false">IF(ISNUMBER(F72),F72-E72,"n/a")</f>
        <v>0</v>
      </c>
      <c r="H72" s="46" t="n">
        <v>0.005000001</v>
      </c>
      <c r="I72" s="47" t="str">
        <f aca="false">IF(ISNUMBER(F72),IF(ABS(F72-E72)&lt;=H72,"PASS","FAIL"),"FAIL")</f>
        <v>PASS</v>
      </c>
      <c r="J72" s="47" t="str">
        <f aca="false">IF(ISNUMBER(F72),IF(ROUND(F72,2)=ROUND(E72,2),"same","differs"),"n/a")</f>
        <v>same</v>
      </c>
    </row>
    <row r="73" customFormat="false" ht="15" hidden="false" customHeight="false" outlineLevel="0" collapsed="false">
      <c r="B73" s="42" t="n">
        <v>66</v>
      </c>
      <c r="C73" s="8" t="s">
        <v>418</v>
      </c>
      <c r="D73" s="8" t="s">
        <v>484</v>
      </c>
      <c r="E73" s="43" t="n">
        <v>1.1</v>
      </c>
      <c r="F73" s="44" t="n">
        <f aca="false">'13_Week'!$L$13</f>
        <v>1.1</v>
      </c>
      <c r="G73" s="45" t="n">
        <f aca="false">IF(ISNUMBER(F73),F73-E73,"n/a")</f>
        <v>0</v>
      </c>
      <c r="H73" s="46" t="n">
        <v>0.005000001</v>
      </c>
      <c r="I73" s="47" t="str">
        <f aca="false">IF(ISNUMBER(F73),IF(ABS(F73-E73)&lt;=H73,"PASS","FAIL"),"FAIL")</f>
        <v>PASS</v>
      </c>
      <c r="J73" s="47" t="str">
        <f aca="false">IF(ISNUMBER(F73),IF(ROUND(F73,2)=ROUND(E73,2),"same","differs"),"n/a")</f>
        <v>same</v>
      </c>
    </row>
    <row r="74" customFormat="false" ht="15" hidden="false" customHeight="false" outlineLevel="0" collapsed="false">
      <c r="B74" s="42" t="n">
        <v>67</v>
      </c>
      <c r="C74" s="8" t="s">
        <v>418</v>
      </c>
      <c r="D74" s="8" t="s">
        <v>485</v>
      </c>
      <c r="E74" s="43" t="n">
        <v>1.1</v>
      </c>
      <c r="F74" s="44" t="n">
        <f aca="false">'13_Week'!$M$13</f>
        <v>1.1</v>
      </c>
      <c r="G74" s="45" t="n">
        <f aca="false">IF(ISNUMBER(F74),F74-E74,"n/a")</f>
        <v>0</v>
      </c>
      <c r="H74" s="46" t="n">
        <v>0.005000001</v>
      </c>
      <c r="I74" s="47" t="str">
        <f aca="false">IF(ISNUMBER(F74),IF(ABS(F74-E74)&lt;=H74,"PASS","FAIL"),"FAIL")</f>
        <v>PASS</v>
      </c>
      <c r="J74" s="47" t="str">
        <f aca="false">IF(ISNUMBER(F74),IF(ROUND(F74,2)=ROUND(E74,2),"same","differs"),"n/a")</f>
        <v>same</v>
      </c>
    </row>
    <row r="75" customFormat="false" ht="15" hidden="false" customHeight="false" outlineLevel="0" collapsed="false">
      <c r="B75" s="42" t="n">
        <v>68</v>
      </c>
      <c r="C75" s="8" t="s">
        <v>418</v>
      </c>
      <c r="D75" s="8" t="s">
        <v>486</v>
      </c>
      <c r="E75" s="43" t="n">
        <v>1.1</v>
      </c>
      <c r="F75" s="44" t="n">
        <f aca="false">'13_Week'!$N$13</f>
        <v>1.1</v>
      </c>
      <c r="G75" s="45" t="n">
        <f aca="false">IF(ISNUMBER(F75),F75-E75,"n/a")</f>
        <v>0</v>
      </c>
      <c r="H75" s="46" t="n">
        <v>0.005000001</v>
      </c>
      <c r="I75" s="47" t="str">
        <f aca="false">IF(ISNUMBER(F75),IF(ABS(F75-E75)&lt;=H75,"PASS","FAIL"),"FAIL")</f>
        <v>PASS</v>
      </c>
      <c r="J75" s="47" t="str">
        <f aca="false">IF(ISNUMBER(F75),IF(ROUND(F75,2)=ROUND(E75,2),"same","differs"),"n/a")</f>
        <v>same</v>
      </c>
    </row>
    <row r="76" customFormat="false" ht="15" hidden="false" customHeight="false" outlineLevel="0" collapsed="false">
      <c r="B76" s="42" t="n">
        <v>69</v>
      </c>
      <c r="C76" s="8" t="s">
        <v>418</v>
      </c>
      <c r="D76" s="8" t="s">
        <v>487</v>
      </c>
      <c r="E76" s="43" t="n">
        <v>1.1</v>
      </c>
      <c r="F76" s="44" t="n">
        <f aca="false">'13_Week'!$O$13</f>
        <v>1.1</v>
      </c>
      <c r="G76" s="45" t="n">
        <f aca="false">IF(ISNUMBER(F76),F76-E76,"n/a")</f>
        <v>0</v>
      </c>
      <c r="H76" s="46" t="n">
        <v>0.005000001</v>
      </c>
      <c r="I76" s="47" t="str">
        <f aca="false">IF(ISNUMBER(F76),IF(ABS(F76-E76)&lt;=H76,"PASS","FAIL"),"FAIL")</f>
        <v>PASS</v>
      </c>
      <c r="J76" s="47" t="str">
        <f aca="false">IF(ISNUMBER(F76),IF(ROUND(F76,2)=ROUND(E76,2),"same","differs"),"n/a")</f>
        <v>same</v>
      </c>
    </row>
    <row r="77" customFormat="false" ht="15" hidden="false" customHeight="false" outlineLevel="0" collapsed="false">
      <c r="B77" s="42" t="n">
        <v>70</v>
      </c>
      <c r="C77" s="8" t="s">
        <v>418</v>
      </c>
      <c r="D77" s="8" t="s">
        <v>488</v>
      </c>
      <c r="E77" s="43" t="n">
        <v>14.3</v>
      </c>
      <c r="F77" s="44" t="n">
        <f aca="false">'13_Week'!$P$13</f>
        <v>14.3</v>
      </c>
      <c r="G77" s="45" t="n">
        <f aca="false">IF(ISNUMBER(F77),F77-E77,"n/a")</f>
        <v>0</v>
      </c>
      <c r="H77" s="46" t="n">
        <v>0.005000001</v>
      </c>
      <c r="I77" s="47" t="str">
        <f aca="false">IF(ISNUMBER(F77),IF(ABS(F77-E77)&lt;=H77,"PASS","FAIL"),"FAIL")</f>
        <v>PASS</v>
      </c>
      <c r="J77" s="47" t="str">
        <f aca="false">IF(ISNUMBER(F77),IF(ROUND(F77,2)=ROUND(E77,2),"same","differs"),"n/a")</f>
        <v>same</v>
      </c>
    </row>
    <row r="78" customFormat="false" ht="15" hidden="false" customHeight="false" outlineLevel="0" collapsed="false">
      <c r="B78" s="42" t="n">
        <v>71</v>
      </c>
      <c r="C78" s="8" t="s">
        <v>418</v>
      </c>
      <c r="D78" s="8" t="s">
        <v>489</v>
      </c>
      <c r="E78" s="43" t="n">
        <v>1.18</v>
      </c>
      <c r="F78" s="44" t="n">
        <f aca="false">'13_Week'!$C$14</f>
        <v>1.18</v>
      </c>
      <c r="G78" s="45" t="n">
        <f aca="false">IF(ISNUMBER(F78),F78-E78,"n/a")</f>
        <v>0</v>
      </c>
      <c r="H78" s="46" t="n">
        <v>0.005000001</v>
      </c>
      <c r="I78" s="47" t="str">
        <f aca="false">IF(ISNUMBER(F78),IF(ABS(F78-E78)&lt;=H78,"PASS","FAIL"),"FAIL")</f>
        <v>PASS</v>
      </c>
      <c r="J78" s="47" t="str">
        <f aca="false">IF(ISNUMBER(F78),IF(ROUND(F78,2)=ROUND(E78,2),"same","differs"),"n/a")</f>
        <v>same</v>
      </c>
    </row>
    <row r="79" customFormat="false" ht="15" hidden="false" customHeight="false" outlineLevel="0" collapsed="false">
      <c r="B79" s="42" t="n">
        <v>72</v>
      </c>
      <c r="C79" s="8" t="s">
        <v>418</v>
      </c>
      <c r="D79" s="8" t="s">
        <v>490</v>
      </c>
      <c r="E79" s="43" t="n">
        <v>1.18</v>
      </c>
      <c r="F79" s="44" t="n">
        <f aca="false">'13_Week'!$D$14</f>
        <v>1.18</v>
      </c>
      <c r="G79" s="45" t="n">
        <f aca="false">IF(ISNUMBER(F79),F79-E79,"n/a")</f>
        <v>0</v>
      </c>
      <c r="H79" s="46" t="n">
        <v>0.005000001</v>
      </c>
      <c r="I79" s="47" t="str">
        <f aca="false">IF(ISNUMBER(F79),IF(ABS(F79-E79)&lt;=H79,"PASS","FAIL"),"FAIL")</f>
        <v>PASS</v>
      </c>
      <c r="J79" s="47" t="str">
        <f aca="false">IF(ISNUMBER(F79),IF(ROUND(F79,2)=ROUND(E79,2),"same","differs"),"n/a")</f>
        <v>same</v>
      </c>
    </row>
    <row r="80" customFormat="false" ht="15" hidden="false" customHeight="false" outlineLevel="0" collapsed="false">
      <c r="B80" s="42" t="n">
        <v>73</v>
      </c>
      <c r="C80" s="8" t="s">
        <v>418</v>
      </c>
      <c r="D80" s="8" t="s">
        <v>491</v>
      </c>
      <c r="E80" s="43" t="n">
        <v>1.18</v>
      </c>
      <c r="F80" s="44" t="n">
        <f aca="false">'13_Week'!$E$14</f>
        <v>1.18</v>
      </c>
      <c r="G80" s="45" t="n">
        <f aca="false">IF(ISNUMBER(F80),F80-E80,"n/a")</f>
        <v>0</v>
      </c>
      <c r="H80" s="46" t="n">
        <v>0.005000001</v>
      </c>
      <c r="I80" s="47" t="str">
        <f aca="false">IF(ISNUMBER(F80),IF(ABS(F80-E80)&lt;=H80,"PASS","FAIL"),"FAIL")</f>
        <v>PASS</v>
      </c>
      <c r="J80" s="47" t="str">
        <f aca="false">IF(ISNUMBER(F80),IF(ROUND(F80,2)=ROUND(E80,2),"same","differs"),"n/a")</f>
        <v>same</v>
      </c>
    </row>
    <row r="81" customFormat="false" ht="15" hidden="false" customHeight="false" outlineLevel="0" collapsed="false">
      <c r="B81" s="42" t="n">
        <v>74</v>
      </c>
      <c r="C81" s="8" t="s">
        <v>418</v>
      </c>
      <c r="D81" s="8" t="s">
        <v>492</v>
      </c>
      <c r="E81" s="43" t="n">
        <v>1.18</v>
      </c>
      <c r="F81" s="44" t="n">
        <f aca="false">'13_Week'!$F$14</f>
        <v>1.18</v>
      </c>
      <c r="G81" s="45" t="n">
        <f aca="false">IF(ISNUMBER(F81),F81-E81,"n/a")</f>
        <v>0</v>
      </c>
      <c r="H81" s="46" t="n">
        <v>0.005000001</v>
      </c>
      <c r="I81" s="47" t="str">
        <f aca="false">IF(ISNUMBER(F81),IF(ABS(F81-E81)&lt;=H81,"PASS","FAIL"),"FAIL")</f>
        <v>PASS</v>
      </c>
      <c r="J81" s="47" t="str">
        <f aca="false">IF(ISNUMBER(F81),IF(ROUND(F81,2)=ROUND(E81,2),"same","differs"),"n/a")</f>
        <v>same</v>
      </c>
    </row>
    <row r="82" customFormat="false" ht="15" hidden="false" customHeight="false" outlineLevel="0" collapsed="false">
      <c r="B82" s="42" t="n">
        <v>75</v>
      </c>
      <c r="C82" s="8" t="s">
        <v>418</v>
      </c>
      <c r="D82" s="8" t="s">
        <v>493</v>
      </c>
      <c r="E82" s="43" t="n">
        <v>1.18</v>
      </c>
      <c r="F82" s="44" t="n">
        <f aca="false">'13_Week'!$G$14</f>
        <v>1.18</v>
      </c>
      <c r="G82" s="45" t="n">
        <f aca="false">IF(ISNUMBER(F82),F82-E82,"n/a")</f>
        <v>0</v>
      </c>
      <c r="H82" s="46" t="n">
        <v>0.005000001</v>
      </c>
      <c r="I82" s="47" t="str">
        <f aca="false">IF(ISNUMBER(F82),IF(ABS(F82-E82)&lt;=H82,"PASS","FAIL"),"FAIL")</f>
        <v>PASS</v>
      </c>
      <c r="J82" s="47" t="str">
        <f aca="false">IF(ISNUMBER(F82),IF(ROUND(F82,2)=ROUND(E82,2),"same","differs"),"n/a")</f>
        <v>same</v>
      </c>
    </row>
    <row r="83" customFormat="false" ht="15" hidden="false" customHeight="false" outlineLevel="0" collapsed="false">
      <c r="B83" s="42" t="n">
        <v>76</v>
      </c>
      <c r="C83" s="8" t="s">
        <v>418</v>
      </c>
      <c r="D83" s="8" t="s">
        <v>494</v>
      </c>
      <c r="E83" s="43" t="n">
        <v>1.18</v>
      </c>
      <c r="F83" s="44" t="n">
        <f aca="false">'13_Week'!$H$14</f>
        <v>1.18</v>
      </c>
      <c r="G83" s="45" t="n">
        <f aca="false">IF(ISNUMBER(F83),F83-E83,"n/a")</f>
        <v>0</v>
      </c>
      <c r="H83" s="46" t="n">
        <v>0.005000001</v>
      </c>
      <c r="I83" s="47" t="str">
        <f aca="false">IF(ISNUMBER(F83),IF(ABS(F83-E83)&lt;=H83,"PASS","FAIL"),"FAIL")</f>
        <v>PASS</v>
      </c>
      <c r="J83" s="47" t="str">
        <f aca="false">IF(ISNUMBER(F83),IF(ROUND(F83,2)=ROUND(E83,2),"same","differs"),"n/a")</f>
        <v>same</v>
      </c>
    </row>
    <row r="84" customFormat="false" ht="15" hidden="false" customHeight="false" outlineLevel="0" collapsed="false">
      <c r="B84" s="42" t="n">
        <v>77</v>
      </c>
      <c r="C84" s="8" t="s">
        <v>418</v>
      </c>
      <c r="D84" s="8" t="s">
        <v>495</v>
      </c>
      <c r="E84" s="43" t="n">
        <v>1.18</v>
      </c>
      <c r="F84" s="44" t="n">
        <f aca="false">'13_Week'!$I$14</f>
        <v>1.18</v>
      </c>
      <c r="G84" s="45" t="n">
        <f aca="false">IF(ISNUMBER(F84),F84-E84,"n/a")</f>
        <v>0</v>
      </c>
      <c r="H84" s="46" t="n">
        <v>0.005000001</v>
      </c>
      <c r="I84" s="47" t="str">
        <f aca="false">IF(ISNUMBER(F84),IF(ABS(F84-E84)&lt;=H84,"PASS","FAIL"),"FAIL")</f>
        <v>PASS</v>
      </c>
      <c r="J84" s="47" t="str">
        <f aca="false">IF(ISNUMBER(F84),IF(ROUND(F84,2)=ROUND(E84,2),"same","differs"),"n/a")</f>
        <v>same</v>
      </c>
    </row>
    <row r="85" customFormat="false" ht="15" hidden="false" customHeight="false" outlineLevel="0" collapsed="false">
      <c r="B85" s="42" t="n">
        <v>78</v>
      </c>
      <c r="C85" s="8" t="s">
        <v>418</v>
      </c>
      <c r="D85" s="8" t="s">
        <v>496</v>
      </c>
      <c r="E85" s="43" t="n">
        <v>1.18</v>
      </c>
      <c r="F85" s="44" t="n">
        <f aca="false">'13_Week'!$J$14</f>
        <v>1.18</v>
      </c>
      <c r="G85" s="45" t="n">
        <f aca="false">IF(ISNUMBER(F85),F85-E85,"n/a")</f>
        <v>0</v>
      </c>
      <c r="H85" s="46" t="n">
        <v>0.005000001</v>
      </c>
      <c r="I85" s="47" t="str">
        <f aca="false">IF(ISNUMBER(F85),IF(ABS(F85-E85)&lt;=H85,"PASS","FAIL"),"FAIL")</f>
        <v>PASS</v>
      </c>
      <c r="J85" s="47" t="str">
        <f aca="false">IF(ISNUMBER(F85),IF(ROUND(F85,2)=ROUND(E85,2),"same","differs"),"n/a")</f>
        <v>same</v>
      </c>
    </row>
    <row r="86" customFormat="false" ht="15" hidden="false" customHeight="false" outlineLevel="0" collapsed="false">
      <c r="B86" s="42" t="n">
        <v>79</v>
      </c>
      <c r="C86" s="8" t="s">
        <v>418</v>
      </c>
      <c r="D86" s="8" t="s">
        <v>497</v>
      </c>
      <c r="E86" s="43" t="n">
        <v>1.18</v>
      </c>
      <c r="F86" s="44" t="n">
        <f aca="false">'13_Week'!$K$14</f>
        <v>1.18</v>
      </c>
      <c r="G86" s="45" t="n">
        <f aca="false">IF(ISNUMBER(F86),F86-E86,"n/a")</f>
        <v>0</v>
      </c>
      <c r="H86" s="46" t="n">
        <v>0.005000001</v>
      </c>
      <c r="I86" s="47" t="str">
        <f aca="false">IF(ISNUMBER(F86),IF(ABS(F86-E86)&lt;=H86,"PASS","FAIL"),"FAIL")</f>
        <v>PASS</v>
      </c>
      <c r="J86" s="47" t="str">
        <f aca="false">IF(ISNUMBER(F86),IF(ROUND(F86,2)=ROUND(E86,2),"same","differs"),"n/a")</f>
        <v>same</v>
      </c>
    </row>
    <row r="87" customFormat="false" ht="15" hidden="false" customHeight="false" outlineLevel="0" collapsed="false">
      <c r="B87" s="42" t="n">
        <v>80</v>
      </c>
      <c r="C87" s="8" t="s">
        <v>418</v>
      </c>
      <c r="D87" s="8" t="s">
        <v>498</v>
      </c>
      <c r="E87" s="43" t="n">
        <v>1.18</v>
      </c>
      <c r="F87" s="44" t="n">
        <f aca="false">'13_Week'!$L$14</f>
        <v>1.18</v>
      </c>
      <c r="G87" s="45" t="n">
        <f aca="false">IF(ISNUMBER(F87),F87-E87,"n/a")</f>
        <v>0</v>
      </c>
      <c r="H87" s="46" t="n">
        <v>0.005000001</v>
      </c>
      <c r="I87" s="47" t="str">
        <f aca="false">IF(ISNUMBER(F87),IF(ABS(F87-E87)&lt;=H87,"PASS","FAIL"),"FAIL")</f>
        <v>PASS</v>
      </c>
      <c r="J87" s="47" t="str">
        <f aca="false">IF(ISNUMBER(F87),IF(ROUND(F87,2)=ROUND(E87,2),"same","differs"),"n/a")</f>
        <v>same</v>
      </c>
    </row>
    <row r="88" customFormat="false" ht="15" hidden="false" customHeight="false" outlineLevel="0" collapsed="false">
      <c r="B88" s="42" t="n">
        <v>81</v>
      </c>
      <c r="C88" s="8" t="s">
        <v>418</v>
      </c>
      <c r="D88" s="8" t="s">
        <v>499</v>
      </c>
      <c r="E88" s="43" t="n">
        <v>1.18</v>
      </c>
      <c r="F88" s="44" t="n">
        <f aca="false">'13_Week'!$M$14</f>
        <v>1.18</v>
      </c>
      <c r="G88" s="45" t="n">
        <f aca="false">IF(ISNUMBER(F88),F88-E88,"n/a")</f>
        <v>0</v>
      </c>
      <c r="H88" s="46" t="n">
        <v>0.005000001</v>
      </c>
      <c r="I88" s="47" t="str">
        <f aca="false">IF(ISNUMBER(F88),IF(ABS(F88-E88)&lt;=H88,"PASS","FAIL"),"FAIL")</f>
        <v>PASS</v>
      </c>
      <c r="J88" s="47" t="str">
        <f aca="false">IF(ISNUMBER(F88),IF(ROUND(F88,2)=ROUND(E88,2),"same","differs"),"n/a")</f>
        <v>same</v>
      </c>
    </row>
    <row r="89" customFormat="false" ht="15" hidden="false" customHeight="false" outlineLevel="0" collapsed="false">
      <c r="B89" s="42" t="n">
        <v>82</v>
      </c>
      <c r="C89" s="8" t="s">
        <v>418</v>
      </c>
      <c r="D89" s="8" t="s">
        <v>500</v>
      </c>
      <c r="E89" s="43" t="n">
        <v>1.18</v>
      </c>
      <c r="F89" s="44" t="n">
        <f aca="false">'13_Week'!$N$14</f>
        <v>1.18</v>
      </c>
      <c r="G89" s="45" t="n">
        <f aca="false">IF(ISNUMBER(F89),F89-E89,"n/a")</f>
        <v>0</v>
      </c>
      <c r="H89" s="46" t="n">
        <v>0.005000001</v>
      </c>
      <c r="I89" s="47" t="str">
        <f aca="false">IF(ISNUMBER(F89),IF(ABS(F89-E89)&lt;=H89,"PASS","FAIL"),"FAIL")</f>
        <v>PASS</v>
      </c>
      <c r="J89" s="47" t="str">
        <f aca="false">IF(ISNUMBER(F89),IF(ROUND(F89,2)=ROUND(E89,2),"same","differs"),"n/a")</f>
        <v>same</v>
      </c>
    </row>
    <row r="90" customFormat="false" ht="15" hidden="false" customHeight="false" outlineLevel="0" collapsed="false">
      <c r="B90" s="42" t="n">
        <v>83</v>
      </c>
      <c r="C90" s="8" t="s">
        <v>418</v>
      </c>
      <c r="D90" s="8" t="s">
        <v>501</v>
      </c>
      <c r="E90" s="43" t="n">
        <v>1.18</v>
      </c>
      <c r="F90" s="44" t="n">
        <f aca="false">'13_Week'!$O$14</f>
        <v>1.18</v>
      </c>
      <c r="G90" s="45" t="n">
        <f aca="false">IF(ISNUMBER(F90),F90-E90,"n/a")</f>
        <v>0</v>
      </c>
      <c r="H90" s="46" t="n">
        <v>0.005000001</v>
      </c>
      <c r="I90" s="47" t="str">
        <f aca="false">IF(ISNUMBER(F90),IF(ABS(F90-E90)&lt;=H90,"PASS","FAIL"),"FAIL")</f>
        <v>PASS</v>
      </c>
      <c r="J90" s="47" t="str">
        <f aca="false">IF(ISNUMBER(F90),IF(ROUND(F90,2)=ROUND(E90,2),"same","differs"),"n/a")</f>
        <v>same</v>
      </c>
    </row>
    <row r="91" customFormat="false" ht="15" hidden="false" customHeight="false" outlineLevel="0" collapsed="false">
      <c r="B91" s="42" t="n">
        <v>84</v>
      </c>
      <c r="C91" s="8" t="s">
        <v>418</v>
      </c>
      <c r="D91" s="8" t="s">
        <v>502</v>
      </c>
      <c r="E91" s="43" t="n">
        <v>15.34</v>
      </c>
      <c r="F91" s="44" t="n">
        <f aca="false">'13_Week'!$P$14</f>
        <v>15.34</v>
      </c>
      <c r="G91" s="45" t="n">
        <f aca="false">IF(ISNUMBER(F91),F91-E91,"n/a")</f>
        <v>0</v>
      </c>
      <c r="H91" s="46" t="n">
        <v>0.005000001</v>
      </c>
      <c r="I91" s="47" t="str">
        <f aca="false">IF(ISNUMBER(F91),IF(ABS(F91-E91)&lt;=H91,"PASS","FAIL"),"FAIL")</f>
        <v>PASS</v>
      </c>
      <c r="J91" s="47" t="str">
        <f aca="false">IF(ISNUMBER(F91),IF(ROUND(F91,2)=ROUND(E91,2),"same","differs"),"n/a")</f>
        <v>same</v>
      </c>
    </row>
    <row r="92" customFormat="false" ht="15" hidden="false" customHeight="false" outlineLevel="0" collapsed="false">
      <c r="B92" s="42" t="n">
        <v>85</v>
      </c>
      <c r="C92" s="8" t="s">
        <v>418</v>
      </c>
      <c r="D92" s="8" t="s">
        <v>503</v>
      </c>
      <c r="E92" s="43" t="n">
        <v>2.8</v>
      </c>
      <c r="F92" s="44" t="n">
        <f aca="false">'13_Week'!$C$15</f>
        <v>2.8</v>
      </c>
      <c r="G92" s="45" t="n">
        <f aca="false">IF(ISNUMBER(F92),F92-E92,"n/a")</f>
        <v>0</v>
      </c>
      <c r="H92" s="46" t="n">
        <v>0.005000001</v>
      </c>
      <c r="I92" s="47" t="str">
        <f aca="false">IF(ISNUMBER(F92),IF(ABS(F92-E92)&lt;=H92,"PASS","FAIL"),"FAIL")</f>
        <v>PASS</v>
      </c>
      <c r="J92" s="47" t="str">
        <f aca="false">IF(ISNUMBER(F92),IF(ROUND(F92,2)=ROUND(E92,2),"same","differs"),"n/a")</f>
        <v>same</v>
      </c>
    </row>
    <row r="93" customFormat="false" ht="15" hidden="false" customHeight="false" outlineLevel="0" collapsed="false">
      <c r="B93" s="42" t="n">
        <v>86</v>
      </c>
      <c r="C93" s="8" t="s">
        <v>418</v>
      </c>
      <c r="D93" s="8" t="s">
        <v>504</v>
      </c>
      <c r="E93" s="43" t="n">
        <v>0</v>
      </c>
      <c r="F93" s="44" t="n">
        <f aca="false">'13_Week'!$D$15</f>
        <v>0</v>
      </c>
      <c r="G93" s="45" t="n">
        <f aca="false">IF(ISNUMBER(F93),F93-E93,"n/a")</f>
        <v>0</v>
      </c>
      <c r="H93" s="46" t="n">
        <v>0.005000001</v>
      </c>
      <c r="I93" s="47" t="str">
        <f aca="false">IF(ISNUMBER(F93),IF(ABS(F93-E93)&lt;=H93,"PASS","FAIL"),"FAIL")</f>
        <v>PASS</v>
      </c>
      <c r="J93" s="47" t="str">
        <f aca="false">IF(ISNUMBER(F93),IF(ROUND(F93,2)=ROUND(E93,2),"same","differs"),"n/a")</f>
        <v>same</v>
      </c>
    </row>
    <row r="94" customFormat="false" ht="15" hidden="false" customHeight="false" outlineLevel="0" collapsed="false">
      <c r="B94" s="42" t="n">
        <v>87</v>
      </c>
      <c r="C94" s="8" t="s">
        <v>418</v>
      </c>
      <c r="D94" s="8" t="s">
        <v>505</v>
      </c>
      <c r="E94" s="43" t="n">
        <v>0</v>
      </c>
      <c r="F94" s="44" t="n">
        <f aca="false">'13_Week'!$E$15</f>
        <v>0</v>
      </c>
      <c r="G94" s="45" t="n">
        <f aca="false">IF(ISNUMBER(F94),F94-E94,"n/a")</f>
        <v>0</v>
      </c>
      <c r="H94" s="46" t="n">
        <v>0.005000001</v>
      </c>
      <c r="I94" s="47" t="str">
        <f aca="false">IF(ISNUMBER(F94),IF(ABS(F94-E94)&lt;=H94,"PASS","FAIL"),"FAIL")</f>
        <v>PASS</v>
      </c>
      <c r="J94" s="47" t="str">
        <f aca="false">IF(ISNUMBER(F94),IF(ROUND(F94,2)=ROUND(E94,2),"same","differs"),"n/a")</f>
        <v>same</v>
      </c>
    </row>
    <row r="95" customFormat="false" ht="15" hidden="false" customHeight="false" outlineLevel="0" collapsed="false">
      <c r="B95" s="42" t="n">
        <v>88</v>
      </c>
      <c r="C95" s="8" t="s">
        <v>418</v>
      </c>
      <c r="D95" s="8" t="s">
        <v>506</v>
      </c>
      <c r="E95" s="43" t="n">
        <v>0</v>
      </c>
      <c r="F95" s="44" t="n">
        <f aca="false">'13_Week'!$F$15</f>
        <v>0</v>
      </c>
      <c r="G95" s="45" t="n">
        <f aca="false">IF(ISNUMBER(F95),F95-E95,"n/a")</f>
        <v>0</v>
      </c>
      <c r="H95" s="46" t="n">
        <v>0.005000001</v>
      </c>
      <c r="I95" s="47" t="str">
        <f aca="false">IF(ISNUMBER(F95),IF(ABS(F95-E95)&lt;=H95,"PASS","FAIL"),"FAIL")</f>
        <v>PASS</v>
      </c>
      <c r="J95" s="47" t="str">
        <f aca="false">IF(ISNUMBER(F95),IF(ROUND(F95,2)=ROUND(E95,2),"same","differs"),"n/a")</f>
        <v>same</v>
      </c>
    </row>
    <row r="96" customFormat="false" ht="15" hidden="false" customHeight="false" outlineLevel="0" collapsed="false">
      <c r="B96" s="42" t="n">
        <v>89</v>
      </c>
      <c r="C96" s="8" t="s">
        <v>418</v>
      </c>
      <c r="D96" s="8" t="s">
        <v>507</v>
      </c>
      <c r="E96" s="43" t="n">
        <v>2.8</v>
      </c>
      <c r="F96" s="44" t="n">
        <f aca="false">'13_Week'!$G$15</f>
        <v>2.8</v>
      </c>
      <c r="G96" s="45" t="n">
        <f aca="false">IF(ISNUMBER(F96),F96-E96,"n/a")</f>
        <v>0</v>
      </c>
      <c r="H96" s="46" t="n">
        <v>0.005000001</v>
      </c>
      <c r="I96" s="47" t="str">
        <f aca="false">IF(ISNUMBER(F96),IF(ABS(F96-E96)&lt;=H96,"PASS","FAIL"),"FAIL")</f>
        <v>PASS</v>
      </c>
      <c r="J96" s="47" t="str">
        <f aca="false">IF(ISNUMBER(F96),IF(ROUND(F96,2)=ROUND(E96,2),"same","differs"),"n/a")</f>
        <v>same</v>
      </c>
    </row>
    <row r="97" customFormat="false" ht="15" hidden="false" customHeight="false" outlineLevel="0" collapsed="false">
      <c r="B97" s="42" t="n">
        <v>90</v>
      </c>
      <c r="C97" s="8" t="s">
        <v>418</v>
      </c>
      <c r="D97" s="8" t="s">
        <v>508</v>
      </c>
      <c r="E97" s="43" t="n">
        <v>0</v>
      </c>
      <c r="F97" s="44" t="n">
        <f aca="false">'13_Week'!$H$15</f>
        <v>0</v>
      </c>
      <c r="G97" s="45" t="n">
        <f aca="false">IF(ISNUMBER(F97),F97-E97,"n/a")</f>
        <v>0</v>
      </c>
      <c r="H97" s="46" t="n">
        <v>0.005000001</v>
      </c>
      <c r="I97" s="47" t="str">
        <f aca="false">IF(ISNUMBER(F97),IF(ABS(F97-E97)&lt;=H97,"PASS","FAIL"),"FAIL")</f>
        <v>PASS</v>
      </c>
      <c r="J97" s="47" t="str">
        <f aca="false">IF(ISNUMBER(F97),IF(ROUND(F97,2)=ROUND(E97,2),"same","differs"),"n/a")</f>
        <v>same</v>
      </c>
    </row>
    <row r="98" customFormat="false" ht="15" hidden="false" customHeight="false" outlineLevel="0" collapsed="false">
      <c r="B98" s="42" t="n">
        <v>91</v>
      </c>
      <c r="C98" s="8" t="s">
        <v>418</v>
      </c>
      <c r="D98" s="8" t="s">
        <v>509</v>
      </c>
      <c r="E98" s="43" t="n">
        <v>0</v>
      </c>
      <c r="F98" s="44" t="n">
        <f aca="false">'13_Week'!$I$15</f>
        <v>0</v>
      </c>
      <c r="G98" s="45" t="n">
        <f aca="false">IF(ISNUMBER(F98),F98-E98,"n/a")</f>
        <v>0</v>
      </c>
      <c r="H98" s="46" t="n">
        <v>0.005000001</v>
      </c>
      <c r="I98" s="47" t="str">
        <f aca="false">IF(ISNUMBER(F98),IF(ABS(F98-E98)&lt;=H98,"PASS","FAIL"),"FAIL")</f>
        <v>PASS</v>
      </c>
      <c r="J98" s="47" t="str">
        <f aca="false">IF(ISNUMBER(F98),IF(ROUND(F98,2)=ROUND(E98,2),"same","differs"),"n/a")</f>
        <v>same</v>
      </c>
    </row>
    <row r="99" customFormat="false" ht="15" hidden="false" customHeight="false" outlineLevel="0" collapsed="false">
      <c r="B99" s="42" t="n">
        <v>92</v>
      </c>
      <c r="C99" s="8" t="s">
        <v>418</v>
      </c>
      <c r="D99" s="8" t="s">
        <v>510</v>
      </c>
      <c r="E99" s="43" t="n">
        <v>0</v>
      </c>
      <c r="F99" s="44" t="n">
        <f aca="false">'13_Week'!$J$15</f>
        <v>0</v>
      </c>
      <c r="G99" s="45" t="n">
        <f aca="false">IF(ISNUMBER(F99),F99-E99,"n/a")</f>
        <v>0</v>
      </c>
      <c r="H99" s="46" t="n">
        <v>0.005000001</v>
      </c>
      <c r="I99" s="47" t="str">
        <f aca="false">IF(ISNUMBER(F99),IF(ABS(F99-E99)&lt;=H99,"PASS","FAIL"),"FAIL")</f>
        <v>PASS</v>
      </c>
      <c r="J99" s="47" t="str">
        <f aca="false">IF(ISNUMBER(F99),IF(ROUND(F99,2)=ROUND(E99,2),"same","differs"),"n/a")</f>
        <v>same</v>
      </c>
    </row>
    <row r="100" customFormat="false" ht="15" hidden="false" customHeight="false" outlineLevel="0" collapsed="false">
      <c r="B100" s="42" t="n">
        <v>93</v>
      </c>
      <c r="C100" s="8" t="s">
        <v>418</v>
      </c>
      <c r="D100" s="8" t="s">
        <v>511</v>
      </c>
      <c r="E100" s="43" t="n">
        <v>2.8</v>
      </c>
      <c r="F100" s="44" t="n">
        <f aca="false">'13_Week'!$K$15</f>
        <v>2.8</v>
      </c>
      <c r="G100" s="45" t="n">
        <f aca="false">IF(ISNUMBER(F100),F100-E100,"n/a")</f>
        <v>0</v>
      </c>
      <c r="H100" s="46" t="n">
        <v>0.005000001</v>
      </c>
      <c r="I100" s="47" t="str">
        <f aca="false">IF(ISNUMBER(F100),IF(ABS(F100-E100)&lt;=H100,"PASS","FAIL"),"FAIL")</f>
        <v>PASS</v>
      </c>
      <c r="J100" s="47" t="str">
        <f aca="false">IF(ISNUMBER(F100),IF(ROUND(F100,2)=ROUND(E100,2),"same","differs"),"n/a")</f>
        <v>same</v>
      </c>
    </row>
    <row r="101" customFormat="false" ht="15" hidden="false" customHeight="false" outlineLevel="0" collapsed="false">
      <c r="B101" s="42" t="n">
        <v>94</v>
      </c>
      <c r="C101" s="8" t="s">
        <v>418</v>
      </c>
      <c r="D101" s="8" t="s">
        <v>512</v>
      </c>
      <c r="E101" s="43" t="n">
        <v>0</v>
      </c>
      <c r="F101" s="44" t="n">
        <f aca="false">'13_Week'!$L$15</f>
        <v>0</v>
      </c>
      <c r="G101" s="45" t="n">
        <f aca="false">IF(ISNUMBER(F101),F101-E101,"n/a")</f>
        <v>0</v>
      </c>
      <c r="H101" s="46" t="n">
        <v>0.005000001</v>
      </c>
      <c r="I101" s="47" t="str">
        <f aca="false">IF(ISNUMBER(F101),IF(ABS(F101-E101)&lt;=H101,"PASS","FAIL"),"FAIL")</f>
        <v>PASS</v>
      </c>
      <c r="J101" s="47" t="str">
        <f aca="false">IF(ISNUMBER(F101),IF(ROUND(F101,2)=ROUND(E101,2),"same","differs"),"n/a")</f>
        <v>same</v>
      </c>
    </row>
    <row r="102" customFormat="false" ht="15" hidden="false" customHeight="false" outlineLevel="0" collapsed="false">
      <c r="B102" s="42" t="n">
        <v>95</v>
      </c>
      <c r="C102" s="8" t="s">
        <v>418</v>
      </c>
      <c r="D102" s="8" t="s">
        <v>513</v>
      </c>
      <c r="E102" s="43" t="n">
        <v>0</v>
      </c>
      <c r="F102" s="44" t="n">
        <f aca="false">'13_Week'!$M$15</f>
        <v>0</v>
      </c>
      <c r="G102" s="45" t="n">
        <f aca="false">IF(ISNUMBER(F102),F102-E102,"n/a")</f>
        <v>0</v>
      </c>
      <c r="H102" s="46" t="n">
        <v>0.005000001</v>
      </c>
      <c r="I102" s="47" t="str">
        <f aca="false">IF(ISNUMBER(F102),IF(ABS(F102-E102)&lt;=H102,"PASS","FAIL"),"FAIL")</f>
        <v>PASS</v>
      </c>
      <c r="J102" s="47" t="str">
        <f aca="false">IF(ISNUMBER(F102),IF(ROUND(F102,2)=ROUND(E102,2),"same","differs"),"n/a")</f>
        <v>same</v>
      </c>
    </row>
    <row r="103" customFormat="false" ht="15" hidden="false" customHeight="false" outlineLevel="0" collapsed="false">
      <c r="B103" s="42" t="n">
        <v>96</v>
      </c>
      <c r="C103" s="8" t="s">
        <v>418</v>
      </c>
      <c r="D103" s="8" t="s">
        <v>514</v>
      </c>
      <c r="E103" s="43" t="n">
        <v>0</v>
      </c>
      <c r="F103" s="44" t="n">
        <f aca="false">'13_Week'!$N$15</f>
        <v>0</v>
      </c>
      <c r="G103" s="45" t="n">
        <f aca="false">IF(ISNUMBER(F103),F103-E103,"n/a")</f>
        <v>0</v>
      </c>
      <c r="H103" s="46" t="n">
        <v>0.005000001</v>
      </c>
      <c r="I103" s="47" t="str">
        <f aca="false">IF(ISNUMBER(F103),IF(ABS(F103-E103)&lt;=H103,"PASS","FAIL"),"FAIL")</f>
        <v>PASS</v>
      </c>
      <c r="J103" s="47" t="str">
        <f aca="false">IF(ISNUMBER(F103),IF(ROUND(F103,2)=ROUND(E103,2),"same","differs"),"n/a")</f>
        <v>same</v>
      </c>
    </row>
    <row r="104" customFormat="false" ht="15" hidden="false" customHeight="false" outlineLevel="0" collapsed="false">
      <c r="B104" s="42" t="n">
        <v>97</v>
      </c>
      <c r="C104" s="8" t="s">
        <v>418</v>
      </c>
      <c r="D104" s="8" t="s">
        <v>515</v>
      </c>
      <c r="E104" s="43" t="n">
        <v>2.8</v>
      </c>
      <c r="F104" s="44" t="n">
        <f aca="false">'13_Week'!$O$15</f>
        <v>2.8</v>
      </c>
      <c r="G104" s="45" t="n">
        <f aca="false">IF(ISNUMBER(F104),F104-E104,"n/a")</f>
        <v>0</v>
      </c>
      <c r="H104" s="46" t="n">
        <v>0.005000001</v>
      </c>
      <c r="I104" s="47" t="str">
        <f aca="false">IF(ISNUMBER(F104),IF(ABS(F104-E104)&lt;=H104,"PASS","FAIL"),"FAIL")</f>
        <v>PASS</v>
      </c>
      <c r="J104" s="47" t="str">
        <f aca="false">IF(ISNUMBER(F104),IF(ROUND(F104,2)=ROUND(E104,2),"same","differs"),"n/a")</f>
        <v>same</v>
      </c>
    </row>
    <row r="105" customFormat="false" ht="15" hidden="false" customHeight="false" outlineLevel="0" collapsed="false">
      <c r="B105" s="42" t="n">
        <v>98</v>
      </c>
      <c r="C105" s="8" t="s">
        <v>418</v>
      </c>
      <c r="D105" s="8" t="s">
        <v>516</v>
      </c>
      <c r="E105" s="43" t="n">
        <v>11.2</v>
      </c>
      <c r="F105" s="44" t="n">
        <f aca="false">'13_Week'!$P$15</f>
        <v>11.2</v>
      </c>
      <c r="G105" s="45" t="n">
        <f aca="false">IF(ISNUMBER(F105),F105-E105,"n/a")</f>
        <v>0</v>
      </c>
      <c r="H105" s="46" t="n">
        <v>0.005000001</v>
      </c>
      <c r="I105" s="47" t="str">
        <f aca="false">IF(ISNUMBER(F105),IF(ABS(F105-E105)&lt;=H105,"PASS","FAIL"),"FAIL")</f>
        <v>PASS</v>
      </c>
      <c r="J105" s="47" t="str">
        <f aca="false">IF(ISNUMBER(F105),IF(ROUND(F105,2)=ROUND(E105,2),"same","differs"),"n/a")</f>
        <v>same</v>
      </c>
    </row>
    <row r="106" customFormat="false" ht="15" hidden="false" customHeight="false" outlineLevel="0" collapsed="false">
      <c r="B106" s="42" t="n">
        <v>99</v>
      </c>
      <c r="C106" s="8" t="s">
        <v>418</v>
      </c>
      <c r="D106" s="8" t="s">
        <v>517</v>
      </c>
      <c r="E106" s="43" t="n">
        <v>0</v>
      </c>
      <c r="F106" s="44" t="n">
        <f aca="false">'13_Week'!$C$16</f>
        <v>0</v>
      </c>
      <c r="G106" s="45" t="n">
        <f aca="false">IF(ISNUMBER(F106),F106-E106,"n/a")</f>
        <v>0</v>
      </c>
      <c r="H106" s="46" t="n">
        <v>0.005000001</v>
      </c>
      <c r="I106" s="47" t="str">
        <f aca="false">IF(ISNUMBER(F106),IF(ABS(F106-E106)&lt;=H106,"PASS","FAIL"),"FAIL")</f>
        <v>PASS</v>
      </c>
      <c r="J106" s="47" t="str">
        <f aca="false">IF(ISNUMBER(F106),IF(ROUND(F106,2)=ROUND(E106,2),"same","differs"),"n/a")</f>
        <v>same</v>
      </c>
    </row>
    <row r="107" customFormat="false" ht="15" hidden="false" customHeight="false" outlineLevel="0" collapsed="false">
      <c r="B107" s="42" t="n">
        <v>100</v>
      </c>
      <c r="C107" s="8" t="s">
        <v>418</v>
      </c>
      <c r="D107" s="8" t="s">
        <v>518</v>
      </c>
      <c r="E107" s="43" t="n">
        <v>0</v>
      </c>
      <c r="F107" s="44" t="n">
        <f aca="false">'13_Week'!$D$16</f>
        <v>0</v>
      </c>
      <c r="G107" s="45" t="n">
        <f aca="false">IF(ISNUMBER(F107),F107-E107,"n/a")</f>
        <v>0</v>
      </c>
      <c r="H107" s="46" t="n">
        <v>0.005000001</v>
      </c>
      <c r="I107" s="47" t="str">
        <f aca="false">IF(ISNUMBER(F107),IF(ABS(F107-E107)&lt;=H107,"PASS","FAIL"),"FAIL")</f>
        <v>PASS</v>
      </c>
      <c r="J107" s="47" t="str">
        <f aca="false">IF(ISNUMBER(F107),IF(ROUND(F107,2)=ROUND(E107,2),"same","differs"),"n/a")</f>
        <v>same</v>
      </c>
    </row>
    <row r="108" customFormat="false" ht="15" hidden="false" customHeight="false" outlineLevel="0" collapsed="false">
      <c r="B108" s="42" t="n">
        <v>101</v>
      </c>
      <c r="C108" s="8" t="s">
        <v>418</v>
      </c>
      <c r="D108" s="8" t="s">
        <v>519</v>
      </c>
      <c r="E108" s="43" t="n">
        <v>0</v>
      </c>
      <c r="F108" s="44" t="n">
        <f aca="false">'13_Week'!$E$16</f>
        <v>0</v>
      </c>
      <c r="G108" s="45" t="n">
        <f aca="false">IF(ISNUMBER(F108),F108-E108,"n/a")</f>
        <v>0</v>
      </c>
      <c r="H108" s="46" t="n">
        <v>0.005000001</v>
      </c>
      <c r="I108" s="47" t="str">
        <f aca="false">IF(ISNUMBER(F108),IF(ABS(F108-E108)&lt;=H108,"PASS","FAIL"),"FAIL")</f>
        <v>PASS</v>
      </c>
      <c r="J108" s="47" t="str">
        <f aca="false">IF(ISNUMBER(F108),IF(ROUND(F108,2)=ROUND(E108,2),"same","differs"),"n/a")</f>
        <v>same</v>
      </c>
    </row>
    <row r="109" customFormat="false" ht="15" hidden="false" customHeight="false" outlineLevel="0" collapsed="false">
      <c r="B109" s="42" t="n">
        <v>102</v>
      </c>
      <c r="C109" s="8" t="s">
        <v>418</v>
      </c>
      <c r="D109" s="8" t="s">
        <v>520</v>
      </c>
      <c r="E109" s="43" t="n">
        <v>0</v>
      </c>
      <c r="F109" s="44" t="n">
        <f aca="false">'13_Week'!$F$16</f>
        <v>0</v>
      </c>
      <c r="G109" s="45" t="n">
        <f aca="false">IF(ISNUMBER(F109),F109-E109,"n/a")</f>
        <v>0</v>
      </c>
      <c r="H109" s="46" t="n">
        <v>0.005000001</v>
      </c>
      <c r="I109" s="47" t="str">
        <f aca="false">IF(ISNUMBER(F109),IF(ABS(F109-E109)&lt;=H109,"PASS","FAIL"),"FAIL")</f>
        <v>PASS</v>
      </c>
      <c r="J109" s="47" t="str">
        <f aca="false">IF(ISNUMBER(F109),IF(ROUND(F109,2)=ROUND(E109,2),"same","differs"),"n/a")</f>
        <v>same</v>
      </c>
    </row>
    <row r="110" customFormat="false" ht="15" hidden="false" customHeight="false" outlineLevel="0" collapsed="false">
      <c r="B110" s="42" t="n">
        <v>103</v>
      </c>
      <c r="C110" s="8" t="s">
        <v>418</v>
      </c>
      <c r="D110" s="8" t="s">
        <v>521</v>
      </c>
      <c r="E110" s="43" t="n">
        <v>0</v>
      </c>
      <c r="F110" s="44" t="n">
        <f aca="false">'13_Week'!$G$16</f>
        <v>0</v>
      </c>
      <c r="G110" s="45" t="n">
        <f aca="false">IF(ISNUMBER(F110),F110-E110,"n/a")</f>
        <v>0</v>
      </c>
      <c r="H110" s="46" t="n">
        <v>0.005000001</v>
      </c>
      <c r="I110" s="47" t="str">
        <f aca="false">IF(ISNUMBER(F110),IF(ABS(F110-E110)&lt;=H110,"PASS","FAIL"),"FAIL")</f>
        <v>PASS</v>
      </c>
      <c r="J110" s="47" t="str">
        <f aca="false">IF(ISNUMBER(F110),IF(ROUND(F110,2)=ROUND(E110,2),"same","differs"),"n/a")</f>
        <v>same</v>
      </c>
    </row>
    <row r="111" customFormat="false" ht="15" hidden="false" customHeight="false" outlineLevel="0" collapsed="false">
      <c r="B111" s="42" t="n">
        <v>104</v>
      </c>
      <c r="C111" s="8" t="s">
        <v>418</v>
      </c>
      <c r="D111" s="8" t="s">
        <v>522</v>
      </c>
      <c r="E111" s="43" t="n">
        <v>0</v>
      </c>
      <c r="F111" s="44" t="n">
        <f aca="false">'13_Week'!$H$16</f>
        <v>0</v>
      </c>
      <c r="G111" s="45" t="n">
        <f aca="false">IF(ISNUMBER(F111),F111-E111,"n/a")</f>
        <v>0</v>
      </c>
      <c r="H111" s="46" t="n">
        <v>0.005000001</v>
      </c>
      <c r="I111" s="47" t="str">
        <f aca="false">IF(ISNUMBER(F111),IF(ABS(F111-E111)&lt;=H111,"PASS","FAIL"),"FAIL")</f>
        <v>PASS</v>
      </c>
      <c r="J111" s="47" t="str">
        <f aca="false">IF(ISNUMBER(F111),IF(ROUND(F111,2)=ROUND(E111,2),"same","differs"),"n/a")</f>
        <v>same</v>
      </c>
    </row>
    <row r="112" customFormat="false" ht="15" hidden="false" customHeight="false" outlineLevel="0" collapsed="false">
      <c r="B112" s="42" t="n">
        <v>105</v>
      </c>
      <c r="C112" s="8" t="s">
        <v>418</v>
      </c>
      <c r="D112" s="8" t="s">
        <v>523</v>
      </c>
      <c r="E112" s="43" t="n">
        <v>0</v>
      </c>
      <c r="F112" s="44" t="n">
        <f aca="false">'13_Week'!$I$16</f>
        <v>0</v>
      </c>
      <c r="G112" s="45" t="n">
        <f aca="false">IF(ISNUMBER(F112),F112-E112,"n/a")</f>
        <v>0</v>
      </c>
      <c r="H112" s="46" t="n">
        <v>0.005000001</v>
      </c>
      <c r="I112" s="47" t="str">
        <f aca="false">IF(ISNUMBER(F112),IF(ABS(F112-E112)&lt;=H112,"PASS","FAIL"),"FAIL")</f>
        <v>PASS</v>
      </c>
      <c r="J112" s="47" t="str">
        <f aca="false">IF(ISNUMBER(F112),IF(ROUND(F112,2)=ROUND(E112,2),"same","differs"),"n/a")</f>
        <v>same</v>
      </c>
    </row>
    <row r="113" customFormat="false" ht="15" hidden="false" customHeight="false" outlineLevel="0" collapsed="false">
      <c r="B113" s="42" t="n">
        <v>106</v>
      </c>
      <c r="C113" s="8" t="s">
        <v>418</v>
      </c>
      <c r="D113" s="8" t="s">
        <v>524</v>
      </c>
      <c r="E113" s="43" t="n">
        <v>0</v>
      </c>
      <c r="F113" s="44" t="n">
        <f aca="false">'13_Week'!$J$16</f>
        <v>0</v>
      </c>
      <c r="G113" s="45" t="n">
        <f aca="false">IF(ISNUMBER(F113),F113-E113,"n/a")</f>
        <v>0</v>
      </c>
      <c r="H113" s="46" t="n">
        <v>0.005000001</v>
      </c>
      <c r="I113" s="47" t="str">
        <f aca="false">IF(ISNUMBER(F113),IF(ABS(F113-E113)&lt;=H113,"PASS","FAIL"),"FAIL")</f>
        <v>PASS</v>
      </c>
      <c r="J113" s="47" t="str">
        <f aca="false">IF(ISNUMBER(F113),IF(ROUND(F113,2)=ROUND(E113,2),"same","differs"),"n/a")</f>
        <v>same</v>
      </c>
    </row>
    <row r="114" customFormat="false" ht="15" hidden="false" customHeight="false" outlineLevel="0" collapsed="false">
      <c r="B114" s="42" t="n">
        <v>107</v>
      </c>
      <c r="C114" s="8" t="s">
        <v>418</v>
      </c>
      <c r="D114" s="8" t="s">
        <v>525</v>
      </c>
      <c r="E114" s="43" t="n">
        <v>0</v>
      </c>
      <c r="F114" s="44" t="n">
        <f aca="false">'13_Week'!$K$16</f>
        <v>0</v>
      </c>
      <c r="G114" s="45" t="n">
        <f aca="false">IF(ISNUMBER(F114),F114-E114,"n/a")</f>
        <v>0</v>
      </c>
      <c r="H114" s="46" t="n">
        <v>0.005000001</v>
      </c>
      <c r="I114" s="47" t="str">
        <f aca="false">IF(ISNUMBER(F114),IF(ABS(F114-E114)&lt;=H114,"PASS","FAIL"),"FAIL")</f>
        <v>PASS</v>
      </c>
      <c r="J114" s="47" t="str">
        <f aca="false">IF(ISNUMBER(F114),IF(ROUND(F114,2)=ROUND(E114,2),"same","differs"),"n/a")</f>
        <v>same</v>
      </c>
    </row>
    <row r="115" customFormat="false" ht="15" hidden="false" customHeight="false" outlineLevel="0" collapsed="false">
      <c r="B115" s="42" t="n">
        <v>108</v>
      </c>
      <c r="C115" s="8" t="s">
        <v>418</v>
      </c>
      <c r="D115" s="8" t="s">
        <v>526</v>
      </c>
      <c r="E115" s="43" t="n">
        <v>0</v>
      </c>
      <c r="F115" s="44" t="n">
        <f aca="false">'13_Week'!$L$16</f>
        <v>0</v>
      </c>
      <c r="G115" s="45" t="n">
        <f aca="false">IF(ISNUMBER(F115),F115-E115,"n/a")</f>
        <v>0</v>
      </c>
      <c r="H115" s="46" t="n">
        <v>0.005000001</v>
      </c>
      <c r="I115" s="47" t="str">
        <f aca="false">IF(ISNUMBER(F115),IF(ABS(F115-E115)&lt;=H115,"PASS","FAIL"),"FAIL")</f>
        <v>PASS</v>
      </c>
      <c r="J115" s="47" t="str">
        <f aca="false">IF(ISNUMBER(F115),IF(ROUND(F115,2)=ROUND(E115,2),"same","differs"),"n/a")</f>
        <v>same</v>
      </c>
    </row>
    <row r="116" customFormat="false" ht="15" hidden="false" customHeight="false" outlineLevel="0" collapsed="false">
      <c r="B116" s="42" t="n">
        <v>109</v>
      </c>
      <c r="C116" s="8" t="s">
        <v>418</v>
      </c>
      <c r="D116" s="8" t="s">
        <v>527</v>
      </c>
      <c r="E116" s="43" t="n">
        <v>0</v>
      </c>
      <c r="F116" s="44" t="n">
        <f aca="false">'13_Week'!$M$16</f>
        <v>0</v>
      </c>
      <c r="G116" s="45" t="n">
        <f aca="false">IF(ISNUMBER(F116),F116-E116,"n/a")</f>
        <v>0</v>
      </c>
      <c r="H116" s="46" t="n">
        <v>0.005000001</v>
      </c>
      <c r="I116" s="47" t="str">
        <f aca="false">IF(ISNUMBER(F116),IF(ABS(F116-E116)&lt;=H116,"PASS","FAIL"),"FAIL")</f>
        <v>PASS</v>
      </c>
      <c r="J116" s="47" t="str">
        <f aca="false">IF(ISNUMBER(F116),IF(ROUND(F116,2)=ROUND(E116,2),"same","differs"),"n/a")</f>
        <v>same</v>
      </c>
    </row>
    <row r="117" customFormat="false" ht="15" hidden="false" customHeight="false" outlineLevel="0" collapsed="false">
      <c r="B117" s="42" t="n">
        <v>110</v>
      </c>
      <c r="C117" s="8" t="s">
        <v>418</v>
      </c>
      <c r="D117" s="8" t="s">
        <v>528</v>
      </c>
      <c r="E117" s="43" t="n">
        <v>0</v>
      </c>
      <c r="F117" s="44" t="n">
        <f aca="false">'13_Week'!$N$16</f>
        <v>0</v>
      </c>
      <c r="G117" s="45" t="n">
        <f aca="false">IF(ISNUMBER(F117),F117-E117,"n/a")</f>
        <v>0</v>
      </c>
      <c r="H117" s="46" t="n">
        <v>0.005000001</v>
      </c>
      <c r="I117" s="47" t="str">
        <f aca="false">IF(ISNUMBER(F117),IF(ABS(F117-E117)&lt;=H117,"PASS","FAIL"),"FAIL")</f>
        <v>PASS</v>
      </c>
      <c r="J117" s="47" t="str">
        <f aca="false">IF(ISNUMBER(F117),IF(ROUND(F117,2)=ROUND(E117,2),"same","differs"),"n/a")</f>
        <v>same</v>
      </c>
    </row>
    <row r="118" customFormat="false" ht="15" hidden="false" customHeight="false" outlineLevel="0" collapsed="false">
      <c r="B118" s="42" t="n">
        <v>111</v>
      </c>
      <c r="C118" s="8" t="s">
        <v>418</v>
      </c>
      <c r="D118" s="8" t="s">
        <v>529</v>
      </c>
      <c r="E118" s="43" t="n">
        <v>3</v>
      </c>
      <c r="F118" s="44" t="n">
        <f aca="false">'13_Week'!$O$16</f>
        <v>3</v>
      </c>
      <c r="G118" s="45" t="n">
        <f aca="false">IF(ISNUMBER(F118),F118-E118,"n/a")</f>
        <v>0</v>
      </c>
      <c r="H118" s="46" t="n">
        <v>0.005000001</v>
      </c>
      <c r="I118" s="47" t="str">
        <f aca="false">IF(ISNUMBER(F118),IF(ABS(F118-E118)&lt;=H118,"PASS","FAIL"),"FAIL")</f>
        <v>PASS</v>
      </c>
      <c r="J118" s="47" t="str">
        <f aca="false">IF(ISNUMBER(F118),IF(ROUND(F118,2)=ROUND(E118,2),"same","differs"),"n/a")</f>
        <v>same</v>
      </c>
    </row>
    <row r="119" customFormat="false" ht="15" hidden="false" customHeight="false" outlineLevel="0" collapsed="false">
      <c r="B119" s="42" t="n">
        <v>112</v>
      </c>
      <c r="C119" s="8" t="s">
        <v>418</v>
      </c>
      <c r="D119" s="8" t="s">
        <v>530</v>
      </c>
      <c r="E119" s="43" t="n">
        <v>3</v>
      </c>
      <c r="F119" s="44" t="n">
        <f aca="false">'13_Week'!$P$16</f>
        <v>3</v>
      </c>
      <c r="G119" s="45" t="n">
        <f aca="false">IF(ISNUMBER(F119),F119-E119,"n/a")</f>
        <v>0</v>
      </c>
      <c r="H119" s="46" t="n">
        <v>0.005000001</v>
      </c>
      <c r="I119" s="47" t="str">
        <f aca="false">IF(ISNUMBER(F119),IF(ABS(F119-E119)&lt;=H119,"PASS","FAIL"),"FAIL")</f>
        <v>PASS</v>
      </c>
      <c r="J119" s="47" t="str">
        <f aca="false">IF(ISNUMBER(F119),IF(ROUND(F119,2)=ROUND(E119,2),"same","differs"),"n/a")</f>
        <v>same</v>
      </c>
    </row>
    <row r="120" customFormat="false" ht="15" hidden="false" customHeight="false" outlineLevel="0" collapsed="false">
      <c r="B120" s="42" t="n">
        <v>113</v>
      </c>
      <c r="C120" s="8" t="s">
        <v>418</v>
      </c>
      <c r="D120" s="8" t="s">
        <v>531</v>
      </c>
      <c r="E120" s="43" t="n">
        <v>0.77</v>
      </c>
      <c r="F120" s="44" t="n">
        <f aca="false">'13_Week'!$C$17</f>
        <v>0.769230769230769</v>
      </c>
      <c r="G120" s="45" t="n">
        <f aca="false">IF(ISNUMBER(F120),F120-E120,"n/a")</f>
        <v>-0.000769230769230744</v>
      </c>
      <c r="H120" s="46" t="n">
        <v>0.005000001</v>
      </c>
      <c r="I120" s="47" t="str">
        <f aca="false">IF(ISNUMBER(F120),IF(ABS(F120-E120)&lt;=H120,"PASS","FAIL"),"FAIL")</f>
        <v>PASS</v>
      </c>
      <c r="J120" s="47" t="str">
        <f aca="false">IF(ISNUMBER(F120),IF(ROUND(F120,2)=ROUND(E120,2),"same","differs"),"n/a")</f>
        <v>same</v>
      </c>
    </row>
    <row r="121" customFormat="false" ht="15" hidden="false" customHeight="false" outlineLevel="0" collapsed="false">
      <c r="B121" s="42" t="n">
        <v>114</v>
      </c>
      <c r="C121" s="8" t="s">
        <v>418</v>
      </c>
      <c r="D121" s="8" t="s">
        <v>532</v>
      </c>
      <c r="E121" s="43" t="n">
        <v>0.77</v>
      </c>
      <c r="F121" s="44" t="n">
        <f aca="false">'13_Week'!$D$17</f>
        <v>0.769230769230769</v>
      </c>
      <c r="G121" s="45" t="n">
        <f aca="false">IF(ISNUMBER(F121),F121-E121,"n/a")</f>
        <v>-0.000769230769230744</v>
      </c>
      <c r="H121" s="46" t="n">
        <v>0.005000001</v>
      </c>
      <c r="I121" s="47" t="str">
        <f aca="false">IF(ISNUMBER(F121),IF(ABS(F121-E121)&lt;=H121,"PASS","FAIL"),"FAIL")</f>
        <v>PASS</v>
      </c>
      <c r="J121" s="47" t="str">
        <f aca="false">IF(ISNUMBER(F121),IF(ROUND(F121,2)=ROUND(E121,2),"same","differs"),"n/a")</f>
        <v>same</v>
      </c>
    </row>
    <row r="122" customFormat="false" ht="15" hidden="false" customHeight="false" outlineLevel="0" collapsed="false">
      <c r="B122" s="42" t="n">
        <v>115</v>
      </c>
      <c r="C122" s="8" t="s">
        <v>418</v>
      </c>
      <c r="D122" s="8" t="s">
        <v>533</v>
      </c>
      <c r="E122" s="43" t="n">
        <v>0.77</v>
      </c>
      <c r="F122" s="44" t="n">
        <f aca="false">'13_Week'!$E$17</f>
        <v>0.769230769230769</v>
      </c>
      <c r="G122" s="45" t="n">
        <f aca="false">IF(ISNUMBER(F122),F122-E122,"n/a")</f>
        <v>-0.000769230769230744</v>
      </c>
      <c r="H122" s="46" t="n">
        <v>0.005000001</v>
      </c>
      <c r="I122" s="47" t="str">
        <f aca="false">IF(ISNUMBER(F122),IF(ABS(F122-E122)&lt;=H122,"PASS","FAIL"),"FAIL")</f>
        <v>PASS</v>
      </c>
      <c r="J122" s="47" t="str">
        <f aca="false">IF(ISNUMBER(F122),IF(ROUND(F122,2)=ROUND(E122,2),"same","differs"),"n/a")</f>
        <v>same</v>
      </c>
    </row>
    <row r="123" customFormat="false" ht="15" hidden="false" customHeight="false" outlineLevel="0" collapsed="false">
      <c r="B123" s="42" t="n">
        <v>116</v>
      </c>
      <c r="C123" s="8" t="s">
        <v>418</v>
      </c>
      <c r="D123" s="8" t="s">
        <v>534</v>
      </c>
      <c r="E123" s="43" t="n">
        <v>0.77</v>
      </c>
      <c r="F123" s="44" t="n">
        <f aca="false">'13_Week'!$F$17</f>
        <v>0.769230769230769</v>
      </c>
      <c r="G123" s="45" t="n">
        <f aca="false">IF(ISNUMBER(F123),F123-E123,"n/a")</f>
        <v>-0.000769230769230744</v>
      </c>
      <c r="H123" s="46" t="n">
        <v>0.005000001</v>
      </c>
      <c r="I123" s="47" t="str">
        <f aca="false">IF(ISNUMBER(F123),IF(ABS(F123-E123)&lt;=H123,"PASS","FAIL"),"FAIL")</f>
        <v>PASS</v>
      </c>
      <c r="J123" s="47" t="str">
        <f aca="false">IF(ISNUMBER(F123),IF(ROUND(F123,2)=ROUND(E123,2),"same","differs"),"n/a")</f>
        <v>same</v>
      </c>
    </row>
    <row r="124" customFormat="false" ht="15" hidden="false" customHeight="false" outlineLevel="0" collapsed="false">
      <c r="B124" s="42" t="n">
        <v>117</v>
      </c>
      <c r="C124" s="8" t="s">
        <v>418</v>
      </c>
      <c r="D124" s="8" t="s">
        <v>535</v>
      </c>
      <c r="E124" s="43" t="n">
        <v>0.77</v>
      </c>
      <c r="F124" s="44" t="n">
        <f aca="false">'13_Week'!$G$17</f>
        <v>0.769230769230769</v>
      </c>
      <c r="G124" s="45" t="n">
        <f aca="false">IF(ISNUMBER(F124),F124-E124,"n/a")</f>
        <v>-0.000769230769230744</v>
      </c>
      <c r="H124" s="46" t="n">
        <v>0.005000001</v>
      </c>
      <c r="I124" s="47" t="str">
        <f aca="false">IF(ISNUMBER(F124),IF(ABS(F124-E124)&lt;=H124,"PASS","FAIL"),"FAIL")</f>
        <v>PASS</v>
      </c>
      <c r="J124" s="47" t="str">
        <f aca="false">IF(ISNUMBER(F124),IF(ROUND(F124,2)=ROUND(E124,2),"same","differs"),"n/a")</f>
        <v>same</v>
      </c>
    </row>
    <row r="125" customFormat="false" ht="15" hidden="false" customHeight="false" outlineLevel="0" collapsed="false">
      <c r="B125" s="42" t="n">
        <v>118</v>
      </c>
      <c r="C125" s="8" t="s">
        <v>418</v>
      </c>
      <c r="D125" s="8" t="s">
        <v>536</v>
      </c>
      <c r="E125" s="43" t="n">
        <v>0.77</v>
      </c>
      <c r="F125" s="44" t="n">
        <f aca="false">'13_Week'!$H$17</f>
        <v>0.769230769230769</v>
      </c>
      <c r="G125" s="45" t="n">
        <f aca="false">IF(ISNUMBER(F125),F125-E125,"n/a")</f>
        <v>-0.000769230769230744</v>
      </c>
      <c r="H125" s="46" t="n">
        <v>0.005000001</v>
      </c>
      <c r="I125" s="47" t="str">
        <f aca="false">IF(ISNUMBER(F125),IF(ABS(F125-E125)&lt;=H125,"PASS","FAIL"),"FAIL")</f>
        <v>PASS</v>
      </c>
      <c r="J125" s="47" t="str">
        <f aca="false">IF(ISNUMBER(F125),IF(ROUND(F125,2)=ROUND(E125,2),"same","differs"),"n/a")</f>
        <v>same</v>
      </c>
    </row>
    <row r="126" customFormat="false" ht="15" hidden="false" customHeight="false" outlineLevel="0" collapsed="false">
      <c r="B126" s="42" t="n">
        <v>119</v>
      </c>
      <c r="C126" s="8" t="s">
        <v>418</v>
      </c>
      <c r="D126" s="8" t="s">
        <v>537</v>
      </c>
      <c r="E126" s="43" t="n">
        <v>0.77</v>
      </c>
      <c r="F126" s="44" t="n">
        <f aca="false">'13_Week'!$I$17</f>
        <v>0.769230769230769</v>
      </c>
      <c r="G126" s="45" t="n">
        <f aca="false">IF(ISNUMBER(F126),F126-E126,"n/a")</f>
        <v>-0.000769230769230744</v>
      </c>
      <c r="H126" s="46" t="n">
        <v>0.005000001</v>
      </c>
      <c r="I126" s="47" t="str">
        <f aca="false">IF(ISNUMBER(F126),IF(ABS(F126-E126)&lt;=H126,"PASS","FAIL"),"FAIL")</f>
        <v>PASS</v>
      </c>
      <c r="J126" s="47" t="str">
        <f aca="false">IF(ISNUMBER(F126),IF(ROUND(F126,2)=ROUND(E126,2),"same","differs"),"n/a")</f>
        <v>same</v>
      </c>
    </row>
    <row r="127" customFormat="false" ht="15" hidden="false" customHeight="false" outlineLevel="0" collapsed="false">
      <c r="B127" s="42" t="n">
        <v>120</v>
      </c>
      <c r="C127" s="8" t="s">
        <v>418</v>
      </c>
      <c r="D127" s="8" t="s">
        <v>538</v>
      </c>
      <c r="E127" s="43" t="n">
        <v>0.77</v>
      </c>
      <c r="F127" s="44" t="n">
        <f aca="false">'13_Week'!$J$17</f>
        <v>0.769230769230769</v>
      </c>
      <c r="G127" s="45" t="n">
        <f aca="false">IF(ISNUMBER(F127),F127-E127,"n/a")</f>
        <v>-0.000769230769230744</v>
      </c>
      <c r="H127" s="46" t="n">
        <v>0.005000001</v>
      </c>
      <c r="I127" s="47" t="str">
        <f aca="false">IF(ISNUMBER(F127),IF(ABS(F127-E127)&lt;=H127,"PASS","FAIL"),"FAIL")</f>
        <v>PASS</v>
      </c>
      <c r="J127" s="47" t="str">
        <f aca="false">IF(ISNUMBER(F127),IF(ROUND(F127,2)=ROUND(E127,2),"same","differs"),"n/a")</f>
        <v>same</v>
      </c>
    </row>
    <row r="128" customFormat="false" ht="15" hidden="false" customHeight="false" outlineLevel="0" collapsed="false">
      <c r="B128" s="42" t="n">
        <v>121</v>
      </c>
      <c r="C128" s="8" t="s">
        <v>418</v>
      </c>
      <c r="D128" s="8" t="s">
        <v>539</v>
      </c>
      <c r="E128" s="43" t="n">
        <v>0.77</v>
      </c>
      <c r="F128" s="44" t="n">
        <f aca="false">'13_Week'!$K$17</f>
        <v>0.769230769230769</v>
      </c>
      <c r="G128" s="45" t="n">
        <f aca="false">IF(ISNUMBER(F128),F128-E128,"n/a")</f>
        <v>-0.000769230769230744</v>
      </c>
      <c r="H128" s="46" t="n">
        <v>0.005000001</v>
      </c>
      <c r="I128" s="47" t="str">
        <f aca="false">IF(ISNUMBER(F128),IF(ABS(F128-E128)&lt;=H128,"PASS","FAIL"),"FAIL")</f>
        <v>PASS</v>
      </c>
      <c r="J128" s="47" t="str">
        <f aca="false">IF(ISNUMBER(F128),IF(ROUND(F128,2)=ROUND(E128,2),"same","differs"),"n/a")</f>
        <v>same</v>
      </c>
    </row>
    <row r="129" customFormat="false" ht="15" hidden="false" customHeight="false" outlineLevel="0" collapsed="false">
      <c r="B129" s="42" t="n">
        <v>122</v>
      </c>
      <c r="C129" s="8" t="s">
        <v>418</v>
      </c>
      <c r="D129" s="8" t="s">
        <v>540</v>
      </c>
      <c r="E129" s="43" t="n">
        <v>0.77</v>
      </c>
      <c r="F129" s="44" t="n">
        <f aca="false">'13_Week'!$L$17</f>
        <v>0.769230769230769</v>
      </c>
      <c r="G129" s="45" t="n">
        <f aca="false">IF(ISNUMBER(F129),F129-E129,"n/a")</f>
        <v>-0.000769230769230744</v>
      </c>
      <c r="H129" s="46" t="n">
        <v>0.005000001</v>
      </c>
      <c r="I129" s="47" t="str">
        <f aca="false">IF(ISNUMBER(F129),IF(ABS(F129-E129)&lt;=H129,"PASS","FAIL"),"FAIL")</f>
        <v>PASS</v>
      </c>
      <c r="J129" s="47" t="str">
        <f aca="false">IF(ISNUMBER(F129),IF(ROUND(F129,2)=ROUND(E129,2),"same","differs"),"n/a")</f>
        <v>same</v>
      </c>
    </row>
    <row r="130" customFormat="false" ht="15" hidden="false" customHeight="false" outlineLevel="0" collapsed="false">
      <c r="B130" s="42" t="n">
        <v>123</v>
      </c>
      <c r="C130" s="8" t="s">
        <v>418</v>
      </c>
      <c r="D130" s="8" t="s">
        <v>541</v>
      </c>
      <c r="E130" s="43" t="n">
        <v>0.77</v>
      </c>
      <c r="F130" s="44" t="n">
        <f aca="false">'13_Week'!$M$17</f>
        <v>0.769230769230769</v>
      </c>
      <c r="G130" s="45" t="n">
        <f aca="false">IF(ISNUMBER(F130),F130-E130,"n/a")</f>
        <v>-0.000769230769230744</v>
      </c>
      <c r="H130" s="46" t="n">
        <v>0.005000001</v>
      </c>
      <c r="I130" s="47" t="str">
        <f aca="false">IF(ISNUMBER(F130),IF(ABS(F130-E130)&lt;=H130,"PASS","FAIL"),"FAIL")</f>
        <v>PASS</v>
      </c>
      <c r="J130" s="47" t="str">
        <f aca="false">IF(ISNUMBER(F130),IF(ROUND(F130,2)=ROUND(E130,2),"same","differs"),"n/a")</f>
        <v>same</v>
      </c>
    </row>
    <row r="131" customFormat="false" ht="15" hidden="false" customHeight="false" outlineLevel="0" collapsed="false">
      <c r="B131" s="42" t="n">
        <v>124</v>
      </c>
      <c r="C131" s="8" t="s">
        <v>418</v>
      </c>
      <c r="D131" s="8" t="s">
        <v>542</v>
      </c>
      <c r="E131" s="43" t="n">
        <v>0.77</v>
      </c>
      <c r="F131" s="44" t="n">
        <f aca="false">'13_Week'!$N$17</f>
        <v>0.769230769230769</v>
      </c>
      <c r="G131" s="45" t="n">
        <f aca="false">IF(ISNUMBER(F131),F131-E131,"n/a")</f>
        <v>-0.000769230769230744</v>
      </c>
      <c r="H131" s="46" t="n">
        <v>0.005000001</v>
      </c>
      <c r="I131" s="47" t="str">
        <f aca="false">IF(ISNUMBER(F131),IF(ABS(F131-E131)&lt;=H131,"PASS","FAIL"),"FAIL")</f>
        <v>PASS</v>
      </c>
      <c r="J131" s="47" t="str">
        <f aca="false">IF(ISNUMBER(F131),IF(ROUND(F131,2)=ROUND(E131,2),"same","differs"),"n/a")</f>
        <v>same</v>
      </c>
    </row>
    <row r="132" customFormat="false" ht="15" hidden="false" customHeight="false" outlineLevel="0" collapsed="false">
      <c r="B132" s="42" t="n">
        <v>125</v>
      </c>
      <c r="C132" s="8" t="s">
        <v>418</v>
      </c>
      <c r="D132" s="8" t="s">
        <v>543</v>
      </c>
      <c r="E132" s="43" t="n">
        <v>0.77</v>
      </c>
      <c r="F132" s="44" t="n">
        <f aca="false">'13_Week'!$O$17</f>
        <v>0.769230769230769</v>
      </c>
      <c r="G132" s="45" t="n">
        <f aca="false">IF(ISNUMBER(F132),F132-E132,"n/a")</f>
        <v>-0.000769230769230744</v>
      </c>
      <c r="H132" s="46" t="n">
        <v>0.005000001</v>
      </c>
      <c r="I132" s="47" t="str">
        <f aca="false">IF(ISNUMBER(F132),IF(ABS(F132-E132)&lt;=H132,"PASS","FAIL"),"FAIL")</f>
        <v>PASS</v>
      </c>
      <c r="J132" s="47" t="str">
        <f aca="false">IF(ISNUMBER(F132),IF(ROUND(F132,2)=ROUND(E132,2),"same","differs"),"n/a")</f>
        <v>same</v>
      </c>
    </row>
    <row r="133" customFormat="false" ht="15" hidden="false" customHeight="false" outlineLevel="0" collapsed="false">
      <c r="B133" s="42" t="n">
        <v>126</v>
      </c>
      <c r="C133" s="8" t="s">
        <v>418</v>
      </c>
      <c r="D133" s="8" t="s">
        <v>544</v>
      </c>
      <c r="E133" s="43" t="n">
        <v>10</v>
      </c>
      <c r="F133" s="44" t="n">
        <f aca="false">'13_Week'!$P$17</f>
        <v>10</v>
      </c>
      <c r="G133" s="45" t="n">
        <f aca="false">IF(ISNUMBER(F133),F133-E133,"n/a")</f>
        <v>0</v>
      </c>
      <c r="H133" s="46" t="n">
        <v>0.005000001</v>
      </c>
      <c r="I133" s="47" t="str">
        <f aca="false">IF(ISNUMBER(F133),IF(ABS(F133-E133)&lt;=H133,"PASS","FAIL"),"FAIL")</f>
        <v>PASS</v>
      </c>
      <c r="J133" s="47" t="str">
        <f aca="false">IF(ISNUMBER(F133),IF(ROUND(F133,2)=ROUND(E133,2),"same","differs"),"n/a")</f>
        <v>same</v>
      </c>
    </row>
    <row r="134" customFormat="false" ht="15" hidden="false" customHeight="false" outlineLevel="0" collapsed="false">
      <c r="B134" s="42" t="n">
        <v>127</v>
      </c>
      <c r="C134" s="8" t="s">
        <v>418</v>
      </c>
      <c r="D134" s="8" t="s">
        <v>545</v>
      </c>
      <c r="E134" s="43" t="n">
        <v>0</v>
      </c>
      <c r="F134" s="44" t="n">
        <f aca="false">'13_Week'!$C$18</f>
        <v>0</v>
      </c>
      <c r="G134" s="45" t="n">
        <f aca="false">IF(ISNUMBER(F134),F134-E134,"n/a")</f>
        <v>0</v>
      </c>
      <c r="H134" s="46" t="n">
        <v>0.005000001</v>
      </c>
      <c r="I134" s="47" t="str">
        <f aca="false">IF(ISNUMBER(F134),IF(ABS(F134-E134)&lt;=H134,"PASS","FAIL"),"FAIL")</f>
        <v>PASS</v>
      </c>
      <c r="J134" s="47" t="str">
        <f aca="false">IF(ISNUMBER(F134),IF(ROUND(F134,2)=ROUND(E134,2),"same","differs"),"n/a")</f>
        <v>same</v>
      </c>
    </row>
    <row r="135" customFormat="false" ht="15" hidden="false" customHeight="false" outlineLevel="0" collapsed="false">
      <c r="B135" s="42" t="n">
        <v>128</v>
      </c>
      <c r="C135" s="8" t="s">
        <v>418</v>
      </c>
      <c r="D135" s="8" t="s">
        <v>546</v>
      </c>
      <c r="E135" s="43" t="n">
        <v>0</v>
      </c>
      <c r="F135" s="44" t="n">
        <f aca="false">'13_Week'!$D$18</f>
        <v>0</v>
      </c>
      <c r="G135" s="45" t="n">
        <f aca="false">IF(ISNUMBER(F135),F135-E135,"n/a")</f>
        <v>0</v>
      </c>
      <c r="H135" s="46" t="n">
        <v>0.005000001</v>
      </c>
      <c r="I135" s="47" t="str">
        <f aca="false">IF(ISNUMBER(F135),IF(ABS(F135-E135)&lt;=H135,"PASS","FAIL"),"FAIL")</f>
        <v>PASS</v>
      </c>
      <c r="J135" s="47" t="str">
        <f aca="false">IF(ISNUMBER(F135),IF(ROUND(F135,2)=ROUND(E135,2),"same","differs"),"n/a")</f>
        <v>same</v>
      </c>
    </row>
    <row r="136" customFormat="false" ht="15" hidden="false" customHeight="false" outlineLevel="0" collapsed="false">
      <c r="B136" s="42" t="n">
        <v>129</v>
      </c>
      <c r="C136" s="8" t="s">
        <v>418</v>
      </c>
      <c r="D136" s="8" t="s">
        <v>547</v>
      </c>
      <c r="E136" s="43" t="n">
        <v>0</v>
      </c>
      <c r="F136" s="44" t="n">
        <f aca="false">'13_Week'!$E$18</f>
        <v>0</v>
      </c>
      <c r="G136" s="45" t="n">
        <f aca="false">IF(ISNUMBER(F136),F136-E136,"n/a")</f>
        <v>0</v>
      </c>
      <c r="H136" s="46" t="n">
        <v>0.005000001</v>
      </c>
      <c r="I136" s="47" t="str">
        <f aca="false">IF(ISNUMBER(F136),IF(ABS(F136-E136)&lt;=H136,"PASS","FAIL"),"FAIL")</f>
        <v>PASS</v>
      </c>
      <c r="J136" s="47" t="str">
        <f aca="false">IF(ISNUMBER(F136),IF(ROUND(F136,2)=ROUND(E136,2),"same","differs"),"n/a")</f>
        <v>same</v>
      </c>
    </row>
    <row r="137" customFormat="false" ht="15" hidden="false" customHeight="false" outlineLevel="0" collapsed="false">
      <c r="B137" s="42" t="n">
        <v>130</v>
      </c>
      <c r="C137" s="8" t="s">
        <v>418</v>
      </c>
      <c r="D137" s="8" t="s">
        <v>548</v>
      </c>
      <c r="E137" s="43" t="n">
        <v>0</v>
      </c>
      <c r="F137" s="44" t="n">
        <f aca="false">'13_Week'!$F$18</f>
        <v>0</v>
      </c>
      <c r="G137" s="45" t="n">
        <f aca="false">IF(ISNUMBER(F137),F137-E137,"n/a")</f>
        <v>0</v>
      </c>
      <c r="H137" s="46" t="n">
        <v>0.005000001</v>
      </c>
      <c r="I137" s="47" t="str">
        <f aca="false">IF(ISNUMBER(F137),IF(ABS(F137-E137)&lt;=H137,"PASS","FAIL"),"FAIL")</f>
        <v>PASS</v>
      </c>
      <c r="J137" s="47" t="str">
        <f aca="false">IF(ISNUMBER(F137),IF(ROUND(F137,2)=ROUND(E137,2),"same","differs"),"n/a")</f>
        <v>same</v>
      </c>
    </row>
    <row r="138" customFormat="false" ht="15" hidden="false" customHeight="false" outlineLevel="0" collapsed="false">
      <c r="B138" s="42" t="n">
        <v>131</v>
      </c>
      <c r="C138" s="8" t="s">
        <v>418</v>
      </c>
      <c r="D138" s="8" t="s">
        <v>549</v>
      </c>
      <c r="E138" s="43" t="n">
        <v>0</v>
      </c>
      <c r="F138" s="44" t="n">
        <f aca="false">'13_Week'!$G$18</f>
        <v>0</v>
      </c>
      <c r="G138" s="45" t="n">
        <f aca="false">IF(ISNUMBER(F138),F138-E138,"n/a")</f>
        <v>0</v>
      </c>
      <c r="H138" s="46" t="n">
        <v>0.005000001</v>
      </c>
      <c r="I138" s="47" t="str">
        <f aca="false">IF(ISNUMBER(F138),IF(ABS(F138-E138)&lt;=H138,"PASS","FAIL"),"FAIL")</f>
        <v>PASS</v>
      </c>
      <c r="J138" s="47" t="str">
        <f aca="false">IF(ISNUMBER(F138),IF(ROUND(F138,2)=ROUND(E138,2),"same","differs"),"n/a")</f>
        <v>same</v>
      </c>
    </row>
    <row r="139" customFormat="false" ht="15" hidden="false" customHeight="false" outlineLevel="0" collapsed="false">
      <c r="B139" s="42" t="n">
        <v>132</v>
      </c>
      <c r="C139" s="8" t="s">
        <v>418</v>
      </c>
      <c r="D139" s="8" t="s">
        <v>550</v>
      </c>
      <c r="E139" s="43" t="n">
        <v>0</v>
      </c>
      <c r="F139" s="44" t="n">
        <f aca="false">'13_Week'!$H$18</f>
        <v>0</v>
      </c>
      <c r="G139" s="45" t="n">
        <f aca="false">IF(ISNUMBER(F139),F139-E139,"n/a")</f>
        <v>0</v>
      </c>
      <c r="H139" s="46" t="n">
        <v>0.005000001</v>
      </c>
      <c r="I139" s="47" t="str">
        <f aca="false">IF(ISNUMBER(F139),IF(ABS(F139-E139)&lt;=H139,"PASS","FAIL"),"FAIL")</f>
        <v>PASS</v>
      </c>
      <c r="J139" s="47" t="str">
        <f aca="false">IF(ISNUMBER(F139),IF(ROUND(F139,2)=ROUND(E139,2),"same","differs"),"n/a")</f>
        <v>same</v>
      </c>
    </row>
    <row r="140" customFormat="false" ht="15" hidden="false" customHeight="false" outlineLevel="0" collapsed="false">
      <c r="B140" s="42" t="n">
        <v>133</v>
      </c>
      <c r="C140" s="8" t="s">
        <v>418</v>
      </c>
      <c r="D140" s="8" t="s">
        <v>551</v>
      </c>
      <c r="E140" s="43" t="n">
        <v>1.5</v>
      </c>
      <c r="F140" s="44" t="n">
        <f aca="false">'13_Week'!$I$18</f>
        <v>1.5</v>
      </c>
      <c r="G140" s="45" t="n">
        <f aca="false">IF(ISNUMBER(F140),F140-E140,"n/a")</f>
        <v>0</v>
      </c>
      <c r="H140" s="46" t="n">
        <v>0.005000001</v>
      </c>
      <c r="I140" s="47" t="str">
        <f aca="false">IF(ISNUMBER(F140),IF(ABS(F140-E140)&lt;=H140,"PASS","FAIL"),"FAIL")</f>
        <v>PASS</v>
      </c>
      <c r="J140" s="47" t="str">
        <f aca="false">IF(ISNUMBER(F140),IF(ROUND(F140,2)=ROUND(E140,2),"same","differs"),"n/a")</f>
        <v>same</v>
      </c>
    </row>
    <row r="141" customFormat="false" ht="15" hidden="false" customHeight="false" outlineLevel="0" collapsed="false">
      <c r="B141" s="42" t="n">
        <v>134</v>
      </c>
      <c r="C141" s="8" t="s">
        <v>418</v>
      </c>
      <c r="D141" s="8" t="s">
        <v>552</v>
      </c>
      <c r="E141" s="43" t="n">
        <v>0</v>
      </c>
      <c r="F141" s="44" t="n">
        <f aca="false">'13_Week'!$J$18</f>
        <v>0</v>
      </c>
      <c r="G141" s="45" t="n">
        <f aca="false">IF(ISNUMBER(F141),F141-E141,"n/a")</f>
        <v>0</v>
      </c>
      <c r="H141" s="46" t="n">
        <v>0.005000001</v>
      </c>
      <c r="I141" s="47" t="str">
        <f aca="false">IF(ISNUMBER(F141),IF(ABS(F141-E141)&lt;=H141,"PASS","FAIL"),"FAIL")</f>
        <v>PASS</v>
      </c>
      <c r="J141" s="47" t="str">
        <f aca="false">IF(ISNUMBER(F141),IF(ROUND(F141,2)=ROUND(E141,2),"same","differs"),"n/a")</f>
        <v>same</v>
      </c>
    </row>
    <row r="142" customFormat="false" ht="15" hidden="false" customHeight="false" outlineLevel="0" collapsed="false">
      <c r="B142" s="42" t="n">
        <v>135</v>
      </c>
      <c r="C142" s="8" t="s">
        <v>418</v>
      </c>
      <c r="D142" s="8" t="s">
        <v>553</v>
      </c>
      <c r="E142" s="43" t="n">
        <v>0</v>
      </c>
      <c r="F142" s="44" t="n">
        <f aca="false">'13_Week'!$K$18</f>
        <v>0</v>
      </c>
      <c r="G142" s="45" t="n">
        <f aca="false">IF(ISNUMBER(F142),F142-E142,"n/a")</f>
        <v>0</v>
      </c>
      <c r="H142" s="46" t="n">
        <v>0.005000001</v>
      </c>
      <c r="I142" s="47" t="str">
        <f aca="false">IF(ISNUMBER(F142),IF(ABS(F142-E142)&lt;=H142,"PASS","FAIL"),"FAIL")</f>
        <v>PASS</v>
      </c>
      <c r="J142" s="47" t="str">
        <f aca="false">IF(ISNUMBER(F142),IF(ROUND(F142,2)=ROUND(E142,2),"same","differs"),"n/a")</f>
        <v>same</v>
      </c>
    </row>
    <row r="143" customFormat="false" ht="15" hidden="false" customHeight="false" outlineLevel="0" collapsed="false">
      <c r="B143" s="42" t="n">
        <v>136</v>
      </c>
      <c r="C143" s="8" t="s">
        <v>418</v>
      </c>
      <c r="D143" s="8" t="s">
        <v>554</v>
      </c>
      <c r="E143" s="43" t="n">
        <v>0</v>
      </c>
      <c r="F143" s="44" t="n">
        <f aca="false">'13_Week'!$L$18</f>
        <v>0</v>
      </c>
      <c r="G143" s="45" t="n">
        <f aca="false">IF(ISNUMBER(F143),F143-E143,"n/a")</f>
        <v>0</v>
      </c>
      <c r="H143" s="46" t="n">
        <v>0.005000001</v>
      </c>
      <c r="I143" s="47" t="str">
        <f aca="false">IF(ISNUMBER(F143),IF(ABS(F143-E143)&lt;=H143,"PASS","FAIL"),"FAIL")</f>
        <v>PASS</v>
      </c>
      <c r="J143" s="47" t="str">
        <f aca="false">IF(ISNUMBER(F143),IF(ROUND(F143,2)=ROUND(E143,2),"same","differs"),"n/a")</f>
        <v>same</v>
      </c>
    </row>
    <row r="144" customFormat="false" ht="15" hidden="false" customHeight="false" outlineLevel="0" collapsed="false">
      <c r="B144" s="42" t="n">
        <v>137</v>
      </c>
      <c r="C144" s="8" t="s">
        <v>418</v>
      </c>
      <c r="D144" s="8" t="s">
        <v>555</v>
      </c>
      <c r="E144" s="43" t="n">
        <v>0</v>
      </c>
      <c r="F144" s="44" t="n">
        <f aca="false">'13_Week'!$M$18</f>
        <v>0</v>
      </c>
      <c r="G144" s="45" t="n">
        <f aca="false">IF(ISNUMBER(F144),F144-E144,"n/a")</f>
        <v>0</v>
      </c>
      <c r="H144" s="46" t="n">
        <v>0.005000001</v>
      </c>
      <c r="I144" s="47" t="str">
        <f aca="false">IF(ISNUMBER(F144),IF(ABS(F144-E144)&lt;=H144,"PASS","FAIL"),"FAIL")</f>
        <v>PASS</v>
      </c>
      <c r="J144" s="47" t="str">
        <f aca="false">IF(ISNUMBER(F144),IF(ROUND(F144,2)=ROUND(E144,2),"same","differs"),"n/a")</f>
        <v>same</v>
      </c>
    </row>
    <row r="145" customFormat="false" ht="15" hidden="false" customHeight="false" outlineLevel="0" collapsed="false">
      <c r="B145" s="42" t="n">
        <v>138</v>
      </c>
      <c r="C145" s="8" t="s">
        <v>418</v>
      </c>
      <c r="D145" s="8" t="s">
        <v>556</v>
      </c>
      <c r="E145" s="43" t="n">
        <v>0</v>
      </c>
      <c r="F145" s="44" t="n">
        <f aca="false">'13_Week'!$N$18</f>
        <v>0</v>
      </c>
      <c r="G145" s="45" t="n">
        <f aca="false">IF(ISNUMBER(F145),F145-E145,"n/a")</f>
        <v>0</v>
      </c>
      <c r="H145" s="46" t="n">
        <v>0.005000001</v>
      </c>
      <c r="I145" s="47" t="str">
        <f aca="false">IF(ISNUMBER(F145),IF(ABS(F145-E145)&lt;=H145,"PASS","FAIL"),"FAIL")</f>
        <v>PASS</v>
      </c>
      <c r="J145" s="47" t="str">
        <f aca="false">IF(ISNUMBER(F145),IF(ROUND(F145,2)=ROUND(E145,2),"same","differs"),"n/a")</f>
        <v>same</v>
      </c>
    </row>
    <row r="146" customFormat="false" ht="15" hidden="false" customHeight="false" outlineLevel="0" collapsed="false">
      <c r="B146" s="42" t="n">
        <v>139</v>
      </c>
      <c r="C146" s="8" t="s">
        <v>418</v>
      </c>
      <c r="D146" s="8" t="s">
        <v>557</v>
      </c>
      <c r="E146" s="43" t="n">
        <v>0</v>
      </c>
      <c r="F146" s="44" t="n">
        <f aca="false">'13_Week'!$O$18</f>
        <v>0</v>
      </c>
      <c r="G146" s="45" t="n">
        <f aca="false">IF(ISNUMBER(F146),F146-E146,"n/a")</f>
        <v>0</v>
      </c>
      <c r="H146" s="46" t="n">
        <v>0.005000001</v>
      </c>
      <c r="I146" s="47" t="str">
        <f aca="false">IF(ISNUMBER(F146),IF(ABS(F146-E146)&lt;=H146,"PASS","FAIL"),"FAIL")</f>
        <v>PASS</v>
      </c>
      <c r="J146" s="47" t="str">
        <f aca="false">IF(ISNUMBER(F146),IF(ROUND(F146,2)=ROUND(E146,2),"same","differs"),"n/a")</f>
        <v>same</v>
      </c>
    </row>
    <row r="147" customFormat="false" ht="15" hidden="false" customHeight="false" outlineLevel="0" collapsed="false">
      <c r="B147" s="42" t="n">
        <v>140</v>
      </c>
      <c r="C147" s="8" t="s">
        <v>418</v>
      </c>
      <c r="D147" s="8" t="s">
        <v>558</v>
      </c>
      <c r="E147" s="43" t="n">
        <v>1.5</v>
      </c>
      <c r="F147" s="44" t="n">
        <f aca="false">'13_Week'!$P$18</f>
        <v>1.5</v>
      </c>
      <c r="G147" s="45" t="n">
        <f aca="false">IF(ISNUMBER(F147),F147-E147,"n/a")</f>
        <v>0</v>
      </c>
      <c r="H147" s="46" t="n">
        <v>0.005000001</v>
      </c>
      <c r="I147" s="47" t="str">
        <f aca="false">IF(ISNUMBER(F147),IF(ABS(F147-E147)&lt;=H147,"PASS","FAIL"),"FAIL")</f>
        <v>PASS</v>
      </c>
      <c r="J147" s="47" t="str">
        <f aca="false">IF(ISNUMBER(F147),IF(ROUND(F147,2)=ROUND(E147,2),"same","differs"),"n/a")</f>
        <v>same</v>
      </c>
    </row>
    <row r="148" customFormat="false" ht="15" hidden="false" customHeight="false" outlineLevel="0" collapsed="false">
      <c r="B148" s="42" t="n">
        <v>141</v>
      </c>
      <c r="C148" s="8" t="s">
        <v>418</v>
      </c>
      <c r="D148" s="8" t="s">
        <v>559</v>
      </c>
      <c r="E148" s="43" t="n">
        <v>0</v>
      </c>
      <c r="F148" s="44" t="n">
        <f aca="false">'13_Week'!$C$22</f>
        <v>0</v>
      </c>
      <c r="G148" s="45" t="n">
        <f aca="false">IF(ISNUMBER(F148),F148-E148,"n/a")</f>
        <v>0</v>
      </c>
      <c r="H148" s="46" t="n">
        <v>0.005000001</v>
      </c>
      <c r="I148" s="47" t="str">
        <f aca="false">IF(ISNUMBER(F148),IF(ABS(F148-E148)&lt;=H148,"PASS","FAIL"),"FAIL")</f>
        <v>PASS</v>
      </c>
      <c r="J148" s="47" t="str">
        <f aca="false">IF(ISNUMBER(F148),IF(ROUND(F148,2)=ROUND(E148,2),"same","differs"),"n/a")</f>
        <v>same</v>
      </c>
    </row>
    <row r="149" customFormat="false" ht="15" hidden="false" customHeight="false" outlineLevel="0" collapsed="false">
      <c r="B149" s="42" t="n">
        <v>142</v>
      </c>
      <c r="C149" s="8" t="s">
        <v>418</v>
      </c>
      <c r="D149" s="8" t="s">
        <v>560</v>
      </c>
      <c r="E149" s="43" t="n">
        <v>0</v>
      </c>
      <c r="F149" s="44" t="n">
        <f aca="false">'13_Week'!$D$22</f>
        <v>0</v>
      </c>
      <c r="G149" s="45" t="n">
        <f aca="false">IF(ISNUMBER(F149),F149-E149,"n/a")</f>
        <v>0</v>
      </c>
      <c r="H149" s="46" t="n">
        <v>0.005000001</v>
      </c>
      <c r="I149" s="47" t="str">
        <f aca="false">IF(ISNUMBER(F149),IF(ABS(F149-E149)&lt;=H149,"PASS","FAIL"),"FAIL")</f>
        <v>PASS</v>
      </c>
      <c r="J149" s="47" t="str">
        <f aca="false">IF(ISNUMBER(F149),IF(ROUND(F149,2)=ROUND(E149,2),"same","differs"),"n/a")</f>
        <v>same</v>
      </c>
    </row>
    <row r="150" customFormat="false" ht="15" hidden="false" customHeight="false" outlineLevel="0" collapsed="false">
      <c r="B150" s="42" t="n">
        <v>143</v>
      </c>
      <c r="C150" s="8" t="s">
        <v>418</v>
      </c>
      <c r="D150" s="8" t="s">
        <v>561</v>
      </c>
      <c r="E150" s="43" t="n">
        <v>0.45</v>
      </c>
      <c r="F150" s="44" t="n">
        <f aca="false">'13_Week'!$E$22</f>
        <v>0.45</v>
      </c>
      <c r="G150" s="45" t="n">
        <f aca="false">IF(ISNUMBER(F150),F150-E150,"n/a")</f>
        <v>0</v>
      </c>
      <c r="H150" s="46" t="n">
        <v>0.005000001</v>
      </c>
      <c r="I150" s="47" t="str">
        <f aca="false">IF(ISNUMBER(F150),IF(ABS(F150-E150)&lt;=H150,"PASS","FAIL"),"FAIL")</f>
        <v>PASS</v>
      </c>
      <c r="J150" s="47" t="str">
        <f aca="false">IF(ISNUMBER(F150),IF(ROUND(F150,2)=ROUND(E150,2),"same","differs"),"n/a")</f>
        <v>same</v>
      </c>
    </row>
    <row r="151" customFormat="false" ht="15" hidden="false" customHeight="false" outlineLevel="0" collapsed="false">
      <c r="B151" s="42" t="n">
        <v>144</v>
      </c>
      <c r="C151" s="8" t="s">
        <v>418</v>
      </c>
      <c r="D151" s="8" t="s">
        <v>562</v>
      </c>
      <c r="E151" s="43" t="n">
        <v>0.45</v>
      </c>
      <c r="F151" s="44" t="n">
        <f aca="false">'13_Week'!$F$22</f>
        <v>0.45</v>
      </c>
      <c r="G151" s="45" t="n">
        <f aca="false">IF(ISNUMBER(F151),F151-E151,"n/a")</f>
        <v>0</v>
      </c>
      <c r="H151" s="46" t="n">
        <v>0.005000001</v>
      </c>
      <c r="I151" s="47" t="str">
        <f aca="false">IF(ISNUMBER(F151),IF(ABS(F151-E151)&lt;=H151,"PASS","FAIL"),"FAIL")</f>
        <v>PASS</v>
      </c>
      <c r="J151" s="47" t="str">
        <f aca="false">IF(ISNUMBER(F151),IF(ROUND(F151,2)=ROUND(E151,2),"same","differs"),"n/a")</f>
        <v>same</v>
      </c>
    </row>
    <row r="152" customFormat="false" ht="15" hidden="false" customHeight="false" outlineLevel="0" collapsed="false">
      <c r="B152" s="42" t="n">
        <v>145</v>
      </c>
      <c r="C152" s="8" t="s">
        <v>418</v>
      </c>
      <c r="D152" s="8" t="s">
        <v>563</v>
      </c>
      <c r="E152" s="43" t="n">
        <v>0.45</v>
      </c>
      <c r="F152" s="44" t="n">
        <f aca="false">'13_Week'!$G$22</f>
        <v>0.45</v>
      </c>
      <c r="G152" s="45" t="n">
        <f aca="false">IF(ISNUMBER(F152),F152-E152,"n/a")</f>
        <v>0</v>
      </c>
      <c r="H152" s="46" t="n">
        <v>0.005000001</v>
      </c>
      <c r="I152" s="47" t="str">
        <f aca="false">IF(ISNUMBER(F152),IF(ABS(F152-E152)&lt;=H152,"PASS","FAIL"),"FAIL")</f>
        <v>PASS</v>
      </c>
      <c r="J152" s="47" t="str">
        <f aca="false">IF(ISNUMBER(F152),IF(ROUND(F152,2)=ROUND(E152,2),"same","differs"),"n/a")</f>
        <v>same</v>
      </c>
    </row>
    <row r="153" customFormat="false" ht="15" hidden="false" customHeight="false" outlineLevel="0" collapsed="false">
      <c r="B153" s="42" t="n">
        <v>146</v>
      </c>
      <c r="C153" s="8" t="s">
        <v>418</v>
      </c>
      <c r="D153" s="8" t="s">
        <v>564</v>
      </c>
      <c r="E153" s="43" t="n">
        <v>0.45</v>
      </c>
      <c r="F153" s="44" t="n">
        <f aca="false">'13_Week'!$H$22</f>
        <v>0.45</v>
      </c>
      <c r="G153" s="45" t="n">
        <f aca="false">IF(ISNUMBER(F153),F153-E153,"n/a")</f>
        <v>0</v>
      </c>
      <c r="H153" s="46" t="n">
        <v>0.005000001</v>
      </c>
      <c r="I153" s="47" t="str">
        <f aca="false">IF(ISNUMBER(F153),IF(ABS(F153-E153)&lt;=H153,"PASS","FAIL"),"FAIL")</f>
        <v>PASS</v>
      </c>
      <c r="J153" s="47" t="str">
        <f aca="false">IF(ISNUMBER(F153),IF(ROUND(F153,2)=ROUND(E153,2),"same","differs"),"n/a")</f>
        <v>same</v>
      </c>
    </row>
    <row r="154" customFormat="false" ht="15" hidden="false" customHeight="false" outlineLevel="0" collapsed="false">
      <c r="B154" s="42" t="n">
        <v>147</v>
      </c>
      <c r="C154" s="8" t="s">
        <v>418</v>
      </c>
      <c r="D154" s="8" t="s">
        <v>565</v>
      </c>
      <c r="E154" s="43" t="n">
        <v>0.45</v>
      </c>
      <c r="F154" s="44" t="n">
        <f aca="false">'13_Week'!$I$22</f>
        <v>0.45</v>
      </c>
      <c r="G154" s="45" t="n">
        <f aca="false">IF(ISNUMBER(F154),F154-E154,"n/a")</f>
        <v>0</v>
      </c>
      <c r="H154" s="46" t="n">
        <v>0.005000001</v>
      </c>
      <c r="I154" s="47" t="str">
        <f aca="false">IF(ISNUMBER(F154),IF(ABS(F154-E154)&lt;=H154,"PASS","FAIL"),"FAIL")</f>
        <v>PASS</v>
      </c>
      <c r="J154" s="47" t="str">
        <f aca="false">IF(ISNUMBER(F154),IF(ROUND(F154,2)=ROUND(E154,2),"same","differs"),"n/a")</f>
        <v>same</v>
      </c>
    </row>
    <row r="155" customFormat="false" ht="15" hidden="false" customHeight="false" outlineLevel="0" collapsed="false">
      <c r="B155" s="42" t="n">
        <v>148</v>
      </c>
      <c r="C155" s="8" t="s">
        <v>418</v>
      </c>
      <c r="D155" s="8" t="s">
        <v>566</v>
      </c>
      <c r="E155" s="43" t="n">
        <v>0.45</v>
      </c>
      <c r="F155" s="44" t="n">
        <f aca="false">'13_Week'!$J$22</f>
        <v>0.45</v>
      </c>
      <c r="G155" s="45" t="n">
        <f aca="false">IF(ISNUMBER(F155),F155-E155,"n/a")</f>
        <v>0</v>
      </c>
      <c r="H155" s="46" t="n">
        <v>0.005000001</v>
      </c>
      <c r="I155" s="47" t="str">
        <f aca="false">IF(ISNUMBER(F155),IF(ABS(F155-E155)&lt;=H155,"PASS","FAIL"),"FAIL")</f>
        <v>PASS</v>
      </c>
      <c r="J155" s="47" t="str">
        <f aca="false">IF(ISNUMBER(F155),IF(ROUND(F155,2)=ROUND(E155,2),"same","differs"),"n/a")</f>
        <v>same</v>
      </c>
    </row>
    <row r="156" customFormat="false" ht="15" hidden="false" customHeight="false" outlineLevel="0" collapsed="false">
      <c r="B156" s="42" t="n">
        <v>149</v>
      </c>
      <c r="C156" s="8" t="s">
        <v>418</v>
      </c>
      <c r="D156" s="8" t="s">
        <v>567</v>
      </c>
      <c r="E156" s="43" t="n">
        <v>0.45</v>
      </c>
      <c r="F156" s="44" t="n">
        <f aca="false">'13_Week'!$K$22</f>
        <v>0.45</v>
      </c>
      <c r="G156" s="45" t="n">
        <f aca="false">IF(ISNUMBER(F156),F156-E156,"n/a")</f>
        <v>0</v>
      </c>
      <c r="H156" s="46" t="n">
        <v>0.005000001</v>
      </c>
      <c r="I156" s="47" t="str">
        <f aca="false">IF(ISNUMBER(F156),IF(ABS(F156-E156)&lt;=H156,"PASS","FAIL"),"FAIL")</f>
        <v>PASS</v>
      </c>
      <c r="J156" s="47" t="str">
        <f aca="false">IF(ISNUMBER(F156),IF(ROUND(F156,2)=ROUND(E156,2),"same","differs"),"n/a")</f>
        <v>same</v>
      </c>
    </row>
    <row r="157" customFormat="false" ht="15" hidden="false" customHeight="false" outlineLevel="0" collapsed="false">
      <c r="B157" s="42" t="n">
        <v>150</v>
      </c>
      <c r="C157" s="8" t="s">
        <v>418</v>
      </c>
      <c r="D157" s="8" t="s">
        <v>568</v>
      </c>
      <c r="E157" s="43" t="n">
        <v>0.45</v>
      </c>
      <c r="F157" s="44" t="n">
        <f aca="false">'13_Week'!$L$22</f>
        <v>0.45</v>
      </c>
      <c r="G157" s="45" t="n">
        <f aca="false">IF(ISNUMBER(F157),F157-E157,"n/a")</f>
        <v>0</v>
      </c>
      <c r="H157" s="46" t="n">
        <v>0.005000001</v>
      </c>
      <c r="I157" s="47" t="str">
        <f aca="false">IF(ISNUMBER(F157),IF(ABS(F157-E157)&lt;=H157,"PASS","FAIL"),"FAIL")</f>
        <v>PASS</v>
      </c>
      <c r="J157" s="47" t="str">
        <f aca="false">IF(ISNUMBER(F157),IF(ROUND(F157,2)=ROUND(E157,2),"same","differs"),"n/a")</f>
        <v>same</v>
      </c>
    </row>
    <row r="158" customFormat="false" ht="15" hidden="false" customHeight="false" outlineLevel="0" collapsed="false">
      <c r="B158" s="42" t="n">
        <v>151</v>
      </c>
      <c r="C158" s="8" t="s">
        <v>418</v>
      </c>
      <c r="D158" s="8" t="s">
        <v>569</v>
      </c>
      <c r="E158" s="43" t="n">
        <v>0.45</v>
      </c>
      <c r="F158" s="44" t="n">
        <f aca="false">'13_Week'!$M$22</f>
        <v>0.45</v>
      </c>
      <c r="G158" s="45" t="n">
        <f aca="false">IF(ISNUMBER(F158),F158-E158,"n/a")</f>
        <v>0</v>
      </c>
      <c r="H158" s="46" t="n">
        <v>0.005000001</v>
      </c>
      <c r="I158" s="47" t="str">
        <f aca="false">IF(ISNUMBER(F158),IF(ABS(F158-E158)&lt;=H158,"PASS","FAIL"),"FAIL")</f>
        <v>PASS</v>
      </c>
      <c r="J158" s="47" t="str">
        <f aca="false">IF(ISNUMBER(F158),IF(ROUND(F158,2)=ROUND(E158,2),"same","differs"),"n/a")</f>
        <v>same</v>
      </c>
    </row>
    <row r="159" customFormat="false" ht="15" hidden="false" customHeight="false" outlineLevel="0" collapsed="false">
      <c r="B159" s="42" t="n">
        <v>152</v>
      </c>
      <c r="C159" s="8" t="s">
        <v>418</v>
      </c>
      <c r="D159" s="8" t="s">
        <v>570</v>
      </c>
      <c r="E159" s="43" t="n">
        <v>0.45</v>
      </c>
      <c r="F159" s="44" t="n">
        <f aca="false">'13_Week'!$N$22</f>
        <v>0.45</v>
      </c>
      <c r="G159" s="45" t="n">
        <f aca="false">IF(ISNUMBER(F159),F159-E159,"n/a")</f>
        <v>0</v>
      </c>
      <c r="H159" s="46" t="n">
        <v>0.005000001</v>
      </c>
      <c r="I159" s="47" t="str">
        <f aca="false">IF(ISNUMBER(F159),IF(ABS(F159-E159)&lt;=H159,"PASS","FAIL"),"FAIL")</f>
        <v>PASS</v>
      </c>
      <c r="J159" s="47" t="str">
        <f aca="false">IF(ISNUMBER(F159),IF(ROUND(F159,2)=ROUND(E159,2),"same","differs"),"n/a")</f>
        <v>same</v>
      </c>
    </row>
    <row r="160" customFormat="false" ht="15" hidden="false" customHeight="false" outlineLevel="0" collapsed="false">
      <c r="B160" s="42" t="n">
        <v>153</v>
      </c>
      <c r="C160" s="8" t="s">
        <v>418</v>
      </c>
      <c r="D160" s="8" t="s">
        <v>571</v>
      </c>
      <c r="E160" s="43" t="n">
        <v>0.45</v>
      </c>
      <c r="F160" s="44" t="n">
        <f aca="false">'13_Week'!$O$22</f>
        <v>0.45</v>
      </c>
      <c r="G160" s="45" t="n">
        <f aca="false">IF(ISNUMBER(F160),F160-E160,"n/a")</f>
        <v>0</v>
      </c>
      <c r="H160" s="46" t="n">
        <v>0.005000001</v>
      </c>
      <c r="I160" s="47" t="str">
        <f aca="false">IF(ISNUMBER(F160),IF(ABS(F160-E160)&lt;=H160,"PASS","FAIL"),"FAIL")</f>
        <v>PASS</v>
      </c>
      <c r="J160" s="47" t="str">
        <f aca="false">IF(ISNUMBER(F160),IF(ROUND(F160,2)=ROUND(E160,2),"same","differs"),"n/a")</f>
        <v>same</v>
      </c>
    </row>
    <row r="161" customFormat="false" ht="15" hidden="false" customHeight="false" outlineLevel="0" collapsed="false">
      <c r="B161" s="42" t="n">
        <v>154</v>
      </c>
      <c r="C161" s="8" t="s">
        <v>418</v>
      </c>
      <c r="D161" s="8" t="s">
        <v>572</v>
      </c>
      <c r="E161" s="43" t="n">
        <v>4.95</v>
      </c>
      <c r="F161" s="44" t="n">
        <f aca="false">'13_Week'!$P$22</f>
        <v>4.95</v>
      </c>
      <c r="G161" s="45" t="n">
        <f aca="false">IF(ISNUMBER(F161),F161-E161,"n/a")</f>
        <v>0</v>
      </c>
      <c r="H161" s="46" t="n">
        <v>0.005000001</v>
      </c>
      <c r="I161" s="47" t="str">
        <f aca="false">IF(ISNUMBER(F161),IF(ABS(F161-E161)&lt;=H161,"PASS","FAIL"),"FAIL")</f>
        <v>PASS</v>
      </c>
      <c r="J161" s="47" t="str">
        <f aca="false">IF(ISNUMBER(F161),IF(ROUND(F161,2)=ROUND(E161,2),"same","differs"),"n/a")</f>
        <v>same</v>
      </c>
    </row>
    <row r="162" customFormat="false" ht="15" hidden="false" customHeight="false" outlineLevel="0" collapsed="false">
      <c r="B162" s="42" t="n">
        <v>155</v>
      </c>
      <c r="C162" s="8" t="s">
        <v>418</v>
      </c>
      <c r="D162" s="8" t="s">
        <v>573</v>
      </c>
      <c r="E162" s="43" t="n">
        <v>0</v>
      </c>
      <c r="F162" s="44" t="n">
        <f aca="false">'13_Week'!$C$24</f>
        <v>0</v>
      </c>
      <c r="G162" s="45" t="n">
        <f aca="false">IF(ISNUMBER(F162),F162-E162,"n/a")</f>
        <v>0</v>
      </c>
      <c r="H162" s="46" t="n">
        <v>0.005000001</v>
      </c>
      <c r="I162" s="47" t="str">
        <f aca="false">IF(ISNUMBER(F162),IF(ABS(F162-E162)&lt;=H162,"PASS","FAIL"),"FAIL")</f>
        <v>PASS</v>
      </c>
      <c r="J162" s="47" t="str">
        <f aca="false">IF(ISNUMBER(F162),IF(ROUND(F162,2)=ROUND(E162,2),"same","differs"),"n/a")</f>
        <v>same</v>
      </c>
    </row>
    <row r="163" customFormat="false" ht="15" hidden="false" customHeight="false" outlineLevel="0" collapsed="false">
      <c r="B163" s="42" t="n">
        <v>156</v>
      </c>
      <c r="C163" s="8" t="s">
        <v>418</v>
      </c>
      <c r="D163" s="8" t="s">
        <v>574</v>
      </c>
      <c r="E163" s="43" t="n">
        <v>0</v>
      </c>
      <c r="F163" s="44" t="n">
        <f aca="false">'13_Week'!$D$24</f>
        <v>0</v>
      </c>
      <c r="G163" s="45" t="n">
        <f aca="false">IF(ISNUMBER(F163),F163-E163,"n/a")</f>
        <v>0</v>
      </c>
      <c r="H163" s="46" t="n">
        <v>0.005000001</v>
      </c>
      <c r="I163" s="47" t="str">
        <f aca="false">IF(ISNUMBER(F163),IF(ABS(F163-E163)&lt;=H163,"PASS","FAIL"),"FAIL")</f>
        <v>PASS</v>
      </c>
      <c r="J163" s="47" t="str">
        <f aca="false">IF(ISNUMBER(F163),IF(ROUND(F163,2)=ROUND(E163,2),"same","differs"),"n/a")</f>
        <v>same</v>
      </c>
    </row>
    <row r="164" customFormat="false" ht="15" hidden="false" customHeight="false" outlineLevel="0" collapsed="false">
      <c r="B164" s="42" t="n">
        <v>157</v>
      </c>
      <c r="C164" s="8" t="s">
        <v>418</v>
      </c>
      <c r="D164" s="8" t="s">
        <v>575</v>
      </c>
      <c r="E164" s="43" t="n">
        <v>0</v>
      </c>
      <c r="F164" s="44" t="n">
        <f aca="false">'13_Week'!$E$24</f>
        <v>0</v>
      </c>
      <c r="G164" s="45" t="n">
        <f aca="false">IF(ISNUMBER(F164),F164-E164,"n/a")</f>
        <v>0</v>
      </c>
      <c r="H164" s="46" t="n">
        <v>0.005000001</v>
      </c>
      <c r="I164" s="47" t="str">
        <f aca="false">IF(ISNUMBER(F164),IF(ABS(F164-E164)&lt;=H164,"PASS","FAIL"),"FAIL")</f>
        <v>PASS</v>
      </c>
      <c r="J164" s="47" t="str">
        <f aca="false">IF(ISNUMBER(F164),IF(ROUND(F164,2)=ROUND(E164,2),"same","differs"),"n/a")</f>
        <v>same</v>
      </c>
    </row>
    <row r="165" customFormat="false" ht="15" hidden="false" customHeight="false" outlineLevel="0" collapsed="false">
      <c r="B165" s="42" t="n">
        <v>158</v>
      </c>
      <c r="C165" s="8" t="s">
        <v>418</v>
      </c>
      <c r="D165" s="8" t="s">
        <v>576</v>
      </c>
      <c r="E165" s="43" t="n">
        <v>0</v>
      </c>
      <c r="F165" s="44" t="n">
        <f aca="false">'13_Week'!$F$24</f>
        <v>0</v>
      </c>
      <c r="G165" s="45" t="n">
        <f aca="false">IF(ISNUMBER(F165),F165-E165,"n/a")</f>
        <v>0</v>
      </c>
      <c r="H165" s="46" t="n">
        <v>0.005000001</v>
      </c>
      <c r="I165" s="47" t="str">
        <f aca="false">IF(ISNUMBER(F165),IF(ABS(F165-E165)&lt;=H165,"PASS","FAIL"),"FAIL")</f>
        <v>PASS</v>
      </c>
      <c r="J165" s="47" t="str">
        <f aca="false">IF(ISNUMBER(F165),IF(ROUND(F165,2)=ROUND(E165,2),"same","differs"),"n/a")</f>
        <v>same</v>
      </c>
    </row>
    <row r="166" customFormat="false" ht="15" hidden="false" customHeight="false" outlineLevel="0" collapsed="false">
      <c r="B166" s="42" t="n">
        <v>159</v>
      </c>
      <c r="C166" s="8" t="s">
        <v>418</v>
      </c>
      <c r="D166" s="8" t="s">
        <v>577</v>
      </c>
      <c r="E166" s="43" t="n">
        <v>0</v>
      </c>
      <c r="F166" s="44" t="n">
        <f aca="false">'13_Week'!$G$24</f>
        <v>0</v>
      </c>
      <c r="G166" s="45" t="n">
        <f aca="false">IF(ISNUMBER(F166),F166-E166,"n/a")</f>
        <v>0</v>
      </c>
      <c r="H166" s="46" t="n">
        <v>0.005000001</v>
      </c>
      <c r="I166" s="47" t="str">
        <f aca="false">IF(ISNUMBER(F166),IF(ABS(F166-E166)&lt;=H166,"PASS","FAIL"),"FAIL")</f>
        <v>PASS</v>
      </c>
      <c r="J166" s="47" t="str">
        <f aca="false">IF(ISNUMBER(F166),IF(ROUND(F166,2)=ROUND(E166,2),"same","differs"),"n/a")</f>
        <v>same</v>
      </c>
    </row>
    <row r="167" customFormat="false" ht="15" hidden="false" customHeight="false" outlineLevel="0" collapsed="false">
      <c r="B167" s="42" t="n">
        <v>160</v>
      </c>
      <c r="C167" s="8" t="s">
        <v>418</v>
      </c>
      <c r="D167" s="8" t="s">
        <v>578</v>
      </c>
      <c r="E167" s="43" t="n">
        <v>18.68</v>
      </c>
      <c r="F167" s="44" t="n">
        <f aca="false">'13_Week'!$H$24</f>
        <v>18.675</v>
      </c>
      <c r="G167" s="45" t="n">
        <f aca="false">IF(ISNUMBER(F167),F167-E167,"n/a")</f>
        <v>-0.00500000000000256</v>
      </c>
      <c r="H167" s="46" t="n">
        <v>0.005000001</v>
      </c>
      <c r="I167" s="47" t="str">
        <f aca="false">IF(ISNUMBER(F167),IF(ABS(F167-E167)&lt;=H167,"PASS","FAIL"),"FAIL")</f>
        <v>PASS</v>
      </c>
      <c r="J167" s="47" t="str">
        <f aca="false">IF(ISNUMBER(F167),IF(ROUND(F167,2)=ROUND(E167,2),"same","differs"),"n/a")</f>
        <v>same</v>
      </c>
    </row>
    <row r="168" customFormat="false" ht="15" hidden="false" customHeight="false" outlineLevel="0" collapsed="false">
      <c r="B168" s="42" t="n">
        <v>161</v>
      </c>
      <c r="C168" s="8" t="s">
        <v>418</v>
      </c>
      <c r="D168" s="8" t="s">
        <v>579</v>
      </c>
      <c r="E168" s="43" t="n">
        <v>0</v>
      </c>
      <c r="F168" s="44" t="n">
        <f aca="false">'13_Week'!$I$24</f>
        <v>0</v>
      </c>
      <c r="G168" s="45" t="n">
        <f aca="false">IF(ISNUMBER(F168),F168-E168,"n/a")</f>
        <v>0</v>
      </c>
      <c r="H168" s="46" t="n">
        <v>0.005000001</v>
      </c>
      <c r="I168" s="47" t="str">
        <f aca="false">IF(ISNUMBER(F168),IF(ABS(F168-E168)&lt;=H168,"PASS","FAIL"),"FAIL")</f>
        <v>PASS</v>
      </c>
      <c r="J168" s="47" t="str">
        <f aca="false">IF(ISNUMBER(F168),IF(ROUND(F168,2)=ROUND(E168,2),"same","differs"),"n/a")</f>
        <v>same</v>
      </c>
    </row>
    <row r="169" customFormat="false" ht="15" hidden="false" customHeight="false" outlineLevel="0" collapsed="false">
      <c r="B169" s="42" t="n">
        <v>162</v>
      </c>
      <c r="C169" s="8" t="s">
        <v>418</v>
      </c>
      <c r="D169" s="8" t="s">
        <v>580</v>
      </c>
      <c r="E169" s="43" t="n">
        <v>0</v>
      </c>
      <c r="F169" s="44" t="n">
        <f aca="false">'13_Week'!$J$24</f>
        <v>0</v>
      </c>
      <c r="G169" s="45" t="n">
        <f aca="false">IF(ISNUMBER(F169),F169-E169,"n/a")</f>
        <v>0</v>
      </c>
      <c r="H169" s="46" t="n">
        <v>0.005000001</v>
      </c>
      <c r="I169" s="47" t="str">
        <f aca="false">IF(ISNUMBER(F169),IF(ABS(F169-E169)&lt;=H169,"PASS","FAIL"),"FAIL")</f>
        <v>PASS</v>
      </c>
      <c r="J169" s="47" t="str">
        <f aca="false">IF(ISNUMBER(F169),IF(ROUND(F169,2)=ROUND(E169,2),"same","differs"),"n/a")</f>
        <v>same</v>
      </c>
    </row>
    <row r="170" customFormat="false" ht="15" hidden="false" customHeight="false" outlineLevel="0" collapsed="false">
      <c r="B170" s="42" t="n">
        <v>163</v>
      </c>
      <c r="C170" s="8" t="s">
        <v>418</v>
      </c>
      <c r="D170" s="8" t="s">
        <v>581</v>
      </c>
      <c r="E170" s="43" t="n">
        <v>0</v>
      </c>
      <c r="F170" s="44" t="n">
        <f aca="false">'13_Week'!$K$24</f>
        <v>0</v>
      </c>
      <c r="G170" s="45" t="n">
        <f aca="false">IF(ISNUMBER(F170),F170-E170,"n/a")</f>
        <v>0</v>
      </c>
      <c r="H170" s="46" t="n">
        <v>0.005000001</v>
      </c>
      <c r="I170" s="47" t="str">
        <f aca="false">IF(ISNUMBER(F170),IF(ABS(F170-E170)&lt;=H170,"PASS","FAIL"),"FAIL")</f>
        <v>PASS</v>
      </c>
      <c r="J170" s="47" t="str">
        <f aca="false">IF(ISNUMBER(F170),IF(ROUND(F170,2)=ROUND(E170,2),"same","differs"),"n/a")</f>
        <v>same</v>
      </c>
    </row>
    <row r="171" customFormat="false" ht="15" hidden="false" customHeight="false" outlineLevel="0" collapsed="false">
      <c r="B171" s="42" t="n">
        <v>164</v>
      </c>
      <c r="C171" s="8" t="s">
        <v>418</v>
      </c>
      <c r="D171" s="8" t="s">
        <v>582</v>
      </c>
      <c r="E171" s="43" t="n">
        <v>0</v>
      </c>
      <c r="F171" s="44" t="n">
        <f aca="false">'13_Week'!$L$24</f>
        <v>0</v>
      </c>
      <c r="G171" s="45" t="n">
        <f aca="false">IF(ISNUMBER(F171),F171-E171,"n/a")</f>
        <v>0</v>
      </c>
      <c r="H171" s="46" t="n">
        <v>0.005000001</v>
      </c>
      <c r="I171" s="47" t="str">
        <f aca="false">IF(ISNUMBER(F171),IF(ABS(F171-E171)&lt;=H171,"PASS","FAIL"),"FAIL")</f>
        <v>PASS</v>
      </c>
      <c r="J171" s="47" t="str">
        <f aca="false">IF(ISNUMBER(F171),IF(ROUND(F171,2)=ROUND(E171,2),"same","differs"),"n/a")</f>
        <v>same</v>
      </c>
    </row>
    <row r="172" customFormat="false" ht="15" hidden="false" customHeight="false" outlineLevel="0" collapsed="false">
      <c r="B172" s="42" t="n">
        <v>165</v>
      </c>
      <c r="C172" s="8" t="s">
        <v>418</v>
      </c>
      <c r="D172" s="8" t="s">
        <v>583</v>
      </c>
      <c r="E172" s="43" t="n">
        <v>0</v>
      </c>
      <c r="F172" s="44" t="n">
        <f aca="false">'13_Week'!$M$24</f>
        <v>0</v>
      </c>
      <c r="G172" s="45" t="n">
        <f aca="false">IF(ISNUMBER(F172),F172-E172,"n/a")</f>
        <v>0</v>
      </c>
      <c r="H172" s="46" t="n">
        <v>0.005000001</v>
      </c>
      <c r="I172" s="47" t="str">
        <f aca="false">IF(ISNUMBER(F172),IF(ABS(F172-E172)&lt;=H172,"PASS","FAIL"),"FAIL")</f>
        <v>PASS</v>
      </c>
      <c r="J172" s="47" t="str">
        <f aca="false">IF(ISNUMBER(F172),IF(ROUND(F172,2)=ROUND(E172,2),"same","differs"),"n/a")</f>
        <v>same</v>
      </c>
    </row>
    <row r="173" customFormat="false" ht="15" hidden="false" customHeight="false" outlineLevel="0" collapsed="false">
      <c r="B173" s="42" t="n">
        <v>166</v>
      </c>
      <c r="C173" s="8" t="s">
        <v>418</v>
      </c>
      <c r="D173" s="8" t="s">
        <v>584</v>
      </c>
      <c r="E173" s="43" t="n">
        <v>0</v>
      </c>
      <c r="F173" s="44" t="n">
        <f aca="false">'13_Week'!$N$24</f>
        <v>0</v>
      </c>
      <c r="G173" s="45" t="n">
        <f aca="false">IF(ISNUMBER(F173),F173-E173,"n/a")</f>
        <v>0</v>
      </c>
      <c r="H173" s="46" t="n">
        <v>0.005000001</v>
      </c>
      <c r="I173" s="47" t="str">
        <f aca="false">IF(ISNUMBER(F173),IF(ABS(F173-E173)&lt;=H173,"PASS","FAIL"),"FAIL")</f>
        <v>PASS</v>
      </c>
      <c r="J173" s="47" t="str">
        <f aca="false">IF(ISNUMBER(F173),IF(ROUND(F173,2)=ROUND(E173,2),"same","differs"),"n/a")</f>
        <v>same</v>
      </c>
    </row>
    <row r="174" customFormat="false" ht="15" hidden="false" customHeight="false" outlineLevel="0" collapsed="false">
      <c r="B174" s="42" t="n">
        <v>167</v>
      </c>
      <c r="C174" s="8" t="s">
        <v>418</v>
      </c>
      <c r="D174" s="8" t="s">
        <v>585</v>
      </c>
      <c r="E174" s="43" t="n">
        <v>0</v>
      </c>
      <c r="F174" s="44" t="n">
        <f aca="false">'13_Week'!$O$24</f>
        <v>0</v>
      </c>
      <c r="G174" s="45" t="n">
        <f aca="false">IF(ISNUMBER(F174),F174-E174,"n/a")</f>
        <v>0</v>
      </c>
      <c r="H174" s="46" t="n">
        <v>0.005000001</v>
      </c>
      <c r="I174" s="47" t="str">
        <f aca="false">IF(ISNUMBER(F174),IF(ABS(F174-E174)&lt;=H174,"PASS","FAIL"),"FAIL")</f>
        <v>PASS</v>
      </c>
      <c r="J174" s="47" t="str">
        <f aca="false">IF(ISNUMBER(F174),IF(ROUND(F174,2)=ROUND(E174,2),"same","differs"),"n/a")</f>
        <v>same</v>
      </c>
    </row>
    <row r="175" customFormat="false" ht="15" hidden="false" customHeight="false" outlineLevel="0" collapsed="false">
      <c r="B175" s="42" t="n">
        <v>168</v>
      </c>
      <c r="C175" s="8" t="s">
        <v>418</v>
      </c>
      <c r="D175" s="8" t="s">
        <v>586</v>
      </c>
      <c r="E175" s="43" t="n">
        <v>18.68</v>
      </c>
      <c r="F175" s="44" t="n">
        <f aca="false">'13_Week'!$P$24</f>
        <v>18.675</v>
      </c>
      <c r="G175" s="45" t="n">
        <f aca="false">IF(ISNUMBER(F175),F175-E175,"n/a")</f>
        <v>-0.00500000000000256</v>
      </c>
      <c r="H175" s="46" t="n">
        <v>0.005000001</v>
      </c>
      <c r="I175" s="47" t="str">
        <f aca="false">IF(ISNUMBER(F175),IF(ABS(F175-E175)&lt;=H175,"PASS","FAIL"),"FAIL")</f>
        <v>PASS</v>
      </c>
      <c r="J175" s="47" t="str">
        <f aca="false">IF(ISNUMBER(F175),IF(ROUND(F175,2)=ROUND(E175,2),"same","differs"),"n/a")</f>
        <v>same</v>
      </c>
    </row>
    <row r="176" customFormat="false" ht="15" hidden="false" customHeight="false" outlineLevel="0" collapsed="false">
      <c r="B176" s="42" t="n">
        <v>169</v>
      </c>
      <c r="C176" s="8" t="s">
        <v>418</v>
      </c>
      <c r="D176" s="8" t="s">
        <v>587</v>
      </c>
      <c r="E176" s="43" t="n">
        <v>0</v>
      </c>
      <c r="F176" s="44" t="n">
        <f aca="false">'13_Week'!$C$25</f>
        <v>0</v>
      </c>
      <c r="G176" s="45" t="n">
        <f aca="false">IF(ISNUMBER(F176),F176-E176,"n/a")</f>
        <v>0</v>
      </c>
      <c r="H176" s="46" t="n">
        <v>0.005000001</v>
      </c>
      <c r="I176" s="47" t="str">
        <f aca="false">IF(ISNUMBER(F176),IF(ABS(F176-E176)&lt;=H176,"PASS","FAIL"),"FAIL")</f>
        <v>PASS</v>
      </c>
      <c r="J176" s="47" t="str">
        <f aca="false">IF(ISNUMBER(F176),IF(ROUND(F176,2)=ROUND(E176,2),"same","differs"),"n/a")</f>
        <v>same</v>
      </c>
    </row>
    <row r="177" customFormat="false" ht="15" hidden="false" customHeight="false" outlineLevel="0" collapsed="false">
      <c r="B177" s="42" t="n">
        <v>170</v>
      </c>
      <c r="C177" s="8" t="s">
        <v>418</v>
      </c>
      <c r="D177" s="8" t="s">
        <v>588</v>
      </c>
      <c r="E177" s="43" t="n">
        <v>0</v>
      </c>
      <c r="F177" s="44" t="n">
        <f aca="false">'13_Week'!$D$25</f>
        <v>0</v>
      </c>
      <c r="G177" s="45" t="n">
        <f aca="false">IF(ISNUMBER(F177),F177-E177,"n/a")</f>
        <v>0</v>
      </c>
      <c r="H177" s="46" t="n">
        <v>0.005000001</v>
      </c>
      <c r="I177" s="47" t="str">
        <f aca="false">IF(ISNUMBER(F177),IF(ABS(F177-E177)&lt;=H177,"PASS","FAIL"),"FAIL")</f>
        <v>PASS</v>
      </c>
      <c r="J177" s="47" t="str">
        <f aca="false">IF(ISNUMBER(F177),IF(ROUND(F177,2)=ROUND(E177,2),"same","differs"),"n/a")</f>
        <v>same</v>
      </c>
    </row>
    <row r="178" customFormat="false" ht="15" hidden="false" customHeight="false" outlineLevel="0" collapsed="false">
      <c r="B178" s="42" t="n">
        <v>171</v>
      </c>
      <c r="C178" s="8" t="s">
        <v>418</v>
      </c>
      <c r="D178" s="8" t="s">
        <v>589</v>
      </c>
      <c r="E178" s="43" t="n">
        <v>0</v>
      </c>
      <c r="F178" s="44" t="n">
        <f aca="false">'13_Week'!$E$25</f>
        <v>0</v>
      </c>
      <c r="G178" s="45" t="n">
        <f aca="false">IF(ISNUMBER(F178),F178-E178,"n/a")</f>
        <v>0</v>
      </c>
      <c r="H178" s="46" t="n">
        <v>0.005000001</v>
      </c>
      <c r="I178" s="47" t="str">
        <f aca="false">IF(ISNUMBER(F178),IF(ABS(F178-E178)&lt;=H178,"PASS","FAIL"),"FAIL")</f>
        <v>PASS</v>
      </c>
      <c r="J178" s="47" t="str">
        <f aca="false">IF(ISNUMBER(F178),IF(ROUND(F178,2)=ROUND(E178,2),"same","differs"),"n/a")</f>
        <v>same</v>
      </c>
    </row>
    <row r="179" customFormat="false" ht="15" hidden="false" customHeight="false" outlineLevel="0" collapsed="false">
      <c r="B179" s="42" t="n">
        <v>172</v>
      </c>
      <c r="C179" s="8" t="s">
        <v>418</v>
      </c>
      <c r="D179" s="8" t="s">
        <v>590</v>
      </c>
      <c r="E179" s="43" t="n">
        <v>0</v>
      </c>
      <c r="F179" s="44" t="n">
        <f aca="false">'13_Week'!$F$25</f>
        <v>0</v>
      </c>
      <c r="G179" s="45" t="n">
        <f aca="false">IF(ISNUMBER(F179),F179-E179,"n/a")</f>
        <v>0</v>
      </c>
      <c r="H179" s="46" t="n">
        <v>0.005000001</v>
      </c>
      <c r="I179" s="47" t="str">
        <f aca="false">IF(ISNUMBER(F179),IF(ABS(F179-E179)&lt;=H179,"PASS","FAIL"),"FAIL")</f>
        <v>PASS</v>
      </c>
      <c r="J179" s="47" t="str">
        <f aca="false">IF(ISNUMBER(F179),IF(ROUND(F179,2)=ROUND(E179,2),"same","differs"),"n/a")</f>
        <v>same</v>
      </c>
    </row>
    <row r="180" customFormat="false" ht="15" hidden="false" customHeight="false" outlineLevel="0" collapsed="false">
      <c r="B180" s="42" t="n">
        <v>173</v>
      </c>
      <c r="C180" s="8" t="s">
        <v>418</v>
      </c>
      <c r="D180" s="8" t="s">
        <v>591</v>
      </c>
      <c r="E180" s="43" t="n">
        <v>0</v>
      </c>
      <c r="F180" s="44" t="n">
        <f aca="false">'13_Week'!$G$25</f>
        <v>0</v>
      </c>
      <c r="G180" s="45" t="n">
        <f aca="false">IF(ISNUMBER(F180),F180-E180,"n/a")</f>
        <v>0</v>
      </c>
      <c r="H180" s="46" t="n">
        <v>0.005000001</v>
      </c>
      <c r="I180" s="47" t="str">
        <f aca="false">IF(ISNUMBER(F180),IF(ABS(F180-E180)&lt;=H180,"PASS","FAIL"),"FAIL")</f>
        <v>PASS</v>
      </c>
      <c r="J180" s="47" t="str">
        <f aca="false">IF(ISNUMBER(F180),IF(ROUND(F180,2)=ROUND(E180,2),"same","differs"),"n/a")</f>
        <v>same</v>
      </c>
    </row>
    <row r="181" customFormat="false" ht="15" hidden="false" customHeight="false" outlineLevel="0" collapsed="false">
      <c r="B181" s="42" t="n">
        <v>174</v>
      </c>
      <c r="C181" s="8" t="s">
        <v>418</v>
      </c>
      <c r="D181" s="8" t="s">
        <v>592</v>
      </c>
      <c r="E181" s="43" t="n">
        <v>2.25</v>
      </c>
      <c r="F181" s="44" t="n">
        <f aca="false">'13_Week'!$H$25</f>
        <v>2.25</v>
      </c>
      <c r="G181" s="45" t="n">
        <f aca="false">IF(ISNUMBER(F181),F181-E181,"n/a")</f>
        <v>0</v>
      </c>
      <c r="H181" s="46" t="n">
        <v>0.005000001</v>
      </c>
      <c r="I181" s="47" t="str">
        <f aca="false">IF(ISNUMBER(F181),IF(ABS(F181-E181)&lt;=H181,"PASS","FAIL"),"FAIL")</f>
        <v>PASS</v>
      </c>
      <c r="J181" s="47" t="str">
        <f aca="false">IF(ISNUMBER(F181),IF(ROUND(F181,2)=ROUND(E181,2),"same","differs"),"n/a")</f>
        <v>same</v>
      </c>
    </row>
    <row r="182" customFormat="false" ht="15" hidden="false" customHeight="false" outlineLevel="0" collapsed="false">
      <c r="B182" s="42" t="n">
        <v>175</v>
      </c>
      <c r="C182" s="8" t="s">
        <v>418</v>
      </c>
      <c r="D182" s="8" t="s">
        <v>593</v>
      </c>
      <c r="E182" s="43" t="n">
        <v>0</v>
      </c>
      <c r="F182" s="44" t="n">
        <f aca="false">'13_Week'!$I$25</f>
        <v>0</v>
      </c>
      <c r="G182" s="45" t="n">
        <f aca="false">IF(ISNUMBER(F182),F182-E182,"n/a")</f>
        <v>0</v>
      </c>
      <c r="H182" s="46" t="n">
        <v>0.005000001</v>
      </c>
      <c r="I182" s="47" t="str">
        <f aca="false">IF(ISNUMBER(F182),IF(ABS(F182-E182)&lt;=H182,"PASS","FAIL"),"FAIL")</f>
        <v>PASS</v>
      </c>
      <c r="J182" s="47" t="str">
        <f aca="false">IF(ISNUMBER(F182),IF(ROUND(F182,2)=ROUND(E182,2),"same","differs"),"n/a")</f>
        <v>same</v>
      </c>
    </row>
    <row r="183" customFormat="false" ht="15" hidden="false" customHeight="false" outlineLevel="0" collapsed="false">
      <c r="B183" s="42" t="n">
        <v>176</v>
      </c>
      <c r="C183" s="8" t="s">
        <v>418</v>
      </c>
      <c r="D183" s="8" t="s">
        <v>594</v>
      </c>
      <c r="E183" s="43" t="n">
        <v>0</v>
      </c>
      <c r="F183" s="44" t="n">
        <f aca="false">'13_Week'!$J$25</f>
        <v>0</v>
      </c>
      <c r="G183" s="45" t="n">
        <f aca="false">IF(ISNUMBER(F183),F183-E183,"n/a")</f>
        <v>0</v>
      </c>
      <c r="H183" s="46" t="n">
        <v>0.005000001</v>
      </c>
      <c r="I183" s="47" t="str">
        <f aca="false">IF(ISNUMBER(F183),IF(ABS(F183-E183)&lt;=H183,"PASS","FAIL"),"FAIL")</f>
        <v>PASS</v>
      </c>
      <c r="J183" s="47" t="str">
        <f aca="false">IF(ISNUMBER(F183),IF(ROUND(F183,2)=ROUND(E183,2),"same","differs"),"n/a")</f>
        <v>same</v>
      </c>
    </row>
    <row r="184" customFormat="false" ht="15" hidden="false" customHeight="false" outlineLevel="0" collapsed="false">
      <c r="B184" s="42" t="n">
        <v>177</v>
      </c>
      <c r="C184" s="8" t="s">
        <v>418</v>
      </c>
      <c r="D184" s="8" t="s">
        <v>595</v>
      </c>
      <c r="E184" s="43" t="n">
        <v>0</v>
      </c>
      <c r="F184" s="44" t="n">
        <f aca="false">'13_Week'!$K$25</f>
        <v>0</v>
      </c>
      <c r="G184" s="45" t="n">
        <f aca="false">IF(ISNUMBER(F184),F184-E184,"n/a")</f>
        <v>0</v>
      </c>
      <c r="H184" s="46" t="n">
        <v>0.005000001</v>
      </c>
      <c r="I184" s="47" t="str">
        <f aca="false">IF(ISNUMBER(F184),IF(ABS(F184-E184)&lt;=H184,"PASS","FAIL"),"FAIL")</f>
        <v>PASS</v>
      </c>
      <c r="J184" s="47" t="str">
        <f aca="false">IF(ISNUMBER(F184),IF(ROUND(F184,2)=ROUND(E184,2),"same","differs"),"n/a")</f>
        <v>same</v>
      </c>
    </row>
    <row r="185" customFormat="false" ht="15" hidden="false" customHeight="false" outlineLevel="0" collapsed="false">
      <c r="B185" s="42" t="n">
        <v>178</v>
      </c>
      <c r="C185" s="8" t="s">
        <v>418</v>
      </c>
      <c r="D185" s="8" t="s">
        <v>596</v>
      </c>
      <c r="E185" s="43" t="n">
        <v>0</v>
      </c>
      <c r="F185" s="44" t="n">
        <f aca="false">'13_Week'!$L$25</f>
        <v>0</v>
      </c>
      <c r="G185" s="45" t="n">
        <f aca="false">IF(ISNUMBER(F185),F185-E185,"n/a")</f>
        <v>0</v>
      </c>
      <c r="H185" s="46" t="n">
        <v>0.005000001</v>
      </c>
      <c r="I185" s="47" t="str">
        <f aca="false">IF(ISNUMBER(F185),IF(ABS(F185-E185)&lt;=H185,"PASS","FAIL"),"FAIL")</f>
        <v>PASS</v>
      </c>
      <c r="J185" s="47" t="str">
        <f aca="false">IF(ISNUMBER(F185),IF(ROUND(F185,2)=ROUND(E185,2),"same","differs"),"n/a")</f>
        <v>same</v>
      </c>
    </row>
    <row r="186" customFormat="false" ht="15" hidden="false" customHeight="false" outlineLevel="0" collapsed="false">
      <c r="B186" s="42" t="n">
        <v>179</v>
      </c>
      <c r="C186" s="8" t="s">
        <v>418</v>
      </c>
      <c r="D186" s="8" t="s">
        <v>597</v>
      </c>
      <c r="E186" s="43" t="n">
        <v>0</v>
      </c>
      <c r="F186" s="44" t="n">
        <f aca="false">'13_Week'!$M$25</f>
        <v>0</v>
      </c>
      <c r="G186" s="45" t="n">
        <f aca="false">IF(ISNUMBER(F186),F186-E186,"n/a")</f>
        <v>0</v>
      </c>
      <c r="H186" s="46" t="n">
        <v>0.005000001</v>
      </c>
      <c r="I186" s="47" t="str">
        <f aca="false">IF(ISNUMBER(F186),IF(ABS(F186-E186)&lt;=H186,"PASS","FAIL"),"FAIL")</f>
        <v>PASS</v>
      </c>
      <c r="J186" s="47" t="str">
        <f aca="false">IF(ISNUMBER(F186),IF(ROUND(F186,2)=ROUND(E186,2),"same","differs"),"n/a")</f>
        <v>same</v>
      </c>
    </row>
    <row r="187" customFormat="false" ht="15" hidden="false" customHeight="false" outlineLevel="0" collapsed="false">
      <c r="B187" s="42" t="n">
        <v>180</v>
      </c>
      <c r="C187" s="8" t="s">
        <v>418</v>
      </c>
      <c r="D187" s="8" t="s">
        <v>598</v>
      </c>
      <c r="E187" s="43" t="n">
        <v>0</v>
      </c>
      <c r="F187" s="44" t="n">
        <f aca="false">'13_Week'!$N$25</f>
        <v>0</v>
      </c>
      <c r="G187" s="45" t="n">
        <f aca="false">IF(ISNUMBER(F187),F187-E187,"n/a")</f>
        <v>0</v>
      </c>
      <c r="H187" s="46" t="n">
        <v>0.005000001</v>
      </c>
      <c r="I187" s="47" t="str">
        <f aca="false">IF(ISNUMBER(F187),IF(ABS(F187-E187)&lt;=H187,"PASS","FAIL"),"FAIL")</f>
        <v>PASS</v>
      </c>
      <c r="J187" s="47" t="str">
        <f aca="false">IF(ISNUMBER(F187),IF(ROUND(F187,2)=ROUND(E187,2),"same","differs"),"n/a")</f>
        <v>same</v>
      </c>
    </row>
    <row r="188" customFormat="false" ht="15" hidden="false" customHeight="false" outlineLevel="0" collapsed="false">
      <c r="B188" s="42" t="n">
        <v>181</v>
      </c>
      <c r="C188" s="8" t="s">
        <v>418</v>
      </c>
      <c r="D188" s="8" t="s">
        <v>599</v>
      </c>
      <c r="E188" s="43" t="n">
        <v>0</v>
      </c>
      <c r="F188" s="44" t="n">
        <f aca="false">'13_Week'!$O$25</f>
        <v>0</v>
      </c>
      <c r="G188" s="45" t="n">
        <f aca="false">IF(ISNUMBER(F188),F188-E188,"n/a")</f>
        <v>0</v>
      </c>
      <c r="H188" s="46" t="n">
        <v>0.005000001</v>
      </c>
      <c r="I188" s="47" t="str">
        <f aca="false">IF(ISNUMBER(F188),IF(ABS(F188-E188)&lt;=H188,"PASS","FAIL"),"FAIL")</f>
        <v>PASS</v>
      </c>
      <c r="J188" s="47" t="str">
        <f aca="false">IF(ISNUMBER(F188),IF(ROUND(F188,2)=ROUND(E188,2),"same","differs"),"n/a")</f>
        <v>same</v>
      </c>
    </row>
    <row r="189" customFormat="false" ht="15" hidden="false" customHeight="false" outlineLevel="0" collapsed="false">
      <c r="B189" s="42" t="n">
        <v>182</v>
      </c>
      <c r="C189" s="8" t="s">
        <v>418</v>
      </c>
      <c r="D189" s="8" t="s">
        <v>600</v>
      </c>
      <c r="E189" s="43" t="n">
        <v>2.25</v>
      </c>
      <c r="F189" s="44" t="n">
        <f aca="false">'13_Week'!$P$25</f>
        <v>2.25</v>
      </c>
      <c r="G189" s="45" t="n">
        <f aca="false">IF(ISNUMBER(F189),F189-E189,"n/a")</f>
        <v>0</v>
      </c>
      <c r="H189" s="46" t="n">
        <v>0.005000001</v>
      </c>
      <c r="I189" s="47" t="str">
        <f aca="false">IF(ISNUMBER(F189),IF(ABS(F189-E189)&lt;=H189,"PASS","FAIL"),"FAIL")</f>
        <v>PASS</v>
      </c>
      <c r="J189" s="47" t="str">
        <f aca="false">IF(ISNUMBER(F189),IF(ROUND(F189,2)=ROUND(E189,2),"same","differs"),"n/a")</f>
        <v>same</v>
      </c>
    </row>
    <row r="190" customFormat="false" ht="15" hidden="false" customHeight="false" outlineLevel="0" collapsed="false">
      <c r="B190" s="42" t="n">
        <v>183</v>
      </c>
      <c r="C190" s="8" t="s">
        <v>418</v>
      </c>
      <c r="D190" s="8" t="s">
        <v>601</v>
      </c>
      <c r="E190" s="43" t="n">
        <v>0</v>
      </c>
      <c r="F190" s="44" t="n">
        <f aca="false">'13_Week'!$C$26</f>
        <v>0</v>
      </c>
      <c r="G190" s="45" t="n">
        <f aca="false">IF(ISNUMBER(F190),F190-E190,"n/a")</f>
        <v>0</v>
      </c>
      <c r="H190" s="46" t="n">
        <v>0.005000001</v>
      </c>
      <c r="I190" s="47" t="str">
        <f aca="false">IF(ISNUMBER(F190),IF(ABS(F190-E190)&lt;=H190,"PASS","FAIL"),"FAIL")</f>
        <v>PASS</v>
      </c>
      <c r="J190" s="47" t="str">
        <f aca="false">IF(ISNUMBER(F190),IF(ROUND(F190,2)=ROUND(E190,2),"same","differs"),"n/a")</f>
        <v>same</v>
      </c>
    </row>
    <row r="191" customFormat="false" ht="15" hidden="false" customHeight="false" outlineLevel="0" collapsed="false">
      <c r="B191" s="42" t="n">
        <v>184</v>
      </c>
      <c r="C191" s="8" t="s">
        <v>418</v>
      </c>
      <c r="D191" s="8" t="s">
        <v>602</v>
      </c>
      <c r="E191" s="43" t="n">
        <v>0</v>
      </c>
      <c r="F191" s="44" t="n">
        <f aca="false">'13_Week'!$D$26</f>
        <v>0</v>
      </c>
      <c r="G191" s="45" t="n">
        <f aca="false">IF(ISNUMBER(F191),F191-E191,"n/a")</f>
        <v>0</v>
      </c>
      <c r="H191" s="46" t="n">
        <v>0.005000001</v>
      </c>
      <c r="I191" s="47" t="str">
        <f aca="false">IF(ISNUMBER(F191),IF(ABS(F191-E191)&lt;=H191,"PASS","FAIL"),"FAIL")</f>
        <v>PASS</v>
      </c>
      <c r="J191" s="47" t="str">
        <f aca="false">IF(ISNUMBER(F191),IF(ROUND(F191,2)=ROUND(E191,2),"same","differs"),"n/a")</f>
        <v>same</v>
      </c>
    </row>
    <row r="192" customFormat="false" ht="15" hidden="false" customHeight="false" outlineLevel="0" collapsed="false">
      <c r="B192" s="42" t="n">
        <v>185</v>
      </c>
      <c r="C192" s="8" t="s">
        <v>418</v>
      </c>
      <c r="D192" s="8" t="s">
        <v>603</v>
      </c>
      <c r="E192" s="43" t="n">
        <v>0</v>
      </c>
      <c r="F192" s="44" t="n">
        <f aca="false">'13_Week'!$E$26</f>
        <v>0</v>
      </c>
      <c r="G192" s="45" t="n">
        <f aca="false">IF(ISNUMBER(F192),F192-E192,"n/a")</f>
        <v>0</v>
      </c>
      <c r="H192" s="46" t="n">
        <v>0.005000001</v>
      </c>
      <c r="I192" s="47" t="str">
        <f aca="false">IF(ISNUMBER(F192),IF(ABS(F192-E192)&lt;=H192,"PASS","FAIL"),"FAIL")</f>
        <v>PASS</v>
      </c>
      <c r="J192" s="47" t="str">
        <f aca="false">IF(ISNUMBER(F192),IF(ROUND(F192,2)=ROUND(E192,2),"same","differs"),"n/a")</f>
        <v>same</v>
      </c>
    </row>
    <row r="193" customFormat="false" ht="15" hidden="false" customHeight="false" outlineLevel="0" collapsed="false">
      <c r="B193" s="42" t="n">
        <v>186</v>
      </c>
      <c r="C193" s="8" t="s">
        <v>418</v>
      </c>
      <c r="D193" s="8" t="s">
        <v>604</v>
      </c>
      <c r="E193" s="43" t="n">
        <v>0.37</v>
      </c>
      <c r="F193" s="44" t="n">
        <f aca="false">'13_Week'!$F$26</f>
        <v>0.366666666666667</v>
      </c>
      <c r="G193" s="45" t="n">
        <f aca="false">IF(ISNUMBER(F193),F193-E193,"n/a")</f>
        <v>-0.00333333333333336</v>
      </c>
      <c r="H193" s="46" t="n">
        <v>0.005000001</v>
      </c>
      <c r="I193" s="47" t="str">
        <f aca="false">IF(ISNUMBER(F193),IF(ABS(F193-E193)&lt;=H193,"PASS","FAIL"),"FAIL")</f>
        <v>PASS</v>
      </c>
      <c r="J193" s="47" t="str">
        <f aca="false">IF(ISNUMBER(F193),IF(ROUND(F193,2)=ROUND(E193,2),"same","differs"),"n/a")</f>
        <v>same</v>
      </c>
    </row>
    <row r="194" customFormat="false" ht="15" hidden="false" customHeight="false" outlineLevel="0" collapsed="false">
      <c r="B194" s="42" t="n">
        <v>187</v>
      </c>
      <c r="C194" s="8" t="s">
        <v>418</v>
      </c>
      <c r="D194" s="8" t="s">
        <v>605</v>
      </c>
      <c r="E194" s="43" t="n">
        <v>0</v>
      </c>
      <c r="F194" s="44" t="n">
        <f aca="false">'13_Week'!$G$26</f>
        <v>0</v>
      </c>
      <c r="G194" s="45" t="n">
        <f aca="false">IF(ISNUMBER(F194),F194-E194,"n/a")</f>
        <v>0</v>
      </c>
      <c r="H194" s="46" t="n">
        <v>0.005000001</v>
      </c>
      <c r="I194" s="47" t="str">
        <f aca="false">IF(ISNUMBER(F194),IF(ABS(F194-E194)&lt;=H194,"PASS","FAIL"),"FAIL")</f>
        <v>PASS</v>
      </c>
      <c r="J194" s="47" t="str">
        <f aca="false">IF(ISNUMBER(F194),IF(ROUND(F194,2)=ROUND(E194,2),"same","differs"),"n/a")</f>
        <v>same</v>
      </c>
    </row>
    <row r="195" customFormat="false" ht="15" hidden="false" customHeight="false" outlineLevel="0" collapsed="false">
      <c r="B195" s="42" t="n">
        <v>188</v>
      </c>
      <c r="C195" s="8" t="s">
        <v>418</v>
      </c>
      <c r="D195" s="8" t="s">
        <v>606</v>
      </c>
      <c r="E195" s="43" t="n">
        <v>0</v>
      </c>
      <c r="F195" s="44" t="n">
        <f aca="false">'13_Week'!$H$26</f>
        <v>0</v>
      </c>
      <c r="G195" s="45" t="n">
        <f aca="false">IF(ISNUMBER(F195),F195-E195,"n/a")</f>
        <v>0</v>
      </c>
      <c r="H195" s="46" t="n">
        <v>0.005000001</v>
      </c>
      <c r="I195" s="47" t="str">
        <f aca="false">IF(ISNUMBER(F195),IF(ABS(F195-E195)&lt;=H195,"PASS","FAIL"),"FAIL")</f>
        <v>PASS</v>
      </c>
      <c r="J195" s="47" t="str">
        <f aca="false">IF(ISNUMBER(F195),IF(ROUND(F195,2)=ROUND(E195,2),"same","differs"),"n/a")</f>
        <v>same</v>
      </c>
    </row>
    <row r="196" customFormat="false" ht="15" hidden="false" customHeight="false" outlineLevel="0" collapsed="false">
      <c r="B196" s="42" t="n">
        <v>189</v>
      </c>
      <c r="C196" s="8" t="s">
        <v>418</v>
      </c>
      <c r="D196" s="8" t="s">
        <v>607</v>
      </c>
      <c r="E196" s="43" t="n">
        <v>0</v>
      </c>
      <c r="F196" s="44" t="n">
        <f aca="false">'13_Week'!$I$26</f>
        <v>0</v>
      </c>
      <c r="G196" s="45" t="n">
        <f aca="false">IF(ISNUMBER(F196),F196-E196,"n/a")</f>
        <v>0</v>
      </c>
      <c r="H196" s="46" t="n">
        <v>0.005000001</v>
      </c>
      <c r="I196" s="47" t="str">
        <f aca="false">IF(ISNUMBER(F196),IF(ABS(F196-E196)&lt;=H196,"PASS","FAIL"),"FAIL")</f>
        <v>PASS</v>
      </c>
      <c r="J196" s="47" t="str">
        <f aca="false">IF(ISNUMBER(F196),IF(ROUND(F196,2)=ROUND(E196,2),"same","differs"),"n/a")</f>
        <v>same</v>
      </c>
    </row>
    <row r="197" customFormat="false" ht="15" hidden="false" customHeight="false" outlineLevel="0" collapsed="false">
      <c r="B197" s="42" t="n">
        <v>190</v>
      </c>
      <c r="C197" s="8" t="s">
        <v>418</v>
      </c>
      <c r="D197" s="8" t="s">
        <v>608</v>
      </c>
      <c r="E197" s="43" t="n">
        <v>0.37</v>
      </c>
      <c r="F197" s="44" t="n">
        <f aca="false">'13_Week'!$J$26</f>
        <v>0.366666666666667</v>
      </c>
      <c r="G197" s="45" t="n">
        <f aca="false">IF(ISNUMBER(F197),F197-E197,"n/a")</f>
        <v>-0.00333333333333336</v>
      </c>
      <c r="H197" s="46" t="n">
        <v>0.005000001</v>
      </c>
      <c r="I197" s="47" t="str">
        <f aca="false">IF(ISNUMBER(F197),IF(ABS(F197-E197)&lt;=H197,"PASS","FAIL"),"FAIL")</f>
        <v>PASS</v>
      </c>
      <c r="J197" s="47" t="str">
        <f aca="false">IF(ISNUMBER(F197),IF(ROUND(F197,2)=ROUND(E197,2),"same","differs"),"n/a")</f>
        <v>same</v>
      </c>
    </row>
    <row r="198" customFormat="false" ht="15" hidden="false" customHeight="false" outlineLevel="0" collapsed="false">
      <c r="B198" s="42" t="n">
        <v>191</v>
      </c>
      <c r="C198" s="8" t="s">
        <v>418</v>
      </c>
      <c r="D198" s="8" t="s">
        <v>609</v>
      </c>
      <c r="E198" s="43" t="n">
        <v>0</v>
      </c>
      <c r="F198" s="44" t="n">
        <f aca="false">'13_Week'!$K$26</f>
        <v>0</v>
      </c>
      <c r="G198" s="45" t="n">
        <f aca="false">IF(ISNUMBER(F198),F198-E198,"n/a")</f>
        <v>0</v>
      </c>
      <c r="H198" s="46" t="n">
        <v>0.005000001</v>
      </c>
      <c r="I198" s="47" t="str">
        <f aca="false">IF(ISNUMBER(F198),IF(ABS(F198-E198)&lt;=H198,"PASS","FAIL"),"FAIL")</f>
        <v>PASS</v>
      </c>
      <c r="J198" s="47" t="str">
        <f aca="false">IF(ISNUMBER(F198),IF(ROUND(F198,2)=ROUND(E198,2),"same","differs"),"n/a")</f>
        <v>same</v>
      </c>
    </row>
    <row r="199" customFormat="false" ht="15" hidden="false" customHeight="false" outlineLevel="0" collapsed="false">
      <c r="B199" s="42" t="n">
        <v>192</v>
      </c>
      <c r="C199" s="8" t="s">
        <v>418</v>
      </c>
      <c r="D199" s="8" t="s">
        <v>610</v>
      </c>
      <c r="E199" s="43" t="n">
        <v>0</v>
      </c>
      <c r="F199" s="44" t="n">
        <f aca="false">'13_Week'!$L$26</f>
        <v>0</v>
      </c>
      <c r="G199" s="45" t="n">
        <f aca="false">IF(ISNUMBER(F199),F199-E199,"n/a")</f>
        <v>0</v>
      </c>
      <c r="H199" s="46" t="n">
        <v>0.005000001</v>
      </c>
      <c r="I199" s="47" t="str">
        <f aca="false">IF(ISNUMBER(F199),IF(ABS(F199-E199)&lt;=H199,"PASS","FAIL"),"FAIL")</f>
        <v>PASS</v>
      </c>
      <c r="J199" s="47" t="str">
        <f aca="false">IF(ISNUMBER(F199),IF(ROUND(F199,2)=ROUND(E199,2),"same","differs"),"n/a")</f>
        <v>same</v>
      </c>
    </row>
    <row r="200" customFormat="false" ht="15" hidden="false" customHeight="false" outlineLevel="0" collapsed="false">
      <c r="B200" s="42" t="n">
        <v>193</v>
      </c>
      <c r="C200" s="8" t="s">
        <v>418</v>
      </c>
      <c r="D200" s="8" t="s">
        <v>611</v>
      </c>
      <c r="E200" s="43" t="n">
        <v>0</v>
      </c>
      <c r="F200" s="44" t="n">
        <f aca="false">'13_Week'!$M$26</f>
        <v>0</v>
      </c>
      <c r="G200" s="45" t="n">
        <f aca="false">IF(ISNUMBER(F200),F200-E200,"n/a")</f>
        <v>0</v>
      </c>
      <c r="H200" s="46" t="n">
        <v>0.005000001</v>
      </c>
      <c r="I200" s="47" t="str">
        <f aca="false">IF(ISNUMBER(F200),IF(ABS(F200-E200)&lt;=H200,"PASS","FAIL"),"FAIL")</f>
        <v>PASS</v>
      </c>
      <c r="J200" s="47" t="str">
        <f aca="false">IF(ISNUMBER(F200),IF(ROUND(F200,2)=ROUND(E200,2),"same","differs"),"n/a")</f>
        <v>same</v>
      </c>
    </row>
    <row r="201" customFormat="false" ht="15" hidden="false" customHeight="false" outlineLevel="0" collapsed="false">
      <c r="B201" s="42" t="n">
        <v>194</v>
      </c>
      <c r="C201" s="8" t="s">
        <v>418</v>
      </c>
      <c r="D201" s="8" t="s">
        <v>612</v>
      </c>
      <c r="E201" s="43" t="n">
        <v>0.37</v>
      </c>
      <c r="F201" s="44" t="n">
        <f aca="false">'13_Week'!$N$26</f>
        <v>0.366666666666667</v>
      </c>
      <c r="G201" s="45" t="n">
        <f aca="false">IF(ISNUMBER(F201),F201-E201,"n/a")</f>
        <v>-0.00333333333333336</v>
      </c>
      <c r="H201" s="46" t="n">
        <v>0.005000001</v>
      </c>
      <c r="I201" s="47" t="str">
        <f aca="false">IF(ISNUMBER(F201),IF(ABS(F201-E201)&lt;=H201,"PASS","FAIL"),"FAIL")</f>
        <v>PASS</v>
      </c>
      <c r="J201" s="47" t="str">
        <f aca="false">IF(ISNUMBER(F201),IF(ROUND(F201,2)=ROUND(E201,2),"same","differs"),"n/a")</f>
        <v>same</v>
      </c>
    </row>
    <row r="202" customFormat="false" ht="15" hidden="false" customHeight="false" outlineLevel="0" collapsed="false">
      <c r="B202" s="42" t="n">
        <v>195</v>
      </c>
      <c r="C202" s="8" t="s">
        <v>418</v>
      </c>
      <c r="D202" s="8" t="s">
        <v>613</v>
      </c>
      <c r="E202" s="43" t="n">
        <v>0</v>
      </c>
      <c r="F202" s="44" t="n">
        <f aca="false">'13_Week'!$O$26</f>
        <v>0</v>
      </c>
      <c r="G202" s="45" t="n">
        <f aca="false">IF(ISNUMBER(F202),F202-E202,"n/a")</f>
        <v>0</v>
      </c>
      <c r="H202" s="46" t="n">
        <v>0.005000001</v>
      </c>
      <c r="I202" s="47" t="str">
        <f aca="false">IF(ISNUMBER(F202),IF(ABS(F202-E202)&lt;=H202,"PASS","FAIL"),"FAIL")</f>
        <v>PASS</v>
      </c>
      <c r="J202" s="47" t="str">
        <f aca="false">IF(ISNUMBER(F202),IF(ROUND(F202,2)=ROUND(E202,2),"same","differs"),"n/a")</f>
        <v>same</v>
      </c>
    </row>
    <row r="203" customFormat="false" ht="15" hidden="false" customHeight="false" outlineLevel="0" collapsed="false">
      <c r="B203" s="42" t="n">
        <v>196</v>
      </c>
      <c r="C203" s="8" t="s">
        <v>418</v>
      </c>
      <c r="D203" s="8" t="s">
        <v>614</v>
      </c>
      <c r="E203" s="43" t="n">
        <v>1.1</v>
      </c>
      <c r="F203" s="44" t="n">
        <f aca="false">'13_Week'!$P$26</f>
        <v>1.1</v>
      </c>
      <c r="G203" s="45" t="n">
        <f aca="false">IF(ISNUMBER(F203),F203-E203,"n/a")</f>
        <v>0</v>
      </c>
      <c r="H203" s="46" t="n">
        <v>0.005000001</v>
      </c>
      <c r="I203" s="47" t="str">
        <f aca="false">IF(ISNUMBER(F203),IF(ABS(F203-E203)&lt;=H203,"PASS","FAIL"),"FAIL")</f>
        <v>PASS</v>
      </c>
      <c r="J203" s="47" t="str">
        <f aca="false">IF(ISNUMBER(F203),IF(ROUND(F203,2)=ROUND(E203,2),"same","differs"),"n/a")</f>
        <v>same</v>
      </c>
    </row>
    <row r="204" customFormat="false" ht="15" hidden="false" customHeight="false" outlineLevel="0" collapsed="false">
      <c r="B204" s="42" t="n">
        <v>197</v>
      </c>
      <c r="C204" s="8" t="s">
        <v>418</v>
      </c>
      <c r="D204" s="8" t="s">
        <v>615</v>
      </c>
      <c r="E204" s="43" t="n">
        <v>0</v>
      </c>
      <c r="F204" s="44" t="n">
        <f aca="false">'13_Week'!$C$27</f>
        <v>0</v>
      </c>
      <c r="G204" s="45" t="n">
        <f aca="false">IF(ISNUMBER(F204),F204-E204,"n/a")</f>
        <v>0</v>
      </c>
      <c r="H204" s="46" t="n">
        <v>0.005000001</v>
      </c>
      <c r="I204" s="47" t="str">
        <f aca="false">IF(ISNUMBER(F204),IF(ABS(F204-E204)&lt;=H204,"PASS","FAIL"),"FAIL")</f>
        <v>PASS</v>
      </c>
      <c r="J204" s="47" t="str">
        <f aca="false">IF(ISNUMBER(F204),IF(ROUND(F204,2)=ROUND(E204,2),"same","differs"),"n/a")</f>
        <v>same</v>
      </c>
    </row>
    <row r="205" customFormat="false" ht="15" hidden="false" customHeight="false" outlineLevel="0" collapsed="false">
      <c r="B205" s="42" t="n">
        <v>198</v>
      </c>
      <c r="C205" s="8" t="s">
        <v>418</v>
      </c>
      <c r="D205" s="8" t="s">
        <v>616</v>
      </c>
      <c r="E205" s="43" t="n">
        <v>0</v>
      </c>
      <c r="F205" s="44" t="n">
        <f aca="false">'13_Week'!$D$27</f>
        <v>0</v>
      </c>
      <c r="G205" s="45" t="n">
        <f aca="false">IF(ISNUMBER(F205),F205-E205,"n/a")</f>
        <v>0</v>
      </c>
      <c r="H205" s="46" t="n">
        <v>0.005000001</v>
      </c>
      <c r="I205" s="47" t="str">
        <f aca="false">IF(ISNUMBER(F205),IF(ABS(F205-E205)&lt;=H205,"PASS","FAIL"),"FAIL")</f>
        <v>PASS</v>
      </c>
      <c r="J205" s="47" t="str">
        <f aca="false">IF(ISNUMBER(F205),IF(ROUND(F205,2)=ROUND(E205,2),"same","differs"),"n/a")</f>
        <v>same</v>
      </c>
    </row>
    <row r="206" customFormat="false" ht="15" hidden="false" customHeight="false" outlineLevel="0" collapsed="false">
      <c r="B206" s="42" t="n">
        <v>199</v>
      </c>
      <c r="C206" s="8" t="s">
        <v>418</v>
      </c>
      <c r="D206" s="8" t="s">
        <v>617</v>
      </c>
      <c r="E206" s="43" t="n">
        <v>0</v>
      </c>
      <c r="F206" s="44" t="n">
        <f aca="false">'13_Week'!$E$27</f>
        <v>0</v>
      </c>
      <c r="G206" s="45" t="n">
        <f aca="false">IF(ISNUMBER(F206),F206-E206,"n/a")</f>
        <v>0</v>
      </c>
      <c r="H206" s="46" t="n">
        <v>0.005000001</v>
      </c>
      <c r="I206" s="47" t="str">
        <f aca="false">IF(ISNUMBER(F206),IF(ABS(F206-E206)&lt;=H206,"PASS","FAIL"),"FAIL")</f>
        <v>PASS</v>
      </c>
      <c r="J206" s="47" t="str">
        <f aca="false">IF(ISNUMBER(F206),IF(ROUND(F206,2)=ROUND(E206,2),"same","differs"),"n/a")</f>
        <v>same</v>
      </c>
    </row>
    <row r="207" customFormat="false" ht="15" hidden="false" customHeight="false" outlineLevel="0" collapsed="false">
      <c r="B207" s="42" t="n">
        <v>200</v>
      </c>
      <c r="C207" s="8" t="s">
        <v>418</v>
      </c>
      <c r="D207" s="8" t="s">
        <v>618</v>
      </c>
      <c r="E207" s="43" t="n">
        <v>0</v>
      </c>
      <c r="F207" s="44" t="n">
        <f aca="false">'13_Week'!$F$27</f>
        <v>0</v>
      </c>
      <c r="G207" s="45" t="n">
        <f aca="false">IF(ISNUMBER(F207),F207-E207,"n/a")</f>
        <v>0</v>
      </c>
      <c r="H207" s="46" t="n">
        <v>0.005000001</v>
      </c>
      <c r="I207" s="47" t="str">
        <f aca="false">IF(ISNUMBER(F207),IF(ABS(F207-E207)&lt;=H207,"PASS","FAIL"),"FAIL")</f>
        <v>PASS</v>
      </c>
      <c r="J207" s="47" t="str">
        <f aca="false">IF(ISNUMBER(F207),IF(ROUND(F207,2)=ROUND(E207,2),"same","differs"),"n/a")</f>
        <v>same</v>
      </c>
    </row>
    <row r="208" customFormat="false" ht="15" hidden="false" customHeight="false" outlineLevel="0" collapsed="false">
      <c r="B208" s="42" t="n">
        <v>201</v>
      </c>
      <c r="C208" s="8" t="s">
        <v>418</v>
      </c>
      <c r="D208" s="8" t="s">
        <v>619</v>
      </c>
      <c r="E208" s="43" t="n">
        <v>0</v>
      </c>
      <c r="F208" s="44" t="n">
        <f aca="false">'13_Week'!$G$27</f>
        <v>0</v>
      </c>
      <c r="G208" s="45" t="n">
        <f aca="false">IF(ISNUMBER(F208),F208-E208,"n/a")</f>
        <v>0</v>
      </c>
      <c r="H208" s="46" t="n">
        <v>0.005000001</v>
      </c>
      <c r="I208" s="47" t="str">
        <f aca="false">IF(ISNUMBER(F208),IF(ABS(F208-E208)&lt;=H208,"PASS","FAIL"),"FAIL")</f>
        <v>PASS</v>
      </c>
      <c r="J208" s="47" t="str">
        <f aca="false">IF(ISNUMBER(F208),IF(ROUND(F208,2)=ROUND(E208,2),"same","differs"),"n/a")</f>
        <v>same</v>
      </c>
    </row>
    <row r="209" customFormat="false" ht="15" hidden="false" customHeight="false" outlineLevel="0" collapsed="false">
      <c r="B209" s="42" t="n">
        <v>202</v>
      </c>
      <c r="C209" s="8" t="s">
        <v>418</v>
      </c>
      <c r="D209" s="8" t="s">
        <v>620</v>
      </c>
      <c r="E209" s="43" t="n">
        <v>0</v>
      </c>
      <c r="F209" s="44" t="n">
        <f aca="false">'13_Week'!$H$27</f>
        <v>0</v>
      </c>
      <c r="G209" s="45" t="n">
        <f aca="false">IF(ISNUMBER(F209),F209-E209,"n/a")</f>
        <v>0</v>
      </c>
      <c r="H209" s="46" t="n">
        <v>0.005000001</v>
      </c>
      <c r="I209" s="47" t="str">
        <f aca="false">IF(ISNUMBER(F209),IF(ABS(F209-E209)&lt;=H209,"PASS","FAIL"),"FAIL")</f>
        <v>PASS</v>
      </c>
      <c r="J209" s="47" t="str">
        <f aca="false">IF(ISNUMBER(F209),IF(ROUND(F209,2)=ROUND(E209,2),"same","differs"),"n/a")</f>
        <v>same</v>
      </c>
    </row>
    <row r="210" customFormat="false" ht="15" hidden="false" customHeight="false" outlineLevel="0" collapsed="false">
      <c r="B210" s="42" t="n">
        <v>203</v>
      </c>
      <c r="C210" s="8" t="s">
        <v>418</v>
      </c>
      <c r="D210" s="8" t="s">
        <v>621</v>
      </c>
      <c r="E210" s="43" t="n">
        <v>0</v>
      </c>
      <c r="F210" s="44" t="n">
        <f aca="false">'13_Week'!$I$27</f>
        <v>0</v>
      </c>
      <c r="G210" s="45" t="n">
        <f aca="false">IF(ISNUMBER(F210),F210-E210,"n/a")</f>
        <v>0</v>
      </c>
      <c r="H210" s="46" t="n">
        <v>0.005000001</v>
      </c>
      <c r="I210" s="47" t="str">
        <f aca="false">IF(ISNUMBER(F210),IF(ABS(F210-E210)&lt;=H210,"PASS","FAIL"),"FAIL")</f>
        <v>PASS</v>
      </c>
      <c r="J210" s="47" t="str">
        <f aca="false">IF(ISNUMBER(F210),IF(ROUND(F210,2)=ROUND(E210,2),"same","differs"),"n/a")</f>
        <v>same</v>
      </c>
    </row>
    <row r="211" customFormat="false" ht="15" hidden="false" customHeight="false" outlineLevel="0" collapsed="false">
      <c r="B211" s="42" t="n">
        <v>204</v>
      </c>
      <c r="C211" s="8" t="s">
        <v>418</v>
      </c>
      <c r="D211" s="8" t="s">
        <v>622</v>
      </c>
      <c r="E211" s="43" t="n">
        <v>0</v>
      </c>
      <c r="F211" s="44" t="n">
        <f aca="false">'13_Week'!$J$27</f>
        <v>0</v>
      </c>
      <c r="G211" s="45" t="n">
        <f aca="false">IF(ISNUMBER(F211),F211-E211,"n/a")</f>
        <v>0</v>
      </c>
      <c r="H211" s="46" t="n">
        <v>0.005000001</v>
      </c>
      <c r="I211" s="47" t="str">
        <f aca="false">IF(ISNUMBER(F211),IF(ABS(F211-E211)&lt;=H211,"PASS","FAIL"),"FAIL")</f>
        <v>PASS</v>
      </c>
      <c r="J211" s="47" t="str">
        <f aca="false">IF(ISNUMBER(F211),IF(ROUND(F211,2)=ROUND(E211,2),"same","differs"),"n/a")</f>
        <v>same</v>
      </c>
    </row>
    <row r="212" customFormat="false" ht="15" hidden="false" customHeight="false" outlineLevel="0" collapsed="false">
      <c r="B212" s="42" t="n">
        <v>205</v>
      </c>
      <c r="C212" s="8" t="s">
        <v>418</v>
      </c>
      <c r="D212" s="8" t="s">
        <v>623</v>
      </c>
      <c r="E212" s="43" t="n">
        <v>0</v>
      </c>
      <c r="F212" s="44" t="n">
        <f aca="false">'13_Week'!$K$27</f>
        <v>0</v>
      </c>
      <c r="G212" s="45" t="n">
        <f aca="false">IF(ISNUMBER(F212),F212-E212,"n/a")</f>
        <v>0</v>
      </c>
      <c r="H212" s="46" t="n">
        <v>0.005000001</v>
      </c>
      <c r="I212" s="47" t="str">
        <f aca="false">IF(ISNUMBER(F212),IF(ABS(F212-E212)&lt;=H212,"PASS","FAIL"),"FAIL")</f>
        <v>PASS</v>
      </c>
      <c r="J212" s="47" t="str">
        <f aca="false">IF(ISNUMBER(F212),IF(ROUND(F212,2)=ROUND(E212,2),"same","differs"),"n/a")</f>
        <v>same</v>
      </c>
    </row>
    <row r="213" customFormat="false" ht="15" hidden="false" customHeight="false" outlineLevel="0" collapsed="false">
      <c r="B213" s="42" t="n">
        <v>206</v>
      </c>
      <c r="C213" s="8" t="s">
        <v>418</v>
      </c>
      <c r="D213" s="8" t="s">
        <v>624</v>
      </c>
      <c r="E213" s="43" t="n">
        <v>0</v>
      </c>
      <c r="F213" s="44" t="n">
        <f aca="false">'13_Week'!$L$27</f>
        <v>0</v>
      </c>
      <c r="G213" s="45" t="n">
        <f aca="false">IF(ISNUMBER(F213),F213-E213,"n/a")</f>
        <v>0</v>
      </c>
      <c r="H213" s="46" t="n">
        <v>0.005000001</v>
      </c>
      <c r="I213" s="47" t="str">
        <f aca="false">IF(ISNUMBER(F213),IF(ABS(F213-E213)&lt;=H213,"PASS","FAIL"),"FAIL")</f>
        <v>PASS</v>
      </c>
      <c r="J213" s="47" t="str">
        <f aca="false">IF(ISNUMBER(F213),IF(ROUND(F213,2)=ROUND(E213,2),"same","differs"),"n/a")</f>
        <v>same</v>
      </c>
    </row>
    <row r="214" customFormat="false" ht="15" hidden="false" customHeight="false" outlineLevel="0" collapsed="false">
      <c r="B214" s="42" t="n">
        <v>207</v>
      </c>
      <c r="C214" s="8" t="s">
        <v>418</v>
      </c>
      <c r="D214" s="8" t="s">
        <v>625</v>
      </c>
      <c r="E214" s="43" t="n">
        <v>14.5</v>
      </c>
      <c r="F214" s="44" t="n">
        <f aca="false">'13_Week'!$M$27</f>
        <v>14.5</v>
      </c>
      <c r="G214" s="45" t="n">
        <f aca="false">IF(ISNUMBER(F214),F214-E214,"n/a")</f>
        <v>0</v>
      </c>
      <c r="H214" s="46" t="n">
        <v>0.005000001</v>
      </c>
      <c r="I214" s="47" t="str">
        <f aca="false">IF(ISNUMBER(F214),IF(ABS(F214-E214)&lt;=H214,"PASS","FAIL"),"FAIL")</f>
        <v>PASS</v>
      </c>
      <c r="J214" s="47" t="str">
        <f aca="false">IF(ISNUMBER(F214),IF(ROUND(F214,2)=ROUND(E214,2),"same","differs"),"n/a")</f>
        <v>same</v>
      </c>
    </row>
    <row r="215" customFormat="false" ht="15" hidden="false" customHeight="false" outlineLevel="0" collapsed="false">
      <c r="B215" s="42" t="n">
        <v>208</v>
      </c>
      <c r="C215" s="8" t="s">
        <v>418</v>
      </c>
      <c r="D215" s="8" t="s">
        <v>626</v>
      </c>
      <c r="E215" s="43" t="n">
        <v>0</v>
      </c>
      <c r="F215" s="44" t="n">
        <f aca="false">'13_Week'!$N$27</f>
        <v>0</v>
      </c>
      <c r="G215" s="45" t="n">
        <f aca="false">IF(ISNUMBER(F215),F215-E215,"n/a")</f>
        <v>0</v>
      </c>
      <c r="H215" s="46" t="n">
        <v>0.005000001</v>
      </c>
      <c r="I215" s="47" t="str">
        <f aca="false">IF(ISNUMBER(F215),IF(ABS(F215-E215)&lt;=H215,"PASS","FAIL"),"FAIL")</f>
        <v>PASS</v>
      </c>
      <c r="J215" s="47" t="str">
        <f aca="false">IF(ISNUMBER(F215),IF(ROUND(F215,2)=ROUND(E215,2),"same","differs"),"n/a")</f>
        <v>same</v>
      </c>
    </row>
    <row r="216" customFormat="false" ht="15" hidden="false" customHeight="false" outlineLevel="0" collapsed="false">
      <c r="B216" s="42" t="n">
        <v>209</v>
      </c>
      <c r="C216" s="8" t="s">
        <v>418</v>
      </c>
      <c r="D216" s="8" t="s">
        <v>627</v>
      </c>
      <c r="E216" s="43" t="n">
        <v>0</v>
      </c>
      <c r="F216" s="44" t="n">
        <f aca="false">'13_Week'!$O$27</f>
        <v>0</v>
      </c>
      <c r="G216" s="45" t="n">
        <f aca="false">IF(ISNUMBER(F216),F216-E216,"n/a")</f>
        <v>0</v>
      </c>
      <c r="H216" s="46" t="n">
        <v>0.005000001</v>
      </c>
      <c r="I216" s="47" t="str">
        <f aca="false">IF(ISNUMBER(F216),IF(ABS(F216-E216)&lt;=H216,"PASS","FAIL"),"FAIL")</f>
        <v>PASS</v>
      </c>
      <c r="J216" s="47" t="str">
        <f aca="false">IF(ISNUMBER(F216),IF(ROUND(F216,2)=ROUND(E216,2),"same","differs"),"n/a")</f>
        <v>same</v>
      </c>
    </row>
    <row r="217" customFormat="false" ht="15" hidden="false" customHeight="false" outlineLevel="0" collapsed="false">
      <c r="B217" s="42" t="n">
        <v>210</v>
      </c>
      <c r="C217" s="8" t="s">
        <v>418</v>
      </c>
      <c r="D217" s="8" t="s">
        <v>628</v>
      </c>
      <c r="E217" s="43" t="n">
        <v>14.5</v>
      </c>
      <c r="F217" s="44" t="n">
        <f aca="false">'13_Week'!$P$27</f>
        <v>14.5</v>
      </c>
      <c r="G217" s="45" t="n">
        <f aca="false">IF(ISNUMBER(F217),F217-E217,"n/a")</f>
        <v>0</v>
      </c>
      <c r="H217" s="46" t="n">
        <v>0.005000001</v>
      </c>
      <c r="I217" s="47" t="str">
        <f aca="false">IF(ISNUMBER(F217),IF(ABS(F217-E217)&lt;=H217,"PASS","FAIL"),"FAIL")</f>
        <v>PASS</v>
      </c>
      <c r="J217" s="47" t="str">
        <f aca="false">IF(ISNUMBER(F217),IF(ROUND(F217,2)=ROUND(E217,2),"same","differs"),"n/a")</f>
        <v>same</v>
      </c>
    </row>
    <row r="218" customFormat="false" ht="15" hidden="false" customHeight="false" outlineLevel="0" collapsed="false">
      <c r="B218" s="42" t="n">
        <v>211</v>
      </c>
      <c r="C218" s="8" t="s">
        <v>418</v>
      </c>
      <c r="D218" s="8" t="s">
        <v>629</v>
      </c>
      <c r="E218" s="43" t="n">
        <v>20.2</v>
      </c>
      <c r="F218" s="44" t="n">
        <f aca="false">'13_Week'!$C$9</f>
        <v>20.2</v>
      </c>
      <c r="G218" s="45" t="n">
        <f aca="false">IF(ISNUMBER(F218),F218-E218,"n/a")</f>
        <v>0</v>
      </c>
      <c r="H218" s="46" t="n">
        <v>0.005000001</v>
      </c>
      <c r="I218" s="47" t="str">
        <f aca="false">IF(ISNUMBER(F218),IF(ABS(F218-E218)&lt;=H218,"PASS","FAIL"),"FAIL")</f>
        <v>PASS</v>
      </c>
      <c r="J218" s="47" t="str">
        <f aca="false">IF(ISNUMBER(F218),IF(ROUND(F218,2)=ROUND(E218,2),"same","differs"),"n/a")</f>
        <v>same</v>
      </c>
    </row>
    <row r="219" customFormat="false" ht="15" hidden="false" customHeight="false" outlineLevel="0" collapsed="false">
      <c r="B219" s="42" t="n">
        <v>212</v>
      </c>
      <c r="C219" s="8" t="s">
        <v>418</v>
      </c>
      <c r="D219" s="8" t="s">
        <v>630</v>
      </c>
      <c r="E219" s="43" t="n">
        <v>20.2</v>
      </c>
      <c r="F219" s="44" t="n">
        <f aca="false">'13_Week'!$D$9</f>
        <v>20.2</v>
      </c>
      <c r="G219" s="45" t="n">
        <f aca="false">IF(ISNUMBER(F219),F219-E219,"n/a")</f>
        <v>0</v>
      </c>
      <c r="H219" s="46" t="n">
        <v>0.005000001</v>
      </c>
      <c r="I219" s="47" t="str">
        <f aca="false">IF(ISNUMBER(F219),IF(ABS(F219-E219)&lt;=H219,"PASS","FAIL"),"FAIL")</f>
        <v>PASS</v>
      </c>
      <c r="J219" s="47" t="str">
        <f aca="false">IF(ISNUMBER(F219),IF(ROUND(F219,2)=ROUND(E219,2),"same","differs"),"n/a")</f>
        <v>same</v>
      </c>
    </row>
    <row r="220" customFormat="false" ht="15" hidden="false" customHeight="false" outlineLevel="0" collapsed="false">
      <c r="B220" s="42" t="n">
        <v>213</v>
      </c>
      <c r="C220" s="8" t="s">
        <v>418</v>
      </c>
      <c r="D220" s="8" t="s">
        <v>631</v>
      </c>
      <c r="E220" s="43" t="n">
        <v>20.2</v>
      </c>
      <c r="F220" s="44" t="n">
        <f aca="false">'13_Week'!$E$9</f>
        <v>20.2</v>
      </c>
      <c r="G220" s="45" t="n">
        <f aca="false">IF(ISNUMBER(F220),F220-E220,"n/a")</f>
        <v>0</v>
      </c>
      <c r="H220" s="46" t="n">
        <v>0.005000001</v>
      </c>
      <c r="I220" s="47" t="str">
        <f aca="false">IF(ISNUMBER(F220),IF(ABS(F220-E220)&lt;=H220,"PASS","FAIL"),"FAIL")</f>
        <v>PASS</v>
      </c>
      <c r="J220" s="47" t="str">
        <f aca="false">IF(ISNUMBER(F220),IF(ROUND(F220,2)=ROUND(E220,2),"same","differs"),"n/a")</f>
        <v>same</v>
      </c>
    </row>
    <row r="221" customFormat="false" ht="15" hidden="false" customHeight="false" outlineLevel="0" collapsed="false">
      <c r="B221" s="42" t="n">
        <v>214</v>
      </c>
      <c r="C221" s="8" t="s">
        <v>418</v>
      </c>
      <c r="D221" s="8" t="s">
        <v>632</v>
      </c>
      <c r="E221" s="43" t="n">
        <v>20.2</v>
      </c>
      <c r="F221" s="44" t="n">
        <f aca="false">'13_Week'!$F$9</f>
        <v>20.2</v>
      </c>
      <c r="G221" s="45" t="n">
        <f aca="false">IF(ISNUMBER(F221),F221-E221,"n/a")</f>
        <v>0</v>
      </c>
      <c r="H221" s="46" t="n">
        <v>0.005000001</v>
      </c>
      <c r="I221" s="47" t="str">
        <f aca="false">IF(ISNUMBER(F221),IF(ABS(F221-E221)&lt;=H221,"PASS","FAIL"),"FAIL")</f>
        <v>PASS</v>
      </c>
      <c r="J221" s="47" t="str">
        <f aca="false">IF(ISNUMBER(F221),IF(ROUND(F221,2)=ROUND(E221,2),"same","differs"),"n/a")</f>
        <v>same</v>
      </c>
    </row>
    <row r="222" customFormat="false" ht="15" hidden="false" customHeight="false" outlineLevel="0" collapsed="false">
      <c r="B222" s="42" t="n">
        <v>215</v>
      </c>
      <c r="C222" s="8" t="s">
        <v>418</v>
      </c>
      <c r="D222" s="8" t="s">
        <v>633</v>
      </c>
      <c r="E222" s="43" t="n">
        <v>18.4</v>
      </c>
      <c r="F222" s="44" t="n">
        <f aca="false">'13_Week'!$G$9</f>
        <v>18.4</v>
      </c>
      <c r="G222" s="45" t="n">
        <f aca="false">IF(ISNUMBER(F222),F222-E222,"n/a")</f>
        <v>0</v>
      </c>
      <c r="H222" s="46" t="n">
        <v>0.005000001</v>
      </c>
      <c r="I222" s="47" t="str">
        <f aca="false">IF(ISNUMBER(F222),IF(ABS(F222-E222)&lt;=H222,"PASS","FAIL"),"FAIL")</f>
        <v>PASS</v>
      </c>
      <c r="J222" s="47" t="str">
        <f aca="false">IF(ISNUMBER(F222),IF(ROUND(F222,2)=ROUND(E222,2),"same","differs"),"n/a")</f>
        <v>same</v>
      </c>
    </row>
    <row r="223" customFormat="false" ht="15" hidden="false" customHeight="false" outlineLevel="0" collapsed="false">
      <c r="B223" s="42" t="n">
        <v>216</v>
      </c>
      <c r="C223" s="8" t="s">
        <v>418</v>
      </c>
      <c r="D223" s="8" t="s">
        <v>634</v>
      </c>
      <c r="E223" s="43" t="n">
        <v>18.4</v>
      </c>
      <c r="F223" s="44" t="n">
        <f aca="false">'13_Week'!$H$9</f>
        <v>18.4</v>
      </c>
      <c r="G223" s="45" t="n">
        <f aca="false">IF(ISNUMBER(F223),F223-E223,"n/a")</f>
        <v>0</v>
      </c>
      <c r="H223" s="46" t="n">
        <v>0.005000001</v>
      </c>
      <c r="I223" s="47" t="str">
        <f aca="false">IF(ISNUMBER(F223),IF(ABS(F223-E223)&lt;=H223,"PASS","FAIL"),"FAIL")</f>
        <v>PASS</v>
      </c>
      <c r="J223" s="47" t="str">
        <f aca="false">IF(ISNUMBER(F223),IF(ROUND(F223,2)=ROUND(E223,2),"same","differs"),"n/a")</f>
        <v>same</v>
      </c>
    </row>
    <row r="224" customFormat="false" ht="15" hidden="false" customHeight="false" outlineLevel="0" collapsed="false">
      <c r="B224" s="42" t="n">
        <v>217</v>
      </c>
      <c r="C224" s="8" t="s">
        <v>418</v>
      </c>
      <c r="D224" s="8" t="s">
        <v>635</v>
      </c>
      <c r="E224" s="43" t="n">
        <v>18.4</v>
      </c>
      <c r="F224" s="44" t="n">
        <f aca="false">'13_Week'!$I$9</f>
        <v>18.4</v>
      </c>
      <c r="G224" s="45" t="n">
        <f aca="false">IF(ISNUMBER(F224),F224-E224,"n/a")</f>
        <v>0</v>
      </c>
      <c r="H224" s="46" t="n">
        <v>0.005000001</v>
      </c>
      <c r="I224" s="47" t="str">
        <f aca="false">IF(ISNUMBER(F224),IF(ABS(F224-E224)&lt;=H224,"PASS","FAIL"),"FAIL")</f>
        <v>PASS</v>
      </c>
      <c r="J224" s="47" t="str">
        <f aca="false">IF(ISNUMBER(F224),IF(ROUND(F224,2)=ROUND(E224,2),"same","differs"),"n/a")</f>
        <v>same</v>
      </c>
    </row>
    <row r="225" customFormat="false" ht="15" hidden="false" customHeight="false" outlineLevel="0" collapsed="false">
      <c r="B225" s="42" t="n">
        <v>218</v>
      </c>
      <c r="C225" s="8" t="s">
        <v>418</v>
      </c>
      <c r="D225" s="8" t="s">
        <v>636</v>
      </c>
      <c r="E225" s="43" t="n">
        <v>18.4</v>
      </c>
      <c r="F225" s="44" t="n">
        <f aca="false">'13_Week'!$J$9</f>
        <v>18.4</v>
      </c>
      <c r="G225" s="45" t="n">
        <f aca="false">IF(ISNUMBER(F225),F225-E225,"n/a")</f>
        <v>0</v>
      </c>
      <c r="H225" s="46" t="n">
        <v>0.005000001</v>
      </c>
      <c r="I225" s="47" t="str">
        <f aca="false">IF(ISNUMBER(F225),IF(ABS(F225-E225)&lt;=H225,"PASS","FAIL"),"FAIL")</f>
        <v>PASS</v>
      </c>
      <c r="J225" s="47" t="str">
        <f aca="false">IF(ISNUMBER(F225),IF(ROUND(F225,2)=ROUND(E225,2),"same","differs"),"n/a")</f>
        <v>same</v>
      </c>
    </row>
    <row r="226" customFormat="false" ht="15" hidden="false" customHeight="false" outlineLevel="0" collapsed="false">
      <c r="B226" s="42" t="n">
        <v>219</v>
      </c>
      <c r="C226" s="8" t="s">
        <v>418</v>
      </c>
      <c r="D226" s="8" t="s">
        <v>637</v>
      </c>
      <c r="E226" s="43" t="n">
        <v>20.2</v>
      </c>
      <c r="F226" s="44" t="n">
        <f aca="false">'13_Week'!$K$9</f>
        <v>20.2</v>
      </c>
      <c r="G226" s="45" t="n">
        <f aca="false">IF(ISNUMBER(F226),F226-E226,"n/a")</f>
        <v>0</v>
      </c>
      <c r="H226" s="46" t="n">
        <v>0.005000001</v>
      </c>
      <c r="I226" s="47" t="str">
        <f aca="false">IF(ISNUMBER(F226),IF(ABS(F226-E226)&lt;=H226,"PASS","FAIL"),"FAIL")</f>
        <v>PASS</v>
      </c>
      <c r="J226" s="47" t="str">
        <f aca="false">IF(ISNUMBER(F226),IF(ROUND(F226,2)=ROUND(E226,2),"same","differs"),"n/a")</f>
        <v>same</v>
      </c>
    </row>
    <row r="227" customFormat="false" ht="15" hidden="false" customHeight="false" outlineLevel="0" collapsed="false">
      <c r="B227" s="42" t="n">
        <v>220</v>
      </c>
      <c r="C227" s="8" t="s">
        <v>418</v>
      </c>
      <c r="D227" s="8" t="s">
        <v>638</v>
      </c>
      <c r="E227" s="43" t="n">
        <v>21.4</v>
      </c>
      <c r="F227" s="44" t="n">
        <f aca="false">'13_Week'!$L$9</f>
        <v>21.4</v>
      </c>
      <c r="G227" s="45" t="n">
        <f aca="false">IF(ISNUMBER(F227),F227-E227,"n/a")</f>
        <v>0</v>
      </c>
      <c r="H227" s="46" t="n">
        <v>0.005000001</v>
      </c>
      <c r="I227" s="47" t="str">
        <f aca="false">IF(ISNUMBER(F227),IF(ABS(F227-E227)&lt;=H227,"PASS","FAIL"),"FAIL")</f>
        <v>PASS</v>
      </c>
      <c r="J227" s="47" t="str">
        <f aca="false">IF(ISNUMBER(F227),IF(ROUND(F227,2)=ROUND(E227,2),"same","differs"),"n/a")</f>
        <v>same</v>
      </c>
    </row>
    <row r="228" customFormat="false" ht="15" hidden="false" customHeight="false" outlineLevel="0" collapsed="false">
      <c r="B228" s="42" t="n">
        <v>221</v>
      </c>
      <c r="C228" s="8" t="s">
        <v>418</v>
      </c>
      <c r="D228" s="8" t="s">
        <v>639</v>
      </c>
      <c r="E228" s="43" t="n">
        <v>20.2</v>
      </c>
      <c r="F228" s="44" t="n">
        <f aca="false">'13_Week'!$M$9</f>
        <v>20.2</v>
      </c>
      <c r="G228" s="45" t="n">
        <f aca="false">IF(ISNUMBER(F228),F228-E228,"n/a")</f>
        <v>0</v>
      </c>
      <c r="H228" s="46" t="n">
        <v>0.005000001</v>
      </c>
      <c r="I228" s="47" t="str">
        <f aca="false">IF(ISNUMBER(F228),IF(ABS(F228-E228)&lt;=H228,"PASS","FAIL"),"FAIL")</f>
        <v>PASS</v>
      </c>
      <c r="J228" s="47" t="str">
        <f aca="false">IF(ISNUMBER(F228),IF(ROUND(F228,2)=ROUND(E228,2),"same","differs"),"n/a")</f>
        <v>same</v>
      </c>
    </row>
    <row r="229" customFormat="false" ht="15" hidden="false" customHeight="false" outlineLevel="0" collapsed="false">
      <c r="B229" s="42" t="n">
        <v>222</v>
      </c>
      <c r="C229" s="8" t="s">
        <v>418</v>
      </c>
      <c r="D229" s="8" t="s">
        <v>640</v>
      </c>
      <c r="E229" s="43" t="n">
        <v>20.2</v>
      </c>
      <c r="F229" s="44" t="n">
        <f aca="false">'13_Week'!$N$9</f>
        <v>20.2</v>
      </c>
      <c r="G229" s="45" t="n">
        <f aca="false">IF(ISNUMBER(F229),F229-E229,"n/a")</f>
        <v>0</v>
      </c>
      <c r="H229" s="46" t="n">
        <v>0.005000001</v>
      </c>
      <c r="I229" s="47" t="str">
        <f aca="false">IF(ISNUMBER(F229),IF(ABS(F229-E229)&lt;=H229,"PASS","FAIL"),"FAIL")</f>
        <v>PASS</v>
      </c>
      <c r="J229" s="47" t="str">
        <f aca="false">IF(ISNUMBER(F229),IF(ROUND(F229,2)=ROUND(E229,2),"same","differs"),"n/a")</f>
        <v>same</v>
      </c>
    </row>
    <row r="230" customFormat="false" ht="15" hidden="false" customHeight="false" outlineLevel="0" collapsed="false">
      <c r="B230" s="42" t="n">
        <v>223</v>
      </c>
      <c r="C230" s="8" t="s">
        <v>418</v>
      </c>
      <c r="D230" s="8" t="s">
        <v>641</v>
      </c>
      <c r="E230" s="43" t="n">
        <v>20.2</v>
      </c>
      <c r="F230" s="44" t="n">
        <f aca="false">'13_Week'!$O$9</f>
        <v>20.2</v>
      </c>
      <c r="G230" s="45" t="n">
        <f aca="false">IF(ISNUMBER(F230),F230-E230,"n/a")</f>
        <v>0</v>
      </c>
      <c r="H230" s="46" t="n">
        <v>0.005000001</v>
      </c>
      <c r="I230" s="47" t="str">
        <f aca="false">IF(ISNUMBER(F230),IF(ABS(F230-E230)&lt;=H230,"PASS","FAIL"),"FAIL")</f>
        <v>PASS</v>
      </c>
      <c r="J230" s="47" t="str">
        <f aca="false">IF(ISNUMBER(F230),IF(ROUND(F230,2)=ROUND(E230,2),"same","differs"),"n/a")</f>
        <v>same</v>
      </c>
    </row>
    <row r="231" customFormat="false" ht="15" hidden="false" customHeight="false" outlineLevel="0" collapsed="false">
      <c r="B231" s="42" t="n">
        <v>224</v>
      </c>
      <c r="C231" s="8" t="s">
        <v>418</v>
      </c>
      <c r="D231" s="8" t="s">
        <v>642</v>
      </c>
      <c r="E231" s="43" t="n">
        <v>3.45</v>
      </c>
      <c r="F231" s="44" t="n">
        <f aca="false">'13_Week'!$C$29</f>
        <v>3.45076923076923</v>
      </c>
      <c r="G231" s="45" t="n">
        <f aca="false">IF(ISNUMBER(F231),F231-E231,"n/a")</f>
        <v>0.000769230769228635</v>
      </c>
      <c r="H231" s="46" t="n">
        <v>0.005000001</v>
      </c>
      <c r="I231" s="47" t="str">
        <f aca="false">IF(ISNUMBER(F231),IF(ABS(F231-E231)&lt;=H231,"PASS","FAIL"),"FAIL")</f>
        <v>PASS</v>
      </c>
      <c r="J231" s="47" t="str">
        <f aca="false">IF(ISNUMBER(F231),IF(ROUND(F231,2)=ROUND(E231,2),"same","differs"),"n/a")</f>
        <v>same</v>
      </c>
    </row>
    <row r="232" customFormat="false" ht="15" hidden="false" customHeight="false" outlineLevel="0" collapsed="false">
      <c r="B232" s="42" t="n">
        <v>225</v>
      </c>
      <c r="C232" s="8" t="s">
        <v>418</v>
      </c>
      <c r="D232" s="8" t="s">
        <v>643</v>
      </c>
      <c r="E232" s="43" t="n">
        <v>-0.95</v>
      </c>
      <c r="F232" s="44" t="n">
        <f aca="false">'13_Week'!$D$29</f>
        <v>-0.949230769230773</v>
      </c>
      <c r="G232" s="45" t="n">
        <f aca="false">IF(ISNUMBER(F232),F232-E232,"n/a")</f>
        <v>0.000769230769226637</v>
      </c>
      <c r="H232" s="46" t="n">
        <v>0.005000001</v>
      </c>
      <c r="I232" s="47" t="str">
        <f aca="false">IF(ISNUMBER(F232),IF(ABS(F232-E232)&lt;=H232,"PASS","FAIL"),"FAIL")</f>
        <v>PASS</v>
      </c>
      <c r="J232" s="47" t="str">
        <f aca="false">IF(ISNUMBER(F232),IF(ROUND(F232,2)=ROUND(E232,2),"same","differs"),"n/a")</f>
        <v>same</v>
      </c>
    </row>
    <row r="233" customFormat="false" ht="15" hidden="false" customHeight="false" outlineLevel="0" collapsed="false">
      <c r="B233" s="42" t="n">
        <v>226</v>
      </c>
      <c r="C233" s="8" t="s">
        <v>418</v>
      </c>
      <c r="D233" s="8" t="s">
        <v>644</v>
      </c>
      <c r="E233" s="43" t="n">
        <v>5.8</v>
      </c>
      <c r="F233" s="44" t="n">
        <f aca="false">'13_Week'!$E$29</f>
        <v>5.80076923076923</v>
      </c>
      <c r="G233" s="45" t="n">
        <f aca="false">IF(ISNUMBER(F233),F233-E233,"n/a")</f>
        <v>0.000769230769229523</v>
      </c>
      <c r="H233" s="46" t="n">
        <v>0.005000001</v>
      </c>
      <c r="I233" s="47" t="str">
        <f aca="false">IF(ISNUMBER(F233),IF(ABS(F233-E233)&lt;=H233,"PASS","FAIL"),"FAIL")</f>
        <v>PASS</v>
      </c>
      <c r="J233" s="47" t="str">
        <f aca="false">IF(ISNUMBER(F233),IF(ROUND(F233,2)=ROUND(E233,2),"same","differs"),"n/a")</f>
        <v>same</v>
      </c>
    </row>
    <row r="234" customFormat="false" ht="15" hidden="false" customHeight="false" outlineLevel="0" collapsed="false">
      <c r="B234" s="42" t="n">
        <v>227</v>
      </c>
      <c r="C234" s="8" t="s">
        <v>418</v>
      </c>
      <c r="D234" s="8" t="s">
        <v>645</v>
      </c>
      <c r="E234" s="43" t="n">
        <v>-1.77</v>
      </c>
      <c r="F234" s="44" t="n">
        <f aca="false">'13_Week'!$F$29</f>
        <v>-1.76589743589744</v>
      </c>
      <c r="G234" s="45" t="n">
        <f aca="false">IF(ISNUMBER(F234),F234-E234,"n/a")</f>
        <v>0.00410256410256005</v>
      </c>
      <c r="H234" s="46" t="n">
        <v>0.005000001</v>
      </c>
      <c r="I234" s="47" t="str">
        <f aca="false">IF(ISNUMBER(F234),IF(ABS(F234-E234)&lt;=H234,"PASS","FAIL"),"FAIL")</f>
        <v>PASS</v>
      </c>
      <c r="J234" s="47" t="str">
        <f aca="false">IF(ISNUMBER(F234),IF(ROUND(F234,2)=ROUND(E234,2),"same","differs"),"n/a")</f>
        <v>same</v>
      </c>
    </row>
    <row r="235" customFormat="false" ht="15" hidden="false" customHeight="false" outlineLevel="0" collapsed="false">
      <c r="B235" s="42" t="n">
        <v>228</v>
      </c>
      <c r="C235" s="8" t="s">
        <v>418</v>
      </c>
      <c r="D235" s="8" t="s">
        <v>646</v>
      </c>
      <c r="E235" s="43" t="n">
        <v>1.2</v>
      </c>
      <c r="F235" s="44" t="n">
        <f aca="false">'13_Week'!$G$29</f>
        <v>1.20076923076923</v>
      </c>
      <c r="G235" s="45" t="n">
        <f aca="false">IF(ISNUMBER(F235),F235-E235,"n/a")</f>
        <v>0.000769230769228191</v>
      </c>
      <c r="H235" s="46" t="n">
        <v>0.005000001</v>
      </c>
      <c r="I235" s="47" t="str">
        <f aca="false">IF(ISNUMBER(F235),IF(ABS(F235-E235)&lt;=H235,"PASS","FAIL"),"FAIL")</f>
        <v>PASS</v>
      </c>
      <c r="J235" s="47" t="str">
        <f aca="false">IF(ISNUMBER(F235),IF(ROUND(F235,2)=ROUND(E235,2),"same","differs"),"n/a")</f>
        <v>same</v>
      </c>
    </row>
    <row r="236" customFormat="false" ht="15" hidden="false" customHeight="false" outlineLevel="0" collapsed="false">
      <c r="B236" s="42" t="n">
        <v>229</v>
      </c>
      <c r="C236" s="8" t="s">
        <v>418</v>
      </c>
      <c r="D236" s="8" t="s">
        <v>647</v>
      </c>
      <c r="E236" s="43" t="n">
        <v>-24.12</v>
      </c>
      <c r="F236" s="44" t="n">
        <f aca="false">'13_Week'!$H$29</f>
        <v>-24.1242307692308</v>
      </c>
      <c r="G236" s="45" t="n">
        <f aca="false">IF(ISNUMBER(F236),F236-E236,"n/a")</f>
        <v>-0.00423076923076948</v>
      </c>
      <c r="H236" s="46" t="n">
        <v>0.005000001</v>
      </c>
      <c r="I236" s="47" t="str">
        <f aca="false">IF(ISNUMBER(F236),IF(ABS(F236-E236)&lt;=H236,"PASS","FAIL"),"FAIL")</f>
        <v>PASS</v>
      </c>
      <c r="J236" s="47" t="str">
        <f aca="false">IF(ISNUMBER(F236),IF(ROUND(F236,2)=ROUND(E236,2),"same","differs"),"n/a")</f>
        <v>same</v>
      </c>
    </row>
    <row r="237" customFormat="false" ht="15" hidden="false" customHeight="false" outlineLevel="0" collapsed="false">
      <c r="B237" s="42" t="n">
        <v>230</v>
      </c>
      <c r="C237" s="8" t="s">
        <v>418</v>
      </c>
      <c r="D237" s="8" t="s">
        <v>648</v>
      </c>
      <c r="E237" s="43" t="n">
        <v>2.5</v>
      </c>
      <c r="F237" s="44" t="n">
        <f aca="false">'13_Week'!$I$29</f>
        <v>2.50076923076923</v>
      </c>
      <c r="G237" s="45" t="n">
        <f aca="false">IF(ISNUMBER(F237),F237-E237,"n/a")</f>
        <v>0.000769230769228635</v>
      </c>
      <c r="H237" s="46" t="n">
        <v>0.005000001</v>
      </c>
      <c r="I237" s="47" t="str">
        <f aca="false">IF(ISNUMBER(F237),IF(ABS(F237-E237)&lt;=H237,"PASS","FAIL"),"FAIL")</f>
        <v>PASS</v>
      </c>
      <c r="J237" s="47" t="str">
        <f aca="false">IF(ISNUMBER(F237),IF(ROUND(F237,2)=ROUND(E237,2),"same","differs"),"n/a")</f>
        <v>same</v>
      </c>
    </row>
    <row r="238" customFormat="false" ht="15" hidden="false" customHeight="false" outlineLevel="0" collapsed="false">
      <c r="B238" s="42" t="n">
        <v>231</v>
      </c>
      <c r="C238" s="8" t="s">
        <v>418</v>
      </c>
      <c r="D238" s="8" t="s">
        <v>649</v>
      </c>
      <c r="E238" s="43" t="n">
        <v>-3.57</v>
      </c>
      <c r="F238" s="44" t="n">
        <f aca="false">'13_Week'!$J$29</f>
        <v>-3.56589743589744</v>
      </c>
      <c r="G238" s="45" t="n">
        <f aca="false">IF(ISNUMBER(F238),F238-E238,"n/a")</f>
        <v>0.00410256410255894</v>
      </c>
      <c r="H238" s="46" t="n">
        <v>0.005000001</v>
      </c>
      <c r="I238" s="47" t="str">
        <f aca="false">IF(ISNUMBER(F238),IF(ABS(F238-E238)&lt;=H238,"PASS","FAIL"),"FAIL")</f>
        <v>PASS</v>
      </c>
      <c r="J238" s="47" t="str">
        <f aca="false">IF(ISNUMBER(F238),IF(ROUND(F238,2)=ROUND(E238,2),"same","differs"),"n/a")</f>
        <v>same</v>
      </c>
    </row>
    <row r="239" customFormat="false" ht="15" hidden="false" customHeight="false" outlineLevel="0" collapsed="false">
      <c r="B239" s="42" t="n">
        <v>232</v>
      </c>
      <c r="C239" s="8" t="s">
        <v>418</v>
      </c>
      <c r="D239" s="8" t="s">
        <v>650</v>
      </c>
      <c r="E239" s="43" t="n">
        <v>3</v>
      </c>
      <c r="F239" s="44" t="n">
        <f aca="false">'13_Week'!$K$29</f>
        <v>3.00076923076923</v>
      </c>
      <c r="G239" s="45" t="n">
        <f aca="false">IF(ISNUMBER(F239),F239-E239,"n/a")</f>
        <v>0.000769230769228635</v>
      </c>
      <c r="H239" s="46" t="n">
        <v>0.005000001</v>
      </c>
      <c r="I239" s="47" t="str">
        <f aca="false">IF(ISNUMBER(F239),IF(ABS(F239-E239)&lt;=H239,"PASS","FAIL"),"FAIL")</f>
        <v>PASS</v>
      </c>
      <c r="J239" s="47" t="str">
        <f aca="false">IF(ISNUMBER(F239),IF(ROUND(F239,2)=ROUND(E239,2),"same","differs"),"n/a")</f>
        <v>same</v>
      </c>
    </row>
    <row r="240" customFormat="false" ht="15" hidden="false" customHeight="false" outlineLevel="0" collapsed="false">
      <c r="B240" s="42" t="n">
        <v>233</v>
      </c>
      <c r="C240" s="8" t="s">
        <v>418</v>
      </c>
      <c r="D240" s="8" t="s">
        <v>651</v>
      </c>
      <c r="E240" s="43" t="n">
        <v>-0.2</v>
      </c>
      <c r="F240" s="44" t="n">
        <f aca="false">'13_Week'!$L$29</f>
        <v>-0.199230769230774</v>
      </c>
      <c r="G240" s="45" t="n">
        <f aca="false">IF(ISNUMBER(F240),F240-E240,"n/a")</f>
        <v>0.00076923076922597</v>
      </c>
      <c r="H240" s="46" t="n">
        <v>0.005000001</v>
      </c>
      <c r="I240" s="47" t="str">
        <f aca="false">IF(ISNUMBER(F240),IF(ABS(F240-E240)&lt;=H240,"PASS","FAIL"),"FAIL")</f>
        <v>PASS</v>
      </c>
      <c r="J240" s="47" t="str">
        <f aca="false">IF(ISNUMBER(F240),IF(ROUND(F240,2)=ROUND(E240,2),"same","differs"),"n/a")</f>
        <v>same</v>
      </c>
    </row>
    <row r="241" customFormat="false" ht="15" hidden="false" customHeight="false" outlineLevel="0" collapsed="false">
      <c r="B241" s="42" t="n">
        <v>234</v>
      </c>
      <c r="C241" s="8" t="s">
        <v>418</v>
      </c>
      <c r="D241" s="8" t="s">
        <v>652</v>
      </c>
      <c r="E241" s="43" t="n">
        <v>-8.7</v>
      </c>
      <c r="F241" s="44" t="n">
        <f aca="false">'13_Week'!$M$29</f>
        <v>-8.69923076923077</v>
      </c>
      <c r="G241" s="45" t="n">
        <f aca="false">IF(ISNUMBER(F241),F241-E241,"n/a")</f>
        <v>0.000769230769229523</v>
      </c>
      <c r="H241" s="46" t="n">
        <v>0.005000001</v>
      </c>
      <c r="I241" s="47" t="str">
        <f aca="false">IF(ISNUMBER(F241),IF(ABS(F241-E241)&lt;=H241,"PASS","FAIL"),"FAIL")</f>
        <v>PASS</v>
      </c>
      <c r="J241" s="47" t="str">
        <f aca="false">IF(ISNUMBER(F241),IF(ROUND(F241,2)=ROUND(E241,2),"same","differs"),"n/a")</f>
        <v>same</v>
      </c>
    </row>
    <row r="242" customFormat="false" ht="15" hidden="false" customHeight="false" outlineLevel="0" collapsed="false">
      <c r="B242" s="42" t="n">
        <v>235</v>
      </c>
      <c r="C242" s="8" t="s">
        <v>418</v>
      </c>
      <c r="D242" s="8" t="s">
        <v>653</v>
      </c>
      <c r="E242" s="43" t="n">
        <v>-1.77</v>
      </c>
      <c r="F242" s="44" t="n">
        <f aca="false">'13_Week'!$N$29</f>
        <v>-1.76589743589744</v>
      </c>
      <c r="G242" s="45" t="n">
        <f aca="false">IF(ISNUMBER(F242),F242-E242,"n/a")</f>
        <v>0.00410256410256005</v>
      </c>
      <c r="H242" s="46" t="n">
        <v>0.005000001</v>
      </c>
      <c r="I242" s="47" t="str">
        <f aca="false">IF(ISNUMBER(F242),IF(ABS(F242-E242)&lt;=H242,"PASS","FAIL"),"FAIL")</f>
        <v>PASS</v>
      </c>
      <c r="J242" s="47" t="str">
        <f aca="false">IF(ISNUMBER(F242),IF(ROUND(F242,2)=ROUND(E242,2),"same","differs"),"n/a")</f>
        <v>same</v>
      </c>
    </row>
    <row r="243" customFormat="false" ht="15" hidden="false" customHeight="false" outlineLevel="0" collapsed="false">
      <c r="B243" s="42" t="n">
        <v>236</v>
      </c>
      <c r="C243" s="8" t="s">
        <v>418</v>
      </c>
      <c r="D243" s="8" t="s">
        <v>654</v>
      </c>
      <c r="E243" s="43" t="n">
        <v>0</v>
      </c>
      <c r="F243" s="44" t="n">
        <f aca="false">'13_Week'!$O$29</f>
        <v>0.000769230769228801</v>
      </c>
      <c r="G243" s="45" t="n">
        <f aca="false">IF(ISNUMBER(F243),F243-E243,"n/a")</f>
        <v>0.000769230769228801</v>
      </c>
      <c r="H243" s="46" t="n">
        <v>0.005000001</v>
      </c>
      <c r="I243" s="47" t="str">
        <f aca="false">IF(ISNUMBER(F243),IF(ABS(F243-E243)&lt;=H243,"PASS","FAIL"),"FAIL")</f>
        <v>PASS</v>
      </c>
      <c r="J243" s="47" t="str">
        <f aca="false">IF(ISNUMBER(F243),IF(ROUND(F243,2)=ROUND(E243,2),"same","differs"),"n/a")</f>
        <v>same</v>
      </c>
    </row>
    <row r="244" customFormat="false" ht="15" hidden="false" customHeight="false" outlineLevel="0" collapsed="false">
      <c r="B244" s="42" t="n">
        <v>237</v>
      </c>
      <c r="C244" s="8" t="s">
        <v>418</v>
      </c>
      <c r="D244" s="8" t="s">
        <v>655</v>
      </c>
      <c r="E244" s="43" t="n">
        <v>48.45</v>
      </c>
      <c r="F244" s="44" t="n">
        <f aca="false">'13_Week'!$C$31</f>
        <v>48.4507692307692</v>
      </c>
      <c r="G244" s="45" t="n">
        <f aca="false">IF(ISNUMBER(F244),F244-E244,"n/a")</f>
        <v>0.000769230769222418</v>
      </c>
      <c r="H244" s="46" t="n">
        <v>0.005000001</v>
      </c>
      <c r="I244" s="47" t="str">
        <f aca="false">IF(ISNUMBER(F244),IF(ABS(F244-E244)&lt;=H244,"PASS","FAIL"),"FAIL")</f>
        <v>PASS</v>
      </c>
      <c r="J244" s="47" t="str">
        <f aca="false">IF(ISNUMBER(F244),IF(ROUND(F244,2)=ROUND(E244,2),"same","differs"),"n/a")</f>
        <v>same</v>
      </c>
    </row>
    <row r="245" customFormat="false" ht="15" hidden="false" customHeight="false" outlineLevel="0" collapsed="false">
      <c r="B245" s="42" t="n">
        <v>238</v>
      </c>
      <c r="C245" s="8" t="s">
        <v>418</v>
      </c>
      <c r="D245" s="8" t="s">
        <v>656</v>
      </c>
      <c r="E245" s="43" t="n">
        <v>47.5</v>
      </c>
      <c r="F245" s="44" t="n">
        <f aca="false">'13_Week'!$D$31</f>
        <v>47.5015384615385</v>
      </c>
      <c r="G245" s="45" t="n">
        <f aca="false">IF(ISNUMBER(F245),F245-E245,"n/a")</f>
        <v>0.00153846153845194</v>
      </c>
      <c r="H245" s="46" t="n">
        <v>0.005000001</v>
      </c>
      <c r="I245" s="47" t="str">
        <f aca="false">IF(ISNUMBER(F245),IF(ABS(F245-E245)&lt;=H245,"PASS","FAIL"),"FAIL")</f>
        <v>PASS</v>
      </c>
      <c r="J245" s="47" t="str">
        <f aca="false">IF(ISNUMBER(F245),IF(ROUND(F245,2)=ROUND(E245,2),"same","differs"),"n/a")</f>
        <v>same</v>
      </c>
    </row>
    <row r="246" customFormat="false" ht="15" hidden="false" customHeight="false" outlineLevel="0" collapsed="false">
      <c r="B246" s="42" t="n">
        <v>239</v>
      </c>
      <c r="C246" s="8" t="s">
        <v>418</v>
      </c>
      <c r="D246" s="8" t="s">
        <v>657</v>
      </c>
      <c r="E246" s="43" t="n">
        <v>53.3</v>
      </c>
      <c r="F246" s="44" t="n">
        <f aca="false">'13_Week'!$E$31</f>
        <v>53.3023076923077</v>
      </c>
      <c r="G246" s="45" t="n">
        <f aca="false">IF(ISNUMBER(F246),F246-E246,"n/a")</f>
        <v>0.00230769230768146</v>
      </c>
      <c r="H246" s="46" t="n">
        <v>0.005000001</v>
      </c>
      <c r="I246" s="47" t="str">
        <f aca="false">IF(ISNUMBER(F246),IF(ABS(F246-E246)&lt;=H246,"PASS","FAIL"),"FAIL")</f>
        <v>PASS</v>
      </c>
      <c r="J246" s="47" t="str">
        <f aca="false">IF(ISNUMBER(F246),IF(ROUND(F246,2)=ROUND(E246,2),"same","differs"),"n/a")</f>
        <v>same</v>
      </c>
    </row>
    <row r="247" customFormat="false" ht="15" hidden="false" customHeight="false" outlineLevel="0" collapsed="false">
      <c r="B247" s="42" t="n">
        <v>240</v>
      </c>
      <c r="C247" s="8" t="s">
        <v>418</v>
      </c>
      <c r="D247" s="8" t="s">
        <v>658</v>
      </c>
      <c r="E247" s="43" t="n">
        <v>51.54</v>
      </c>
      <c r="F247" s="44" t="n">
        <f aca="false">'13_Week'!$F$31</f>
        <v>51.5364102564102</v>
      </c>
      <c r="G247" s="45" t="n">
        <f aca="false">IF(ISNUMBER(F247),F247-E247,"n/a")</f>
        <v>-0.00358974358976383</v>
      </c>
      <c r="H247" s="46" t="n">
        <v>0.005000001</v>
      </c>
      <c r="I247" s="47" t="str">
        <f aca="false">IF(ISNUMBER(F247),IF(ABS(F247-E247)&lt;=H247,"PASS","FAIL"),"FAIL")</f>
        <v>PASS</v>
      </c>
      <c r="J247" s="47" t="str">
        <f aca="false">IF(ISNUMBER(F247),IF(ROUND(F247,2)=ROUND(E247,2),"same","differs"),"n/a")</f>
        <v>same</v>
      </c>
    </row>
    <row r="248" customFormat="false" ht="15" hidden="false" customHeight="false" outlineLevel="0" collapsed="false">
      <c r="B248" s="42" t="n">
        <v>241</v>
      </c>
      <c r="C248" s="8" t="s">
        <v>418</v>
      </c>
      <c r="D248" s="8" t="s">
        <v>659</v>
      </c>
      <c r="E248" s="43" t="n">
        <v>52.74</v>
      </c>
      <c r="F248" s="44" t="n">
        <f aca="false">'13_Week'!$G$31</f>
        <v>52.7371794871795</v>
      </c>
      <c r="G248" s="45" t="n">
        <f aca="false">IF(ISNUMBER(F248),F248-E248,"n/a")</f>
        <v>-0.00282051282054141</v>
      </c>
      <c r="H248" s="46" t="n">
        <v>0.005000001</v>
      </c>
      <c r="I248" s="47" t="str">
        <f aca="false">IF(ISNUMBER(F248),IF(ABS(F248-E248)&lt;=H248,"PASS","FAIL"),"FAIL")</f>
        <v>PASS</v>
      </c>
      <c r="J248" s="47" t="str">
        <f aca="false">IF(ISNUMBER(F248),IF(ROUND(F248,2)=ROUND(E248,2),"same","differs"),"n/a")</f>
        <v>same</v>
      </c>
    </row>
    <row r="249" customFormat="false" ht="15" hidden="false" customHeight="false" outlineLevel="0" collapsed="false">
      <c r="B249" s="42" t="n">
        <v>242</v>
      </c>
      <c r="C249" s="8" t="s">
        <v>418</v>
      </c>
      <c r="D249" s="8" t="s">
        <v>660</v>
      </c>
      <c r="E249" s="43" t="n">
        <v>28.61</v>
      </c>
      <c r="F249" s="44" t="n">
        <f aca="false">'13_Week'!$H$31</f>
        <v>28.6129487179487</v>
      </c>
      <c r="G249" s="45" t="n">
        <f aca="false">IF(ISNUMBER(F249),F249-E249,"n/a")</f>
        <v>0.00294871794869067</v>
      </c>
      <c r="H249" s="46" t="n">
        <v>0.005000001</v>
      </c>
      <c r="I249" s="47" t="str">
        <f aca="false">IF(ISNUMBER(F249),IF(ABS(F249-E249)&lt;=H249,"PASS","FAIL"),"FAIL")</f>
        <v>PASS</v>
      </c>
      <c r="J249" s="47" t="str">
        <f aca="false">IF(ISNUMBER(F249),IF(ROUND(F249,2)=ROUND(E249,2),"same","differs"),"n/a")</f>
        <v>same</v>
      </c>
    </row>
    <row r="250" customFormat="false" ht="15" hidden="false" customHeight="false" outlineLevel="0" collapsed="false">
      <c r="B250" s="42" t="n">
        <v>243</v>
      </c>
      <c r="C250" s="8" t="s">
        <v>418</v>
      </c>
      <c r="D250" s="8" t="s">
        <v>661</v>
      </c>
      <c r="E250" s="43" t="n">
        <v>31.11</v>
      </c>
      <c r="F250" s="44" t="n">
        <f aca="false">'13_Week'!$I$31</f>
        <v>31.1137179487179</v>
      </c>
      <c r="G250" s="45" t="n">
        <f aca="false">IF(ISNUMBER(F250),F250-E250,"n/a")</f>
        <v>0.00371794871792019</v>
      </c>
      <c r="H250" s="46" t="n">
        <v>0.005000001</v>
      </c>
      <c r="I250" s="47" t="str">
        <f aca="false">IF(ISNUMBER(F250),IF(ABS(F250-E250)&lt;=H250,"PASS","FAIL"),"FAIL")</f>
        <v>PASS</v>
      </c>
      <c r="J250" s="47" t="str">
        <f aca="false">IF(ISNUMBER(F250),IF(ROUND(F250,2)=ROUND(E250,2),"same","differs"),"n/a")</f>
        <v>same</v>
      </c>
    </row>
    <row r="251" customFormat="false" ht="15" hidden="false" customHeight="false" outlineLevel="0" collapsed="false">
      <c r="B251" s="42" t="n">
        <v>244</v>
      </c>
      <c r="C251" s="8" t="s">
        <v>418</v>
      </c>
      <c r="D251" s="8" t="s">
        <v>662</v>
      </c>
      <c r="E251" s="43" t="n">
        <v>27.55</v>
      </c>
      <c r="F251" s="44" t="n">
        <f aca="false">'13_Week'!$J$31</f>
        <v>27.5478205128205</v>
      </c>
      <c r="G251" s="45" t="n">
        <f aca="false">IF(ISNUMBER(F251),F251-E251,"n/a")</f>
        <v>-0.00217948717952154</v>
      </c>
      <c r="H251" s="46" t="n">
        <v>0.005000001</v>
      </c>
      <c r="I251" s="47" t="str">
        <f aca="false">IF(ISNUMBER(F251),IF(ABS(F251-E251)&lt;=H251,"PASS","FAIL"),"FAIL")</f>
        <v>PASS</v>
      </c>
      <c r="J251" s="47" t="str">
        <f aca="false">IF(ISNUMBER(F251),IF(ROUND(F251,2)=ROUND(E251,2),"same","differs"),"n/a")</f>
        <v>same</v>
      </c>
    </row>
    <row r="252" customFormat="false" ht="15" hidden="false" customHeight="false" outlineLevel="0" collapsed="false">
      <c r="B252" s="42" t="n">
        <v>245</v>
      </c>
      <c r="C252" s="8" t="s">
        <v>418</v>
      </c>
      <c r="D252" s="8" t="s">
        <v>663</v>
      </c>
      <c r="E252" s="43" t="n">
        <v>30.55</v>
      </c>
      <c r="F252" s="44" t="n">
        <f aca="false">'13_Week'!$K$31</f>
        <v>30.5485897435897</v>
      </c>
      <c r="G252" s="45" t="n">
        <f aca="false">IF(ISNUMBER(F252),F252-E252,"n/a")</f>
        <v>-0.00141025641029202</v>
      </c>
      <c r="H252" s="46" t="n">
        <v>0.005000001</v>
      </c>
      <c r="I252" s="47" t="str">
        <f aca="false">IF(ISNUMBER(F252),IF(ABS(F252-E252)&lt;=H252,"PASS","FAIL"),"FAIL")</f>
        <v>PASS</v>
      </c>
      <c r="J252" s="47" t="str">
        <f aca="false">IF(ISNUMBER(F252),IF(ROUND(F252,2)=ROUND(E252,2),"same","differs"),"n/a")</f>
        <v>same</v>
      </c>
    </row>
    <row r="253" customFormat="false" ht="15" hidden="false" customHeight="false" outlineLevel="0" collapsed="false">
      <c r="B253" s="42" t="n">
        <v>246</v>
      </c>
      <c r="C253" s="8" t="s">
        <v>418</v>
      </c>
      <c r="D253" s="8" t="s">
        <v>664</v>
      </c>
      <c r="E253" s="43" t="n">
        <v>30.35</v>
      </c>
      <c r="F253" s="44" t="n">
        <f aca="false">'13_Week'!$L$31</f>
        <v>30.3493589743589</v>
      </c>
      <c r="G253" s="45" t="n">
        <f aca="false">IF(ISNUMBER(F253),F253-E253,"n/a")</f>
        <v>-0.000641025641066051</v>
      </c>
      <c r="H253" s="46" t="n">
        <v>0.005000001</v>
      </c>
      <c r="I253" s="47" t="str">
        <f aca="false">IF(ISNUMBER(F253),IF(ABS(F253-E253)&lt;=H253,"PASS","FAIL"),"FAIL")</f>
        <v>PASS</v>
      </c>
      <c r="J253" s="47" t="str">
        <f aca="false">IF(ISNUMBER(F253),IF(ROUND(F253,2)=ROUND(E253,2),"same","differs"),"n/a")</f>
        <v>same</v>
      </c>
    </row>
    <row r="254" customFormat="false" ht="15" hidden="false" customHeight="false" outlineLevel="0" collapsed="false">
      <c r="B254" s="42" t="n">
        <v>247</v>
      </c>
      <c r="C254" s="8" t="s">
        <v>418</v>
      </c>
      <c r="D254" s="8" t="s">
        <v>665</v>
      </c>
      <c r="E254" s="43" t="n">
        <v>21.65</v>
      </c>
      <c r="F254" s="44" t="n">
        <f aca="false">'13_Week'!$M$31</f>
        <v>21.6501282051282</v>
      </c>
      <c r="G254" s="45" t="n">
        <f aca="false">IF(ISNUMBER(F254),F254-E254,"n/a")</f>
        <v>0.000128205128167025</v>
      </c>
      <c r="H254" s="46" t="n">
        <v>0.005000001</v>
      </c>
      <c r="I254" s="47" t="str">
        <f aca="false">IF(ISNUMBER(F254),IF(ABS(F254-E254)&lt;=H254,"PASS","FAIL"),"FAIL")</f>
        <v>PASS</v>
      </c>
      <c r="J254" s="47" t="str">
        <f aca="false">IF(ISNUMBER(F254),IF(ROUND(F254,2)=ROUND(E254,2),"same","differs"),"n/a")</f>
        <v>same</v>
      </c>
    </row>
    <row r="255" customFormat="false" ht="15" hidden="false" customHeight="false" outlineLevel="0" collapsed="false">
      <c r="B255" s="42" t="n">
        <v>248</v>
      </c>
      <c r="C255" s="8" t="s">
        <v>418</v>
      </c>
      <c r="D255" s="8" t="s">
        <v>666</v>
      </c>
      <c r="E255" s="43" t="n">
        <v>19.88</v>
      </c>
      <c r="F255" s="44" t="n">
        <f aca="false">'13_Week'!$N$31</f>
        <v>19.8842307692307</v>
      </c>
      <c r="G255" s="45" t="n">
        <f aca="false">IF(ISNUMBER(F255),F255-E255,"n/a")</f>
        <v>0.00423076923072685</v>
      </c>
      <c r="H255" s="46" t="n">
        <v>0.005000001</v>
      </c>
      <c r="I255" s="47" t="str">
        <f aca="false">IF(ISNUMBER(F255),IF(ABS(F255-E255)&lt;=H255,"PASS","FAIL"),"FAIL")</f>
        <v>PASS</v>
      </c>
      <c r="J255" s="47" t="str">
        <f aca="false">IF(ISNUMBER(F255),IF(ROUND(F255,2)=ROUND(E255,2),"same","differs"),"n/a")</f>
        <v>same</v>
      </c>
    </row>
    <row r="256" customFormat="false" ht="15" hidden="false" customHeight="false" outlineLevel="0" collapsed="false">
      <c r="B256" s="42" t="n">
        <v>249</v>
      </c>
      <c r="C256" s="8" t="s">
        <v>418</v>
      </c>
      <c r="D256" s="8" t="s">
        <v>205</v>
      </c>
      <c r="E256" s="43" t="n">
        <v>19.89</v>
      </c>
      <c r="F256" s="44" t="n">
        <f aca="false">'13_Week'!$O$31</f>
        <v>19.885</v>
      </c>
      <c r="G256" s="45" t="n">
        <f aca="false">IF(ISNUMBER(F256),F256-E256,"n/a")</f>
        <v>-0.00500000000004519</v>
      </c>
      <c r="H256" s="46" t="n">
        <v>0.005000001</v>
      </c>
      <c r="I256" s="47" t="str">
        <f aca="false">IF(ISNUMBER(F256),IF(ABS(F256-E256)&lt;=H256,"PASS","FAIL"),"FAIL")</f>
        <v>PASS</v>
      </c>
      <c r="J256" s="47" t="str">
        <f aca="false">IF(ISNUMBER(F256),IF(ROUND(F256,2)=ROUND(E256,2),"same","differs"),"n/a")</f>
        <v>same</v>
      </c>
    </row>
    <row r="257" customFormat="false" ht="15" hidden="false" customHeight="false" outlineLevel="0" collapsed="false">
      <c r="B257" s="42" t="n">
        <v>250</v>
      </c>
      <c r="C257" s="8" t="s">
        <v>418</v>
      </c>
      <c r="D257" s="8" t="s">
        <v>200</v>
      </c>
      <c r="E257" s="48" t="n">
        <v>45</v>
      </c>
      <c r="F257" s="49" t="n">
        <f aca="false">'13_Week'!$C$38</f>
        <v>45</v>
      </c>
      <c r="G257" s="45" t="n">
        <f aca="false">IF(ISNUMBER(F257),F257-E257,"n/a")</f>
        <v>0</v>
      </c>
      <c r="H257" s="46" t="n">
        <v>0.050000001</v>
      </c>
      <c r="I257" s="47" t="str">
        <f aca="false">IF(ISNUMBER(F257),IF(ABS(F257-E257)&lt;=H257,"PASS","FAIL"),"FAIL")</f>
        <v>PASS</v>
      </c>
      <c r="J257" s="47" t="str">
        <f aca="false">IF(ISNUMBER(F257),IF(ROUND(F257,1)=ROUND(E257,1),"same","differs"),"n/a")</f>
        <v>same</v>
      </c>
    </row>
    <row r="258" customFormat="false" ht="15" hidden="false" customHeight="false" outlineLevel="0" collapsed="false">
      <c r="B258" s="42" t="n">
        <v>251</v>
      </c>
      <c r="C258" s="8" t="s">
        <v>418</v>
      </c>
      <c r="D258" s="8" t="s">
        <v>171</v>
      </c>
      <c r="E258" s="43" t="n">
        <v>256.6</v>
      </c>
      <c r="F258" s="44" t="n">
        <f aca="false">'13_Week'!$C$39</f>
        <v>256.6</v>
      </c>
      <c r="G258" s="45" t="n">
        <f aca="false">IF(ISNUMBER(F258),F258-E258,"n/a")</f>
        <v>0</v>
      </c>
      <c r="H258" s="46" t="n">
        <v>0.005000001</v>
      </c>
      <c r="I258" s="47" t="str">
        <f aca="false">IF(ISNUMBER(F258),IF(ABS(F258-E258)&lt;=H258,"PASS","FAIL"),"FAIL")</f>
        <v>PASS</v>
      </c>
      <c r="J258" s="47" t="str">
        <f aca="false">IF(ISNUMBER(F258),IF(ROUND(F258,2)=ROUND(E258,2),"same","differs"),"n/a")</f>
        <v>same</v>
      </c>
    </row>
    <row r="259" customFormat="false" ht="15" hidden="false" customHeight="false" outlineLevel="0" collapsed="false">
      <c r="B259" s="42" t="n">
        <v>252</v>
      </c>
      <c r="C259" s="8" t="s">
        <v>418</v>
      </c>
      <c r="D259" s="8" t="s">
        <v>202</v>
      </c>
      <c r="E259" s="43" t="n">
        <v>240.24</v>
      </c>
      <c r="F259" s="44" t="n">
        <f aca="false">'13_Week'!$C$40</f>
        <v>240.24</v>
      </c>
      <c r="G259" s="45" t="n">
        <f aca="false">IF(ISNUMBER(F259),F259-E259,"n/a")</f>
        <v>0</v>
      </c>
      <c r="H259" s="46" t="n">
        <v>0.005000001</v>
      </c>
      <c r="I259" s="47" t="str">
        <f aca="false">IF(ISNUMBER(F259),IF(ABS(F259-E259)&lt;=H259,"PASS","FAIL"),"FAIL")</f>
        <v>PASS</v>
      </c>
      <c r="J259" s="47" t="str">
        <f aca="false">IF(ISNUMBER(F259),IF(ROUND(F259,2)=ROUND(E259,2),"same","differs"),"n/a")</f>
        <v>same</v>
      </c>
    </row>
    <row r="260" customFormat="false" ht="15" hidden="false" customHeight="false" outlineLevel="0" collapsed="false">
      <c r="B260" s="42" t="n">
        <v>253</v>
      </c>
      <c r="C260" s="8" t="s">
        <v>418</v>
      </c>
      <c r="D260" s="8" t="s">
        <v>182</v>
      </c>
      <c r="E260" s="43" t="n">
        <v>16.36</v>
      </c>
      <c r="F260" s="44" t="n">
        <f aca="false">'13_Week'!$C$41</f>
        <v>16.36</v>
      </c>
      <c r="G260" s="45" t="n">
        <f aca="false">IF(ISNUMBER(F260),F260-E260,"n/a")</f>
        <v>0</v>
      </c>
      <c r="H260" s="46" t="n">
        <v>0.005000001</v>
      </c>
      <c r="I260" s="47" t="str">
        <f aca="false">IF(ISNUMBER(F260),IF(ABS(F260-E260)&lt;=H260,"PASS","FAIL"),"FAIL")</f>
        <v>PASS</v>
      </c>
      <c r="J260" s="47" t="str">
        <f aca="false">IF(ISNUMBER(F260),IF(ROUND(F260,2)=ROUND(E260,2),"same","differs"),"n/a")</f>
        <v>same</v>
      </c>
    </row>
    <row r="261" customFormat="false" ht="15" hidden="false" customHeight="false" outlineLevel="0" collapsed="false">
      <c r="B261" s="42" t="n">
        <v>254</v>
      </c>
      <c r="C261" s="8" t="s">
        <v>418</v>
      </c>
      <c r="D261" s="8" t="s">
        <v>667</v>
      </c>
      <c r="E261" s="43" t="n">
        <v>4.95</v>
      </c>
      <c r="F261" s="44" t="n">
        <f aca="false">'13_Week'!$C$42</f>
        <v>4.95</v>
      </c>
      <c r="G261" s="45" t="n">
        <f aca="false">IF(ISNUMBER(F261),F261-E261,"n/a")</f>
        <v>0</v>
      </c>
      <c r="H261" s="46" t="n">
        <v>0.005000001</v>
      </c>
      <c r="I261" s="47" t="str">
        <f aca="false">IF(ISNUMBER(F261),IF(ABS(F261-E261)&lt;=H261,"PASS","FAIL"),"FAIL")</f>
        <v>PASS</v>
      </c>
      <c r="J261" s="47" t="str">
        <f aca="false">IF(ISNUMBER(F261),IF(ROUND(F261,2)=ROUND(E261,2),"same","differs"),"n/a")</f>
        <v>same</v>
      </c>
    </row>
    <row r="262" customFormat="false" ht="15" hidden="false" customHeight="false" outlineLevel="0" collapsed="false">
      <c r="B262" s="42" t="n">
        <v>255</v>
      </c>
      <c r="C262" s="8" t="s">
        <v>418</v>
      </c>
      <c r="D262" s="8" t="s">
        <v>185</v>
      </c>
      <c r="E262" s="50" t="n">
        <v>36.525</v>
      </c>
      <c r="F262" s="51" t="n">
        <f aca="false">'13_Week'!$C$43</f>
        <v>36.525</v>
      </c>
      <c r="G262" s="45" t="n">
        <f aca="false">IF(ISNUMBER(F262),F262-E262,"n/a")</f>
        <v>0</v>
      </c>
      <c r="H262" s="46" t="n">
        <v>0.000500001</v>
      </c>
      <c r="I262" s="47" t="str">
        <f aca="false">IF(ISNUMBER(F262),IF(ABS(F262-E262)&lt;=H262,"PASS","FAIL"),"FAIL")</f>
        <v>PASS</v>
      </c>
      <c r="J262" s="47" t="str">
        <f aca="false">IF(ISNUMBER(F262),IF(ROUND(F262,3)=ROUND(E262,3),"same","differs"),"n/a")</f>
        <v>same</v>
      </c>
    </row>
    <row r="263" customFormat="false" ht="15" hidden="false" customHeight="false" outlineLevel="0" collapsed="false">
      <c r="B263" s="42" t="n">
        <v>256</v>
      </c>
      <c r="C263" s="8" t="s">
        <v>418</v>
      </c>
      <c r="D263" s="8" t="s">
        <v>668</v>
      </c>
      <c r="E263" s="50" t="n">
        <v>18.675</v>
      </c>
      <c r="F263" s="51" t="n">
        <f aca="false">'13_Week'!$C$50</f>
        <v>18.675</v>
      </c>
      <c r="G263" s="45" t="n">
        <f aca="false">IF(ISNUMBER(F263),F263-E263,"n/a")</f>
        <v>0</v>
      </c>
      <c r="H263" s="46" t="n">
        <v>0.000500001</v>
      </c>
      <c r="I263" s="47" t="str">
        <f aca="false">IF(ISNUMBER(F263),IF(ABS(F263-E263)&lt;=H263,"PASS","FAIL"),"FAIL")</f>
        <v>PASS</v>
      </c>
      <c r="J263" s="47" t="str">
        <f aca="false">IF(ISNUMBER(F263),IF(ROUND(F263,3)=ROUND(E263,3),"same","differs"),"n/a")</f>
        <v>same</v>
      </c>
    </row>
    <row r="264" customFormat="false" ht="15" hidden="false" customHeight="false" outlineLevel="0" collapsed="false">
      <c r="B264" s="42" t="n">
        <v>257</v>
      </c>
      <c r="C264" s="8" t="s">
        <v>418</v>
      </c>
      <c r="D264" s="8" t="s">
        <v>669</v>
      </c>
      <c r="E264" s="50" t="n">
        <v>20.925</v>
      </c>
      <c r="F264" s="51" t="n">
        <f aca="false">'13_Week'!$C$52</f>
        <v>20.925</v>
      </c>
      <c r="G264" s="45" t="n">
        <f aca="false">IF(ISNUMBER(F264),F264-E264,"n/a")</f>
        <v>0</v>
      </c>
      <c r="H264" s="46" t="n">
        <v>0.000500001</v>
      </c>
      <c r="I264" s="47" t="str">
        <f aca="false">IF(ISNUMBER(F264),IF(ABS(F264-E264)&lt;=H264,"PASS","FAIL"),"FAIL")</f>
        <v>PASS</v>
      </c>
      <c r="J264" s="47" t="str">
        <f aca="false">IF(ISNUMBER(F264),IF(ROUND(F264,3)=ROUND(E264,3),"same","differs"),"n/a")</f>
        <v>same</v>
      </c>
    </row>
    <row r="265" customFormat="false" ht="15" hidden="false" customHeight="false" outlineLevel="0" collapsed="false">
      <c r="B265" s="42" t="n">
        <v>258</v>
      </c>
      <c r="C265" s="8" t="s">
        <v>418</v>
      </c>
      <c r="D265" s="8" t="s">
        <v>213</v>
      </c>
      <c r="E265" s="52" t="n">
        <v>0.3667</v>
      </c>
      <c r="F265" s="53" t="n">
        <f aca="false">'13_Week'!$C$51</f>
        <v>0.366666666666667</v>
      </c>
      <c r="G265" s="45" t="n">
        <f aca="false">IF(ISNUMBER(F265),F265-E265,"n/a")</f>
        <v>-3.33333333333852E-005</v>
      </c>
      <c r="H265" s="46" t="n">
        <v>5.0001E-005</v>
      </c>
      <c r="I265" s="47" t="str">
        <f aca="false">IF(ISNUMBER(F265),IF(ABS(F265-E265)&lt;=H265,"PASS","FAIL"),"FAIL")</f>
        <v>PASS</v>
      </c>
      <c r="J265" s="47" t="str">
        <f aca="false">IF(ISNUMBER(F265),IF(ROUND(F265,4)=ROUND(E265,4),"same","differs"),"n/a")</f>
        <v>same</v>
      </c>
    </row>
    <row r="266" customFormat="false" ht="15" hidden="false" customHeight="false" outlineLevel="0" collapsed="false">
      <c r="B266" s="42" t="n">
        <v>259</v>
      </c>
      <c r="C266" s="8" t="s">
        <v>418</v>
      </c>
      <c r="D266" s="8" t="s">
        <v>193</v>
      </c>
      <c r="E266" s="50" t="n">
        <v>-25.115</v>
      </c>
      <c r="F266" s="51" t="n">
        <f aca="false">'13_Week'!$C$44</f>
        <v>-25.115</v>
      </c>
      <c r="G266" s="45" t="n">
        <f aca="false">IF(ISNUMBER(F266),F266-E266,"n/a")</f>
        <v>0</v>
      </c>
      <c r="H266" s="46" t="n">
        <v>0.000500001</v>
      </c>
      <c r="I266" s="47" t="str">
        <f aca="false">IF(ISNUMBER(F266),IF(ABS(F266-E266)&lt;=H266,"PASS","FAIL"),"FAIL")</f>
        <v>PASS</v>
      </c>
      <c r="J266" s="47" t="str">
        <f aca="false">IF(ISNUMBER(F266),IF(ROUND(F266,3)=ROUND(E266,3),"same","differs"),"n/a")</f>
        <v>same</v>
      </c>
    </row>
    <row r="267" customFormat="false" ht="15" hidden="false" customHeight="false" outlineLevel="0" collapsed="false">
      <c r="B267" s="42" t="n">
        <v>260</v>
      </c>
      <c r="C267" s="8" t="s">
        <v>418</v>
      </c>
      <c r="D267" s="8" t="s">
        <v>670</v>
      </c>
      <c r="E267" s="43" t="n">
        <v>19.89</v>
      </c>
      <c r="F267" s="44" t="n">
        <f aca="false">'13_Week'!$C$45</f>
        <v>19.885</v>
      </c>
      <c r="G267" s="45" t="n">
        <f aca="false">IF(ISNUMBER(F267),F267-E267,"n/a")</f>
        <v>-0.00500000000004519</v>
      </c>
      <c r="H267" s="46" t="n">
        <v>0.005000001</v>
      </c>
      <c r="I267" s="47" t="str">
        <f aca="false">IF(ISNUMBER(F267),IF(ABS(F267-E267)&lt;=H267,"PASS","FAIL"),"FAIL")</f>
        <v>PASS</v>
      </c>
      <c r="J267" s="47" t="str">
        <f aca="false">IF(ISNUMBER(F267),IF(ROUND(F267,2)=ROUND(E267,2),"same","differs"),"n/a")</f>
        <v>same</v>
      </c>
    </row>
    <row r="268" customFormat="false" ht="15" hidden="false" customHeight="false" outlineLevel="0" collapsed="false">
      <c r="B268" s="42" t="n">
        <v>261</v>
      </c>
      <c r="C268" s="8" t="s">
        <v>418</v>
      </c>
      <c r="D268" s="8" t="s">
        <v>254</v>
      </c>
      <c r="E268" s="43" t="n">
        <v>19.88</v>
      </c>
      <c r="F268" s="44" t="n">
        <f aca="false">'13_Week'!$C$47</f>
        <v>19.8842307692307</v>
      </c>
      <c r="G268" s="45" t="n">
        <f aca="false">IF(ISNUMBER(F268),F268-E268,"n/a")</f>
        <v>0.00423076923072685</v>
      </c>
      <c r="H268" s="46" t="n">
        <v>0.005000001</v>
      </c>
      <c r="I268" s="47" t="str">
        <f aca="false">IF(ISNUMBER(F268),IF(ABS(F268-E268)&lt;=H268,"PASS","FAIL"),"FAIL")</f>
        <v>PASS</v>
      </c>
      <c r="J268" s="47" t="str">
        <f aca="false">IF(ISNUMBER(F268),IF(ROUND(F268,2)=ROUND(E268,2),"same","differs"),"n/a")</f>
        <v>same</v>
      </c>
    </row>
    <row r="269" customFormat="false" ht="15" hidden="false" customHeight="false" outlineLevel="0" collapsed="false">
      <c r="B269" s="42" t="n">
        <v>262</v>
      </c>
      <c r="C269" s="8" t="s">
        <v>418</v>
      </c>
      <c r="D269" s="8" t="s">
        <v>209</v>
      </c>
      <c r="E269" s="54" t="n">
        <v>12</v>
      </c>
      <c r="F269" s="55" t="n">
        <f aca="false">'13_Week'!$C$48</f>
        <v>12</v>
      </c>
      <c r="G269" s="45" t="n">
        <f aca="false">IF(ISNUMBER(F269),F269-E269,"n/a")</f>
        <v>0</v>
      </c>
      <c r="H269" s="46" t="n">
        <v>0.500000001</v>
      </c>
      <c r="I269" s="47" t="str">
        <f aca="false">IF(ISNUMBER(F269),IF(ABS(F269-E269)&lt;=H269,"PASS","FAIL"),"FAIL")</f>
        <v>PASS</v>
      </c>
      <c r="J269" s="47" t="str">
        <f aca="false">IF(ISNUMBER(F269),IF(ROUND(F269,0)=ROUND(E269,0),"same","differs"),"n/a")</f>
        <v>same</v>
      </c>
    </row>
    <row r="270" customFormat="false" ht="15" hidden="false" customHeight="false" outlineLevel="0" collapsed="false">
      <c r="B270" s="42" t="n">
        <v>263</v>
      </c>
      <c r="C270" s="8" t="s">
        <v>418</v>
      </c>
      <c r="D270" s="8" t="s">
        <v>671</v>
      </c>
      <c r="E270" s="54" t="n">
        <v>11</v>
      </c>
      <c r="F270" s="55" t="n">
        <f aca="false">'13_Week'!$C$49</f>
        <v>11</v>
      </c>
      <c r="G270" s="45" t="n">
        <f aca="false">IF(ISNUMBER(F270),F270-E270,"n/a")</f>
        <v>0</v>
      </c>
      <c r="H270" s="46" t="n">
        <v>0.500000001</v>
      </c>
      <c r="I270" s="47" t="str">
        <f aca="false">IF(ISNUMBER(F270),IF(ABS(F270-E270)&lt;=H270,"PASS","FAIL"),"FAIL")</f>
        <v>PASS</v>
      </c>
      <c r="J270" s="47" t="str">
        <f aca="false">IF(ISNUMBER(F270),IF(ROUND(F270,0)=ROUND(E270,0),"same","differs"),"n/a")</f>
        <v>same</v>
      </c>
    </row>
    <row r="271" customFormat="false" ht="15" hidden="false" customHeight="false" outlineLevel="0" collapsed="false">
      <c r="B271" s="42" t="n">
        <v>264</v>
      </c>
      <c r="C271" s="8" t="s">
        <v>418</v>
      </c>
      <c r="D271" s="8" t="s">
        <v>215</v>
      </c>
      <c r="E271" s="52" t="n">
        <v>0.7692</v>
      </c>
      <c r="F271" s="53" t="n">
        <f aca="false">'13_Week'!$C$53</f>
        <v>0.769230769230769</v>
      </c>
      <c r="G271" s="45" t="n">
        <f aca="false">IF(ISNUMBER(F271),F271-E271,"n/a")</f>
        <v>3.07692307692786E-005</v>
      </c>
      <c r="H271" s="46" t="n">
        <v>5.0001E-005</v>
      </c>
      <c r="I271" s="47" t="str">
        <f aca="false">IF(ISNUMBER(F271),IF(ABS(F271-E271)&lt;=H271,"PASS","FAIL"),"FAIL")</f>
        <v>PASS</v>
      </c>
      <c r="J271" s="47" t="str">
        <f aca="false">IF(ISNUMBER(F271),IF(ROUND(F271,4)=ROUND(E271,4),"same","differs"),"n/a")</f>
        <v>same</v>
      </c>
    </row>
    <row r="272" customFormat="false" ht="15" hidden="false" customHeight="false" outlineLevel="0" collapsed="false">
      <c r="B272" s="42" t="n">
        <v>265</v>
      </c>
      <c r="C272" s="8" t="s">
        <v>418</v>
      </c>
      <c r="D272" s="8" t="s">
        <v>672</v>
      </c>
      <c r="E272" s="43" t="n">
        <v>132.24</v>
      </c>
      <c r="F272" s="44" t="n">
        <f aca="false">'13_Week'!$C$57</f>
        <v>132.24</v>
      </c>
      <c r="G272" s="45" t="n">
        <f aca="false">IF(ISNUMBER(F272),F272-E272,"n/a")</f>
        <v>0</v>
      </c>
      <c r="H272" s="46" t="n">
        <v>0.005000001</v>
      </c>
      <c r="I272" s="47" t="str">
        <f aca="false">IF(ISNUMBER(F272),IF(ABS(F272-E272)&lt;=H272,"PASS","FAIL"),"FAIL")</f>
        <v>PASS</v>
      </c>
      <c r="J272" s="47" t="str">
        <f aca="false">IF(ISNUMBER(F272),IF(ROUND(F272,2)=ROUND(E272,2),"same","differs"),"n/a")</f>
        <v>same</v>
      </c>
    </row>
    <row r="273" customFormat="false" ht="15" hidden="false" customHeight="false" outlineLevel="0" collapsed="false">
      <c r="B273" s="42" t="n">
        <v>266</v>
      </c>
      <c r="C273" s="8" t="s">
        <v>418</v>
      </c>
      <c r="D273" s="8" t="s">
        <v>673</v>
      </c>
      <c r="E273" s="48" t="n">
        <v>7.2</v>
      </c>
      <c r="F273" s="49" t="n">
        <f aca="false">'13_Week'!$C$59</f>
        <v>7.2</v>
      </c>
      <c r="G273" s="45" t="n">
        <f aca="false">IF(ISNUMBER(F273),F273-E273,"n/a")</f>
        <v>0</v>
      </c>
      <c r="H273" s="46" t="n">
        <v>0.050000001</v>
      </c>
      <c r="I273" s="47" t="str">
        <f aca="false">IF(ISNUMBER(F273),IF(ABS(F273-E273)&lt;=H273,"PASS","FAIL"),"FAIL")</f>
        <v>PASS</v>
      </c>
      <c r="J273" s="47" t="str">
        <f aca="false">IF(ISNUMBER(F273),IF(ROUND(F273,1)=ROUND(E273,1),"same","differs"),"n/a")</f>
        <v>same</v>
      </c>
    </row>
    <row r="274" customFormat="false" ht="15" hidden="false" customHeight="false" outlineLevel="0" collapsed="false">
      <c r="B274" s="42" t="n">
        <v>267</v>
      </c>
      <c r="C274" s="8" t="s">
        <v>418</v>
      </c>
      <c r="D274" s="8" t="s">
        <v>221</v>
      </c>
      <c r="E274" s="50" t="n">
        <v>-25.115</v>
      </c>
      <c r="F274" s="51" t="n">
        <f aca="false">'13_Week'!$C$60</f>
        <v>-25.115</v>
      </c>
      <c r="G274" s="45" t="n">
        <f aca="false">IF(ISNUMBER(F274),F274-E274,"n/a")</f>
        <v>0</v>
      </c>
      <c r="H274" s="46" t="n">
        <v>0.000500001</v>
      </c>
      <c r="I274" s="47" t="str">
        <f aca="false">IF(ISNUMBER(F274),IF(ABS(F274-E274)&lt;=H274,"PASS","FAIL"),"FAIL")</f>
        <v>PASS</v>
      </c>
      <c r="J274" s="47" t="str">
        <f aca="false">IF(ISNUMBER(F274),IF(ROUND(F274,3)=ROUND(E274,3),"same","differs"),"n/a")</f>
        <v>same</v>
      </c>
    </row>
    <row r="275" customFormat="false" ht="15" hidden="false" customHeight="false" outlineLevel="0" collapsed="false">
      <c r="B275" s="42" t="n">
        <v>268</v>
      </c>
      <c r="C275" s="8" t="s">
        <v>418</v>
      </c>
      <c r="D275" s="8" t="s">
        <v>236</v>
      </c>
      <c r="E275" s="50" t="n">
        <v>-7.775</v>
      </c>
      <c r="F275" s="51" t="n">
        <f aca="false">'13_Week'!$C$61</f>
        <v>-7.775</v>
      </c>
      <c r="G275" s="45" t="n">
        <f aca="false">IF(ISNUMBER(F275),F275-E275,"n/a")</f>
        <v>0</v>
      </c>
      <c r="H275" s="46" t="n">
        <v>0.000500001</v>
      </c>
      <c r="I275" s="47" t="str">
        <f aca="false">IF(ISNUMBER(F275),IF(ABS(F275-E275)&lt;=H275,"PASS","FAIL"),"FAIL")</f>
        <v>PASS</v>
      </c>
      <c r="J275" s="47" t="str">
        <f aca="false">IF(ISNUMBER(F275),IF(ROUND(F275,3)=ROUND(E275,3),"same","differs"),"n/a")</f>
        <v>same</v>
      </c>
    </row>
    <row r="276" customFormat="false" ht="15" hidden="false" customHeight="false" outlineLevel="0" collapsed="false">
      <c r="B276" s="42" t="n">
        <v>269</v>
      </c>
      <c r="C276" s="8" t="s">
        <v>418</v>
      </c>
      <c r="D276" s="8" t="s">
        <v>674</v>
      </c>
      <c r="E276" s="43" t="n">
        <v>-7.2</v>
      </c>
      <c r="F276" s="44" t="n">
        <f aca="false">'13_Week'!$E$65</f>
        <v>-7.19999999999999</v>
      </c>
      <c r="G276" s="45" t="n">
        <f aca="false">IF(ISNUMBER(F276),F276-E276,"n/a")</f>
        <v>0</v>
      </c>
      <c r="H276" s="46" t="n">
        <v>0.005000001</v>
      </c>
      <c r="I276" s="47" t="str">
        <f aca="false">IF(ISNUMBER(F276),IF(ABS(F276-E276)&lt;=H276,"PASS","FAIL"),"FAIL")</f>
        <v>PASS</v>
      </c>
      <c r="J276" s="47" t="str">
        <f aca="false">IF(ISNUMBER(F276),IF(ROUND(F276,2)=ROUND(E276,2),"same","differs"),"n/a")</f>
        <v>same</v>
      </c>
    </row>
    <row r="277" customFormat="false" ht="15" hidden="false" customHeight="false" outlineLevel="0" collapsed="false">
      <c r="B277" s="42" t="n">
        <v>270</v>
      </c>
      <c r="C277" s="8" t="s">
        <v>418</v>
      </c>
      <c r="D277" s="8" t="s">
        <v>675</v>
      </c>
      <c r="E277" s="43" t="n">
        <v>1.2</v>
      </c>
      <c r="F277" s="44" t="n">
        <f aca="false">'13_Week'!$E$66</f>
        <v>1.2</v>
      </c>
      <c r="G277" s="45" t="n">
        <f aca="false">IF(ISNUMBER(F277),F277-E277,"n/a")</f>
        <v>0</v>
      </c>
      <c r="H277" s="46" t="n">
        <v>0.005000001</v>
      </c>
      <c r="I277" s="47" t="str">
        <f aca="false">IF(ISNUMBER(F277),IF(ABS(F277-E277)&lt;=H277,"PASS","FAIL"),"FAIL")</f>
        <v>PASS</v>
      </c>
      <c r="J277" s="47" t="str">
        <f aca="false">IF(ISNUMBER(F277),IF(ROUND(F277,2)=ROUND(E277,2),"same","differs"),"n/a")</f>
        <v>same</v>
      </c>
    </row>
    <row r="278" customFormat="false" ht="15" hidden="false" customHeight="false" outlineLevel="0" collapsed="false">
      <c r="B278" s="42" t="n">
        <v>271</v>
      </c>
      <c r="C278" s="8" t="s">
        <v>418</v>
      </c>
      <c r="D278" s="8" t="s">
        <v>676</v>
      </c>
      <c r="E278" s="43" t="n">
        <v>3.6</v>
      </c>
      <c r="F278" s="44" t="n">
        <f aca="false">'13_Week'!$E$68</f>
        <v>3.6</v>
      </c>
      <c r="G278" s="45" t="n">
        <f aca="false">IF(ISNUMBER(F278),F278-E278,"n/a")</f>
        <v>0</v>
      </c>
      <c r="H278" s="46" t="n">
        <v>0.005000001</v>
      </c>
      <c r="I278" s="47" t="str">
        <f aca="false">IF(ISNUMBER(F278),IF(ABS(F278-E278)&lt;=H278,"PASS","FAIL"),"FAIL")</f>
        <v>PASS</v>
      </c>
      <c r="J278" s="47" t="str">
        <f aca="false">IF(ISNUMBER(F278),IF(ROUND(F278,2)=ROUND(E278,2),"same","differs"),"n/a")</f>
        <v>same</v>
      </c>
    </row>
    <row r="279" customFormat="false" ht="15" hidden="false" customHeight="false" outlineLevel="0" collapsed="false">
      <c r="B279" s="42" t="n">
        <v>272</v>
      </c>
      <c r="C279" s="8" t="s">
        <v>418</v>
      </c>
      <c r="D279" s="8" t="s">
        <v>677</v>
      </c>
      <c r="E279" s="43" t="n">
        <v>-2.8</v>
      </c>
      <c r="F279" s="44" t="n">
        <f aca="false">'13_Week'!$E$71</f>
        <v>-2.8</v>
      </c>
      <c r="G279" s="45" t="n">
        <f aca="false">IF(ISNUMBER(F279),F279-E279,"n/a")</f>
        <v>0</v>
      </c>
      <c r="H279" s="46" t="n">
        <v>0.005000001</v>
      </c>
      <c r="I279" s="47" t="str">
        <f aca="false">IF(ISNUMBER(F279),IF(ABS(F279-E279)&lt;=H279,"PASS","FAIL"),"FAIL")</f>
        <v>PASS</v>
      </c>
      <c r="J279" s="47" t="str">
        <f aca="false">IF(ISNUMBER(F279),IF(ROUND(F279,2)=ROUND(E279,2),"same","differs"),"n/a")</f>
        <v>same</v>
      </c>
    </row>
    <row r="280" customFormat="false" ht="15" hidden="false" customHeight="false" outlineLevel="0" collapsed="false">
      <c r="B280" s="42" t="n">
        <v>273</v>
      </c>
      <c r="C280" s="8" t="s">
        <v>418</v>
      </c>
      <c r="D280" s="8" t="s">
        <v>678</v>
      </c>
      <c r="E280" s="43" t="n">
        <v>-7.25</v>
      </c>
      <c r="F280" s="44" t="n">
        <f aca="false">'13_Week'!$E$79</f>
        <v>-7.25</v>
      </c>
      <c r="G280" s="45" t="n">
        <f aca="false">IF(ISNUMBER(F280),F280-E280,"n/a")</f>
        <v>0</v>
      </c>
      <c r="H280" s="46" t="n">
        <v>0.005000001</v>
      </c>
      <c r="I280" s="47" t="str">
        <f aca="false">IF(ISNUMBER(F280),IF(ABS(F280-E280)&lt;=H280,"PASS","FAIL"),"FAIL")</f>
        <v>PASS</v>
      </c>
      <c r="J280" s="47" t="str">
        <f aca="false">IF(ISNUMBER(F280),IF(ROUND(F280,2)=ROUND(E280,2),"same","differs"),"n/a")</f>
        <v>same</v>
      </c>
    </row>
    <row r="281" customFormat="false" ht="15" hidden="false" customHeight="false" outlineLevel="0" collapsed="false">
      <c r="B281" s="42" t="n">
        <v>274</v>
      </c>
      <c r="C281" s="8" t="s">
        <v>418</v>
      </c>
      <c r="D281" s="8" t="s">
        <v>679</v>
      </c>
      <c r="E281" s="43" t="n">
        <v>-4.95</v>
      </c>
      <c r="F281" s="44" t="n">
        <f aca="false">'13_Week'!$E$75</f>
        <v>-4.95</v>
      </c>
      <c r="G281" s="45" t="n">
        <f aca="false">IF(ISNUMBER(F281),F281-E281,"n/a")</f>
        <v>0</v>
      </c>
      <c r="H281" s="46" t="n">
        <v>0.005000001</v>
      </c>
      <c r="I281" s="47" t="str">
        <f aca="false">IF(ISNUMBER(F281),IF(ABS(F281-E281)&lt;=H281,"PASS","FAIL"),"FAIL")</f>
        <v>PASS</v>
      </c>
      <c r="J281" s="47" t="str">
        <f aca="false">IF(ISNUMBER(F281),IF(ROUND(F281,2)=ROUND(E281,2),"same","differs"),"n/a")</f>
        <v>same</v>
      </c>
    </row>
    <row r="282" customFormat="false" ht="15" hidden="false" customHeight="false" outlineLevel="0" collapsed="false">
      <c r="B282" s="42" t="n">
        <v>275</v>
      </c>
      <c r="C282" s="8" t="s">
        <v>418</v>
      </c>
      <c r="D282" s="8" t="s">
        <v>680</v>
      </c>
      <c r="E282" s="43" t="n">
        <v>0.06</v>
      </c>
      <c r="F282" s="44" t="n">
        <f aca="false">'13_Week'!$E$80</f>
        <v>0.059999999999917</v>
      </c>
      <c r="G282" s="45" t="n">
        <f aca="false">IF(ISNUMBER(F282),F282-E282,"n/a")</f>
        <v>-8.29891710907305E-014</v>
      </c>
      <c r="H282" s="46" t="n">
        <v>0.005000001</v>
      </c>
      <c r="I282" s="47" t="str">
        <f aca="false">IF(ISNUMBER(F282),IF(ABS(F282-E282)&lt;=H282,"PASS","FAIL"),"FAIL")</f>
        <v>PASS</v>
      </c>
      <c r="J282" s="47" t="str">
        <f aca="false">IF(ISNUMBER(F282),IF(ROUND(F282,2)=ROUND(E282,2),"same","differs"),"n/a")</f>
        <v>same</v>
      </c>
    </row>
    <row r="283" customFormat="false" ht="15" hidden="false" customHeight="false" outlineLevel="0" collapsed="false">
      <c r="B283" s="42" t="n">
        <v>276</v>
      </c>
      <c r="C283" s="8" t="s">
        <v>418</v>
      </c>
      <c r="D283" s="8" t="s">
        <v>681</v>
      </c>
      <c r="E283" s="43" t="n">
        <v>0</v>
      </c>
      <c r="F283" s="44" t="n">
        <f aca="false">'13_Week'!$E$67</f>
        <v>-0</v>
      </c>
      <c r="G283" s="45" t="n">
        <f aca="false">IF(ISNUMBER(F283),F283-E283,"n/a")</f>
        <v>-0</v>
      </c>
      <c r="H283" s="46" t="n">
        <v>0.005000001</v>
      </c>
      <c r="I283" s="47" t="str">
        <f aca="false">IF(ISNUMBER(F283),IF(ABS(F283-E283)&lt;=H283,"PASS","FAIL"),"FAIL")</f>
        <v>PASS</v>
      </c>
      <c r="J283" s="47" t="str">
        <f aca="false">IF(ISNUMBER(F283),IF(ROUND(F283,2)=ROUND(E283,2),"same","differs"),"n/a")</f>
        <v>same</v>
      </c>
    </row>
    <row r="284" customFormat="false" ht="15" hidden="false" customHeight="false" outlineLevel="0" collapsed="false">
      <c r="B284" s="42" t="n">
        <v>277</v>
      </c>
      <c r="C284" s="8" t="s">
        <v>418</v>
      </c>
      <c r="D284" s="8" t="s">
        <v>682</v>
      </c>
      <c r="E284" s="43" t="n">
        <v>0</v>
      </c>
      <c r="F284" s="44" t="n">
        <f aca="false">'13_Week'!$E$69</f>
        <v>-0</v>
      </c>
      <c r="G284" s="45" t="n">
        <f aca="false">IF(ISNUMBER(F284),F284-E284,"n/a")</f>
        <v>-0</v>
      </c>
      <c r="H284" s="46" t="n">
        <v>0.005000001</v>
      </c>
      <c r="I284" s="47" t="str">
        <f aca="false">IF(ISNUMBER(F284),IF(ABS(F284-E284)&lt;=H284,"PASS","FAIL"),"FAIL")</f>
        <v>PASS</v>
      </c>
      <c r="J284" s="47" t="str">
        <f aca="false">IF(ISNUMBER(F284),IF(ROUND(F284,2)=ROUND(E284,2),"same","differs"),"n/a")</f>
        <v>same</v>
      </c>
    </row>
    <row r="285" customFormat="false" ht="15" hidden="false" customHeight="false" outlineLevel="0" collapsed="false">
      <c r="B285" s="42" t="n">
        <v>278</v>
      </c>
      <c r="C285" s="8" t="s">
        <v>418</v>
      </c>
      <c r="D285" s="8" t="s">
        <v>683</v>
      </c>
      <c r="E285" s="43" t="n">
        <v>0</v>
      </c>
      <c r="F285" s="44" t="n">
        <f aca="false">'13_Week'!$E$70</f>
        <v>-0</v>
      </c>
      <c r="G285" s="45" t="n">
        <f aca="false">IF(ISNUMBER(F285),F285-E285,"n/a")</f>
        <v>-0</v>
      </c>
      <c r="H285" s="46" t="n">
        <v>0.005000001</v>
      </c>
      <c r="I285" s="47" t="str">
        <f aca="false">IF(ISNUMBER(F285),IF(ABS(F285-E285)&lt;=H285,"PASS","FAIL"),"FAIL")</f>
        <v>PASS</v>
      </c>
      <c r="J285" s="47" t="str">
        <f aca="false">IF(ISNUMBER(F285),IF(ROUND(F285,2)=ROUND(E285,2),"same","differs"),"n/a")</f>
        <v>same</v>
      </c>
    </row>
    <row r="286" customFormat="false" ht="15" hidden="false" customHeight="false" outlineLevel="0" collapsed="false">
      <c r="B286" s="42" t="n">
        <v>279</v>
      </c>
      <c r="C286" s="8" t="s">
        <v>418</v>
      </c>
      <c r="D286" s="8" t="s">
        <v>684</v>
      </c>
      <c r="E286" s="43" t="n">
        <v>0</v>
      </c>
      <c r="F286" s="44" t="n">
        <f aca="false">'13_Week'!$E$72</f>
        <v>-0</v>
      </c>
      <c r="G286" s="45" t="n">
        <f aca="false">IF(ISNUMBER(F286),F286-E286,"n/a")</f>
        <v>-0</v>
      </c>
      <c r="H286" s="46" t="n">
        <v>0.005000001</v>
      </c>
      <c r="I286" s="47" t="str">
        <f aca="false">IF(ISNUMBER(F286),IF(ABS(F286-E286)&lt;=H286,"PASS","FAIL"),"FAIL")</f>
        <v>PASS</v>
      </c>
      <c r="J286" s="47" t="str">
        <f aca="false">IF(ISNUMBER(F286),IF(ROUND(F286,2)=ROUND(E286,2),"same","differs"),"n/a")</f>
        <v>same</v>
      </c>
    </row>
    <row r="287" customFormat="false" ht="15" hidden="false" customHeight="false" outlineLevel="0" collapsed="false">
      <c r="B287" s="42" t="n">
        <v>280</v>
      </c>
      <c r="C287" s="8" t="s">
        <v>418</v>
      </c>
      <c r="D287" s="8" t="s">
        <v>685</v>
      </c>
      <c r="E287" s="43" t="n">
        <v>0</v>
      </c>
      <c r="F287" s="44" t="n">
        <f aca="false">'13_Week'!$E$73</f>
        <v>-0</v>
      </c>
      <c r="G287" s="45" t="n">
        <f aca="false">IF(ISNUMBER(F287),F287-E287,"n/a")</f>
        <v>-0</v>
      </c>
      <c r="H287" s="46" t="n">
        <v>0.005000001</v>
      </c>
      <c r="I287" s="47" t="str">
        <f aca="false">IF(ISNUMBER(F287),IF(ABS(F287-E287)&lt;=H287,"PASS","FAIL"),"FAIL")</f>
        <v>PASS</v>
      </c>
      <c r="J287" s="47" t="str">
        <f aca="false">IF(ISNUMBER(F287),IF(ROUND(F287,2)=ROUND(E287,2),"same","differs"),"n/a")</f>
        <v>same</v>
      </c>
    </row>
    <row r="288" customFormat="false" ht="15" hidden="false" customHeight="false" outlineLevel="0" collapsed="false">
      <c r="B288" s="42" t="n">
        <v>281</v>
      </c>
      <c r="C288" s="8" t="s">
        <v>418</v>
      </c>
      <c r="D288" s="8" t="s">
        <v>686</v>
      </c>
      <c r="E288" s="43" t="n">
        <v>0</v>
      </c>
      <c r="F288" s="44" t="n">
        <f aca="false">'13_Week'!$E$74</f>
        <v>-0</v>
      </c>
      <c r="G288" s="45" t="n">
        <f aca="false">IF(ISNUMBER(F288),F288-E288,"n/a")</f>
        <v>-0</v>
      </c>
      <c r="H288" s="46" t="n">
        <v>0.005000001</v>
      </c>
      <c r="I288" s="47" t="str">
        <f aca="false">IF(ISNUMBER(F288),IF(ABS(F288-E288)&lt;=H288,"PASS","FAIL"),"FAIL")</f>
        <v>PASS</v>
      </c>
      <c r="J288" s="47" t="str">
        <f aca="false">IF(ISNUMBER(F288),IF(ROUND(F288,2)=ROUND(E288,2),"same","differs"),"n/a")</f>
        <v>same</v>
      </c>
    </row>
    <row r="289" customFormat="false" ht="15" hidden="false" customHeight="false" outlineLevel="0" collapsed="false">
      <c r="B289" s="42" t="n">
        <v>282</v>
      </c>
      <c r="C289" s="8" t="s">
        <v>418</v>
      </c>
      <c r="D289" s="8" t="s">
        <v>687</v>
      </c>
      <c r="E289" s="43" t="n">
        <v>0</v>
      </c>
      <c r="F289" s="44" t="n">
        <f aca="false">'13_Week'!$E$76</f>
        <v>-0</v>
      </c>
      <c r="G289" s="45" t="n">
        <f aca="false">IF(ISNUMBER(F289),F289-E289,"n/a")</f>
        <v>-0</v>
      </c>
      <c r="H289" s="46" t="n">
        <v>0.005000001</v>
      </c>
      <c r="I289" s="47" t="str">
        <f aca="false">IF(ISNUMBER(F289),IF(ABS(F289-E289)&lt;=H289,"PASS","FAIL"),"FAIL")</f>
        <v>PASS</v>
      </c>
      <c r="J289" s="47" t="str">
        <f aca="false">IF(ISNUMBER(F289),IF(ROUND(F289,2)=ROUND(E289,2),"same","differs"),"n/a")</f>
        <v>same</v>
      </c>
    </row>
    <row r="290" customFormat="false" ht="15" hidden="false" customHeight="false" outlineLevel="0" collapsed="false">
      <c r="B290" s="42" t="n">
        <v>283</v>
      </c>
      <c r="C290" s="8" t="s">
        <v>418</v>
      </c>
      <c r="D290" s="8" t="s">
        <v>688</v>
      </c>
      <c r="E290" s="43" t="n">
        <v>0</v>
      </c>
      <c r="F290" s="44" t="n">
        <f aca="false">'13_Week'!$E$77</f>
        <v>-0</v>
      </c>
      <c r="G290" s="45" t="n">
        <f aca="false">IF(ISNUMBER(F290),F290-E290,"n/a")</f>
        <v>-0</v>
      </c>
      <c r="H290" s="46" t="n">
        <v>0.005000001</v>
      </c>
      <c r="I290" s="47" t="str">
        <f aca="false">IF(ISNUMBER(F290),IF(ABS(F290-E290)&lt;=H290,"PASS","FAIL"),"FAIL")</f>
        <v>PASS</v>
      </c>
      <c r="J290" s="47" t="str">
        <f aca="false">IF(ISNUMBER(F290),IF(ROUND(F290,2)=ROUND(E290,2),"same","differs"),"n/a")</f>
        <v>same</v>
      </c>
    </row>
    <row r="291" customFormat="false" ht="15" hidden="false" customHeight="false" outlineLevel="0" collapsed="false">
      <c r="B291" s="42" t="n">
        <v>284</v>
      </c>
      <c r="C291" s="8" t="s">
        <v>418</v>
      </c>
      <c r="D291" s="8" t="s">
        <v>689</v>
      </c>
      <c r="E291" s="43" t="n">
        <v>0</v>
      </c>
      <c r="F291" s="44" t="n">
        <f aca="false">'13_Week'!$E$78</f>
        <v>-0</v>
      </c>
      <c r="G291" s="45" t="n">
        <f aca="false">IF(ISNUMBER(F291),F291-E291,"n/a")</f>
        <v>-0</v>
      </c>
      <c r="H291" s="46" t="n">
        <v>0.005000001</v>
      </c>
      <c r="I291" s="47" t="str">
        <f aca="false">IF(ISNUMBER(F291),IF(ABS(F291-E291)&lt;=H291,"PASS","FAIL"),"FAIL")</f>
        <v>PASS</v>
      </c>
      <c r="J291" s="47" t="str">
        <f aca="false">IF(ISNUMBER(F291),IF(ROUND(F291,2)=ROUND(E291,2),"same","differs"),"n/a")</f>
        <v>same</v>
      </c>
    </row>
    <row r="292" customFormat="false" ht="15" hidden="false" customHeight="false" outlineLevel="0" collapsed="false">
      <c r="B292" s="42" t="n">
        <v>285</v>
      </c>
      <c r="C292" s="8" t="s">
        <v>418</v>
      </c>
      <c r="D292" s="8" t="s">
        <v>690</v>
      </c>
      <c r="E292" s="43" t="n">
        <v>-17.34</v>
      </c>
      <c r="F292" s="44" t="n">
        <f aca="false">'13_Week'!$E$85</f>
        <v>-17.34</v>
      </c>
      <c r="G292" s="45" t="n">
        <f aca="false">IF(ISNUMBER(F292),F292-E292,"n/a")</f>
        <v>0</v>
      </c>
      <c r="H292" s="46" t="n">
        <v>0.005000001</v>
      </c>
      <c r="I292" s="47" t="str">
        <f aca="false">IF(ISNUMBER(F292),IF(ABS(F292-E292)&lt;=H292,"PASS","FAIL"),"FAIL")</f>
        <v>PASS</v>
      </c>
      <c r="J292" s="47" t="str">
        <f aca="false">IF(ISNUMBER(F292),IF(ROUND(F292,2)=ROUND(E292,2),"same","differs"),"n/a")</f>
        <v>same</v>
      </c>
    </row>
    <row r="293" customFormat="false" ht="15" hidden="false" customHeight="false" outlineLevel="0" collapsed="false">
      <c r="B293" s="42" t="n">
        <v>286</v>
      </c>
      <c r="C293" s="8" t="s">
        <v>418</v>
      </c>
      <c r="D293" s="8" t="s">
        <v>691</v>
      </c>
      <c r="E293" s="43" t="n">
        <v>-17.34</v>
      </c>
      <c r="F293" s="44" t="n">
        <f aca="false">'13_Week'!$E$82</f>
        <v>-17.3400000000001</v>
      </c>
      <c r="G293" s="45" t="n">
        <f aca="false">IF(ISNUMBER(F293),F293-E293,"n/a")</f>
        <v>-7.105427357601E-014</v>
      </c>
      <c r="H293" s="46" t="n">
        <v>0.005000001</v>
      </c>
      <c r="I293" s="47" t="str">
        <f aca="false">IF(ISNUMBER(F293),IF(ABS(F293-E293)&lt;=H293,"PASS","FAIL"),"FAIL")</f>
        <v>PASS</v>
      </c>
      <c r="J293" s="47" t="str">
        <f aca="false">IF(ISNUMBER(F293),IF(ROUND(F293,2)=ROUND(E293,2),"same","differs"),"n/a")</f>
        <v>same</v>
      </c>
    </row>
    <row r="294" customFormat="false" ht="15" hidden="false" customHeight="false" outlineLevel="0" collapsed="false">
      <c r="B294" s="42" t="n">
        <v>287</v>
      </c>
      <c r="C294" s="8" t="s">
        <v>418</v>
      </c>
      <c r="D294" s="8" t="s">
        <v>692</v>
      </c>
      <c r="E294" s="43" t="n">
        <v>0</v>
      </c>
      <c r="F294" s="44" t="n">
        <f aca="false">'13_Week'!$E$86</f>
        <v>0</v>
      </c>
      <c r="G294" s="45" t="n">
        <f aca="false">IF(ISNUMBER(F294),F294-E294,"n/a")</f>
        <v>0</v>
      </c>
      <c r="H294" s="46" t="n">
        <v>0.005000001</v>
      </c>
      <c r="I294" s="47" t="str">
        <f aca="false">IF(ISNUMBER(F294),IF(ABS(F294-E294)&lt;=H294,"PASS","FAIL"),"FAIL")</f>
        <v>PASS</v>
      </c>
      <c r="J294" s="47" t="str">
        <f aca="false">IF(ISNUMBER(F294),IF(ROUND(F294,2)=ROUND(E294,2),"same","differs"),"n/a")</f>
        <v>same</v>
      </c>
    </row>
    <row r="295" customFormat="false" ht="15" hidden="false" customHeight="false" outlineLevel="0" collapsed="false">
      <c r="B295" s="42" t="n">
        <v>288</v>
      </c>
      <c r="C295" s="8" t="s">
        <v>418</v>
      </c>
      <c r="D295" s="8" t="s">
        <v>693</v>
      </c>
      <c r="E295" s="43" t="n">
        <v>63.72</v>
      </c>
      <c r="F295" s="44" t="n">
        <f aca="false">'13_Week'!$C$102</f>
        <v>63.7239726027397</v>
      </c>
      <c r="G295" s="45" t="n">
        <f aca="false">IF(ISNUMBER(F295),F295-E295,"n/a")</f>
        <v>0.0039726027397009</v>
      </c>
      <c r="H295" s="46" t="n">
        <v>0.005000001</v>
      </c>
      <c r="I295" s="47" t="str">
        <f aca="false">IF(ISNUMBER(F295),IF(ABS(F295-E295)&lt;=H295,"PASS","FAIL"),"FAIL")</f>
        <v>PASS</v>
      </c>
      <c r="J295" s="47" t="str">
        <f aca="false">IF(ISNUMBER(F295),IF(ROUND(F295,2)=ROUND(E295,2),"same","differs"),"n/a")</f>
        <v>same</v>
      </c>
    </row>
    <row r="296" customFormat="false" ht="15" hidden="false" customHeight="false" outlineLevel="0" collapsed="false">
      <c r="B296" s="42" t="n">
        <v>289</v>
      </c>
      <c r="C296" s="8" t="s">
        <v>418</v>
      </c>
      <c r="D296" s="8" t="s">
        <v>694</v>
      </c>
      <c r="E296" s="43" t="n">
        <v>34.39</v>
      </c>
      <c r="F296" s="44" t="n">
        <f aca="false">'13_Week'!$D$102</f>
        <v>34.385</v>
      </c>
      <c r="G296" s="45" t="n">
        <f aca="false">IF(ISNUMBER(F296),F296-E296,"n/a")</f>
        <v>-0.0050000000000523</v>
      </c>
      <c r="H296" s="46" t="n">
        <v>0.005000001</v>
      </c>
      <c r="I296" s="47" t="str">
        <f aca="false">IF(ISNUMBER(F296),IF(ABS(F296-E296)&lt;=H296,"PASS","FAIL"),"FAIL")</f>
        <v>PASS</v>
      </c>
      <c r="J296" s="47" t="str">
        <f aca="false">IF(ISNUMBER(F296),IF(ROUND(F296,2)=ROUND(E296,2),"same","differs"),"n/a")</f>
        <v>same</v>
      </c>
    </row>
    <row r="297" customFormat="false" ht="15" hidden="false" customHeight="false" outlineLevel="0" collapsed="false">
      <c r="B297" s="42" t="n">
        <v>290</v>
      </c>
      <c r="C297" s="8" t="s">
        <v>695</v>
      </c>
      <c r="D297" s="8" t="s">
        <v>696</v>
      </c>
      <c r="E297" s="9" t="n">
        <v>0.0805</v>
      </c>
      <c r="F297" s="56" t="n">
        <f aca="false">Liquidity!$C$7</f>
        <v>0.0805</v>
      </c>
      <c r="G297" s="45" t="n">
        <f aca="false">IF(ISNUMBER(F297),F297-E297,"n/a")</f>
        <v>0</v>
      </c>
      <c r="H297" s="46" t="n">
        <v>5.0001E-005</v>
      </c>
      <c r="I297" s="47" t="str">
        <f aca="false">IF(ISNUMBER(F297),IF(ABS(F297-E297)&lt;=H297,"PASS","FAIL"),"FAIL")</f>
        <v>PASS</v>
      </c>
      <c r="J297" s="47" t="str">
        <f aca="false">IF(ISNUMBER(F297),IF(ROUND(F297,4)=ROUND(E297,4),"same","differs"),"n/a")</f>
        <v>same</v>
      </c>
    </row>
    <row r="298" customFormat="false" ht="15" hidden="false" customHeight="false" outlineLevel="0" collapsed="false">
      <c r="B298" s="42" t="n">
        <v>291</v>
      </c>
      <c r="C298" s="8" t="s">
        <v>695</v>
      </c>
      <c r="D298" s="8" t="s">
        <v>697</v>
      </c>
      <c r="E298" s="9" t="n">
        <v>0.083</v>
      </c>
      <c r="F298" s="56" t="n">
        <f aca="false">Liquidity!$C$8</f>
        <v>0.083</v>
      </c>
      <c r="G298" s="45" t="n">
        <f aca="false">IF(ISNUMBER(F298),F298-E298,"n/a")</f>
        <v>0</v>
      </c>
      <c r="H298" s="46" t="n">
        <v>5.0001E-005</v>
      </c>
      <c r="I298" s="47" t="str">
        <f aca="false">IF(ISNUMBER(F298),IF(ABS(F298-E298)&lt;=H298,"PASS","FAIL"),"FAIL")</f>
        <v>PASS</v>
      </c>
      <c r="J298" s="47" t="str">
        <f aca="false">IF(ISNUMBER(F298),IF(ROUND(F298,4)=ROUND(E298,4),"same","differs"),"n/a")</f>
        <v>same</v>
      </c>
    </row>
    <row r="299" customFormat="false" ht="15" hidden="false" customHeight="false" outlineLevel="0" collapsed="false">
      <c r="B299" s="42" t="n">
        <v>292</v>
      </c>
      <c r="C299" s="8" t="s">
        <v>695</v>
      </c>
      <c r="D299" s="8" t="s">
        <v>262</v>
      </c>
      <c r="E299" s="48" t="n">
        <v>1350</v>
      </c>
      <c r="F299" s="49" t="n">
        <f aca="false">Liquidity!$C$10</f>
        <v>1350</v>
      </c>
      <c r="G299" s="45" t="n">
        <f aca="false">IF(ISNUMBER(F299),F299-E299,"n/a")</f>
        <v>0</v>
      </c>
      <c r="H299" s="46" t="n">
        <v>0.050000001</v>
      </c>
      <c r="I299" s="47" t="str">
        <f aca="false">IF(ISNUMBER(F299),IF(ABS(F299-E299)&lt;=H299,"PASS","FAIL"),"FAIL")</f>
        <v>PASS</v>
      </c>
      <c r="J299" s="47" t="str">
        <f aca="false">IF(ISNUMBER(F299),IF(ROUND(F299,1)=ROUND(E299,1),"same","differs"),"n/a")</f>
        <v>same</v>
      </c>
    </row>
    <row r="300" customFormat="false" ht="15" hidden="false" customHeight="false" outlineLevel="0" collapsed="false">
      <c r="B300" s="42" t="n">
        <v>293</v>
      </c>
      <c r="C300" s="8" t="s">
        <v>695</v>
      </c>
      <c r="D300" s="8" t="s">
        <v>698</v>
      </c>
      <c r="E300" s="48" t="n">
        <v>950</v>
      </c>
      <c r="F300" s="49" t="n">
        <f aca="false">Liquidity!$C$9</f>
        <v>950</v>
      </c>
      <c r="G300" s="45" t="n">
        <f aca="false">IF(ISNUMBER(F300),F300-E300,"n/a")</f>
        <v>0</v>
      </c>
      <c r="H300" s="46" t="n">
        <v>0.050000001</v>
      </c>
      <c r="I300" s="47" t="str">
        <f aca="false">IF(ISNUMBER(F300),IF(ABS(F300-E300)&lt;=H300,"PASS","FAIL"),"FAIL")</f>
        <v>PASS</v>
      </c>
      <c r="J300" s="47" t="str">
        <f aca="false">IF(ISNUMBER(F300),IF(ROUND(F300,1)=ROUND(E300,1),"same","differs"),"n/a")</f>
        <v>same</v>
      </c>
    </row>
    <row r="301" customFormat="false" ht="15" hidden="false" customHeight="false" outlineLevel="0" collapsed="false">
      <c r="B301" s="42" t="n">
        <v>294</v>
      </c>
      <c r="C301" s="8" t="s">
        <v>695</v>
      </c>
      <c r="D301" s="8" t="s">
        <v>699</v>
      </c>
      <c r="E301" s="43" t="n">
        <v>74.7</v>
      </c>
      <c r="F301" s="44" t="n">
        <f aca="false">Liquidity!$C$11</f>
        <v>74.7</v>
      </c>
      <c r="G301" s="45" t="n">
        <f aca="false">IF(ISNUMBER(F301),F301-E301,"n/a")</f>
        <v>0</v>
      </c>
      <c r="H301" s="46" t="n">
        <v>0.005000001</v>
      </c>
      <c r="I301" s="47" t="str">
        <f aca="false">IF(ISNUMBER(F301),IF(ABS(F301-E301)&lt;=H301,"PASS","FAIL"),"FAIL")</f>
        <v>PASS</v>
      </c>
      <c r="J301" s="47" t="str">
        <f aca="false">IF(ISNUMBER(F301),IF(ROUND(F301,2)=ROUND(E301,2),"same","differs"),"n/a")</f>
        <v>same</v>
      </c>
    </row>
    <row r="302" customFormat="false" ht="15" hidden="false" customHeight="false" outlineLevel="0" collapsed="false">
      <c r="B302" s="42" t="n">
        <v>295</v>
      </c>
      <c r="C302" s="8" t="s">
        <v>695</v>
      </c>
      <c r="D302" s="8" t="s">
        <v>700</v>
      </c>
      <c r="E302" s="50" t="n">
        <v>4.025</v>
      </c>
      <c r="F302" s="51" t="n">
        <f aca="false">Liquidity!$C$12</f>
        <v>4.025</v>
      </c>
      <c r="G302" s="45" t="n">
        <f aca="false">IF(ISNUMBER(F302),F302-E302,"n/a")</f>
        <v>0</v>
      </c>
      <c r="H302" s="46" t="n">
        <v>0.000500001</v>
      </c>
      <c r="I302" s="47" t="str">
        <f aca="false">IF(ISNUMBER(F302),IF(ABS(F302-E302)&lt;=H302,"PASS","FAIL"),"FAIL")</f>
        <v>PASS</v>
      </c>
      <c r="J302" s="47" t="str">
        <f aca="false">IF(ISNUMBER(F302),IF(ROUND(F302,3)=ROUND(E302,3),"same","differs"),"n/a")</f>
        <v>same</v>
      </c>
    </row>
    <row r="303" customFormat="false" ht="15" hidden="false" customHeight="false" outlineLevel="0" collapsed="false">
      <c r="B303" s="42" t="n">
        <v>296</v>
      </c>
      <c r="C303" s="8" t="s">
        <v>695</v>
      </c>
      <c r="D303" s="8" t="s">
        <v>701</v>
      </c>
      <c r="E303" s="50" t="n">
        <v>0.375</v>
      </c>
      <c r="F303" s="51" t="n">
        <f aca="false">Liquidity!$C$13</f>
        <v>0.375</v>
      </c>
      <c r="G303" s="45" t="n">
        <f aca="false">IF(ISNUMBER(F303),F303-E303,"n/a")</f>
        <v>0</v>
      </c>
      <c r="H303" s="46" t="n">
        <v>0.000500001</v>
      </c>
      <c r="I303" s="47" t="str">
        <f aca="false">IF(ISNUMBER(F303),IF(ABS(F303-E303)&lt;=H303,"PASS","FAIL"),"FAIL")</f>
        <v>PASS</v>
      </c>
      <c r="J303" s="47" t="str">
        <f aca="false">IF(ISNUMBER(F303),IF(ROUND(F303,3)=ROUND(E303,3),"same","differs"),"n/a")</f>
        <v>same</v>
      </c>
    </row>
    <row r="304" customFormat="false" ht="15" hidden="false" customHeight="false" outlineLevel="0" collapsed="false">
      <c r="B304" s="42" t="n">
        <v>297</v>
      </c>
      <c r="C304" s="8" t="s">
        <v>695</v>
      </c>
      <c r="D304" s="8" t="s">
        <v>265</v>
      </c>
      <c r="E304" s="43" t="n">
        <v>29</v>
      </c>
      <c r="F304" s="44" t="n">
        <f aca="false">Liquidity!$C$14</f>
        <v>29</v>
      </c>
      <c r="G304" s="45" t="n">
        <f aca="false">IF(ISNUMBER(F304),F304-E304,"n/a")</f>
        <v>0</v>
      </c>
      <c r="H304" s="46" t="n">
        <v>0.005000001</v>
      </c>
      <c r="I304" s="47" t="str">
        <f aca="false">IF(ISNUMBER(F304),IF(ABS(F304-E304)&lt;=H304,"PASS","FAIL"),"FAIL")</f>
        <v>PASS</v>
      </c>
      <c r="J304" s="47" t="str">
        <f aca="false">IF(ISNUMBER(F304),IF(ROUND(F304,2)=ROUND(E304,2),"same","differs"),"n/a")</f>
        <v>same</v>
      </c>
    </row>
    <row r="305" customFormat="false" ht="15" hidden="false" customHeight="false" outlineLevel="0" collapsed="false">
      <c r="B305" s="42" t="n">
        <v>298</v>
      </c>
      <c r="C305" s="8" t="s">
        <v>695</v>
      </c>
      <c r="D305" s="8" t="s">
        <v>266</v>
      </c>
      <c r="E305" s="43" t="n">
        <v>108.1</v>
      </c>
      <c r="F305" s="44" t="n">
        <f aca="false">Liquidity!$C$15</f>
        <v>108.1</v>
      </c>
      <c r="G305" s="45" t="n">
        <f aca="false">IF(ISNUMBER(F305),F305-E305,"n/a")</f>
        <v>0</v>
      </c>
      <c r="H305" s="46" t="n">
        <v>0.005000001</v>
      </c>
      <c r="I305" s="47" t="str">
        <f aca="false">IF(ISNUMBER(F305),IF(ABS(F305-E305)&lt;=H305,"PASS","FAIL"),"FAIL")</f>
        <v>PASS</v>
      </c>
      <c r="J305" s="47" t="str">
        <f aca="false">IF(ISNUMBER(F305),IF(ROUND(F305,2)=ROUND(E305,2),"same","differs"),"n/a")</f>
        <v>same</v>
      </c>
    </row>
    <row r="306" customFormat="false" ht="15" hidden="false" customHeight="false" outlineLevel="0" collapsed="false">
      <c r="B306" s="42" t="n">
        <v>299</v>
      </c>
      <c r="C306" s="8" t="s">
        <v>695</v>
      </c>
      <c r="D306" s="8" t="s">
        <v>702</v>
      </c>
      <c r="E306" s="43" t="n">
        <v>1.22</v>
      </c>
      <c r="F306" s="44" t="n">
        <f aca="false">Liquidity!$C$21</f>
        <v>1.22109158186864</v>
      </c>
      <c r="G306" s="45" t="n">
        <f aca="false">IF(ISNUMBER(F306),F306-E306,"n/a")</f>
        <v>0.00109158186864033</v>
      </c>
      <c r="H306" s="46" t="n">
        <v>0.005000001</v>
      </c>
      <c r="I306" s="47" t="str">
        <f aca="false">IF(ISNUMBER(F306),IF(ABS(F306-E306)&lt;=H306,"PASS","FAIL"),"FAIL")</f>
        <v>PASS</v>
      </c>
      <c r="J306" s="47" t="str">
        <f aca="false">IF(ISNUMBER(F306),IF(ROUND(F306,2)=ROUND(E306,2),"same","differs"),"n/a")</f>
        <v>same</v>
      </c>
    </row>
    <row r="307" customFormat="false" ht="15" hidden="false" customHeight="false" outlineLevel="0" collapsed="false">
      <c r="B307" s="42" t="n">
        <v>300</v>
      </c>
      <c r="C307" s="8" t="s">
        <v>695</v>
      </c>
      <c r="D307" s="8" t="s">
        <v>703</v>
      </c>
      <c r="E307" s="43" t="n">
        <v>-31.1</v>
      </c>
      <c r="F307" s="44" t="n">
        <f aca="false">Liquidity!$C$17</f>
        <v>-31.1</v>
      </c>
      <c r="G307" s="45" t="n">
        <f aca="false">IF(ISNUMBER(F307),F307-E307,"n/a")</f>
        <v>0</v>
      </c>
      <c r="H307" s="46" t="n">
        <v>0.005000001</v>
      </c>
      <c r="I307" s="47" t="str">
        <f aca="false">IF(ISNUMBER(F307),IF(ABS(F307-E307)&lt;=H307,"PASS","FAIL"),"FAIL")</f>
        <v>PASS</v>
      </c>
      <c r="J307" s="47" t="str">
        <f aca="false">IF(ISNUMBER(F307),IF(ROUND(F307,2)=ROUND(E307,2),"same","differs"),"n/a")</f>
        <v>same</v>
      </c>
    </row>
    <row r="308" customFormat="false" ht="15" hidden="false" customHeight="false" outlineLevel="0" collapsed="false">
      <c r="B308" s="42" t="n">
        <v>301</v>
      </c>
      <c r="C308" s="8" t="s">
        <v>695</v>
      </c>
      <c r="D308" s="8" t="s">
        <v>270</v>
      </c>
      <c r="E308" s="43" t="n">
        <v>10.23</v>
      </c>
      <c r="F308" s="44" t="n">
        <f aca="false">Liquidity!$C$18</f>
        <v>10.2272727272727</v>
      </c>
      <c r="G308" s="45" t="n">
        <f aca="false">IF(ISNUMBER(F308),F308-E308,"n/a")</f>
        <v>-0.0027272727272738</v>
      </c>
      <c r="H308" s="46" t="n">
        <v>0.005000001</v>
      </c>
      <c r="I308" s="47" t="str">
        <f aca="false">IF(ISNUMBER(F308),IF(ABS(F308-E308)&lt;=H308,"PASS","FAIL"),"FAIL")</f>
        <v>PASS</v>
      </c>
      <c r="J308" s="47" t="str">
        <f aca="false">IF(ISNUMBER(F308),IF(ROUND(F308,2)=ROUND(E308,2),"same","differs"),"n/a")</f>
        <v>same</v>
      </c>
    </row>
    <row r="309" customFormat="false" ht="15" hidden="false" customHeight="false" outlineLevel="0" collapsed="false">
      <c r="B309" s="42" t="n">
        <v>302</v>
      </c>
      <c r="C309" s="8" t="s">
        <v>695</v>
      </c>
      <c r="D309" s="8" t="s">
        <v>704</v>
      </c>
      <c r="E309" s="48" t="n">
        <v>9</v>
      </c>
      <c r="F309" s="49" t="n">
        <f aca="false">Liquidity!$C$16</f>
        <v>9</v>
      </c>
      <c r="G309" s="45" t="n">
        <f aca="false">IF(ISNUMBER(F309),F309-E309,"n/a")</f>
        <v>0</v>
      </c>
      <c r="H309" s="46" t="n">
        <v>0.050000001</v>
      </c>
      <c r="I309" s="47" t="str">
        <f aca="false">IF(ISNUMBER(F309),IF(ABS(F309-E309)&lt;=H309,"PASS","FAIL"),"FAIL")</f>
        <v>PASS</v>
      </c>
      <c r="J309" s="47" t="str">
        <f aca="false">IF(ISNUMBER(F309),IF(ROUND(F309,1)=ROUND(E309,1),"same","differs"),"n/a")</f>
        <v>same</v>
      </c>
    </row>
    <row r="310" customFormat="false" ht="15" hidden="false" customHeight="false" outlineLevel="0" collapsed="false">
      <c r="B310" s="42" t="n">
        <v>303</v>
      </c>
      <c r="C310" s="8" t="s">
        <v>695</v>
      </c>
      <c r="D310" s="8" t="s">
        <v>705</v>
      </c>
      <c r="E310" s="12" t="n">
        <v>0.126</v>
      </c>
      <c r="F310" s="57" t="n">
        <f aca="false">Liquidity!$C$25</f>
        <v>0.125714285714286</v>
      </c>
      <c r="G310" s="45" t="n">
        <f aca="false">IF(ISNUMBER(F310),F310-E310,"n/a")</f>
        <v>-0.000285714285714278</v>
      </c>
      <c r="H310" s="46" t="n">
        <v>0.000500001</v>
      </c>
      <c r="I310" s="47" t="str">
        <f aca="false">IF(ISNUMBER(F310),IF(ABS(F310-E310)&lt;=H310,"PASS","FAIL"),"FAIL")</f>
        <v>PASS</v>
      </c>
      <c r="J310" s="47" t="str">
        <f aca="false">IF(ISNUMBER(F310),IF(ROUND(F310,3)=ROUND(E310,3),"same","differs"),"n/a")</f>
        <v>same</v>
      </c>
    </row>
    <row r="311" customFormat="false" ht="15" hidden="false" customHeight="false" outlineLevel="0" collapsed="false">
      <c r="B311" s="42" t="n">
        <v>304</v>
      </c>
      <c r="C311" s="8" t="s">
        <v>695</v>
      </c>
      <c r="D311" s="8" t="s">
        <v>706</v>
      </c>
      <c r="E311" s="48" t="n">
        <v>10.5</v>
      </c>
      <c r="F311" s="49" t="n">
        <f aca="false">Liquidity!$C$26</f>
        <v>10.4878048780488</v>
      </c>
      <c r="G311" s="45" t="n">
        <f aca="false">IF(ISNUMBER(F311),F311-E311,"n/a")</f>
        <v>-0.0121951219512191</v>
      </c>
      <c r="H311" s="46" t="n">
        <v>0.050000001</v>
      </c>
      <c r="I311" s="47" t="str">
        <f aca="false">IF(ISNUMBER(F311),IF(ABS(F311-E311)&lt;=H311,"PASS","FAIL"),"FAIL")</f>
        <v>PASS</v>
      </c>
      <c r="J311" s="47" t="str">
        <f aca="false">IF(ISNUMBER(F311),IF(ROUND(F311,1)=ROUND(E311,1),"same","differs"),"n/a")</f>
        <v>same</v>
      </c>
    </row>
    <row r="312" customFormat="false" ht="15" hidden="false" customHeight="false" outlineLevel="0" collapsed="false">
      <c r="B312" s="42" t="n">
        <v>305</v>
      </c>
      <c r="C312" s="8" t="s">
        <v>695</v>
      </c>
      <c r="D312" s="8" t="s">
        <v>707</v>
      </c>
      <c r="E312" s="43" t="n">
        <v>6.59</v>
      </c>
      <c r="F312" s="44" t="n">
        <f aca="false">Liquidity!$C$27</f>
        <v>6.58536585365854</v>
      </c>
      <c r="G312" s="45" t="n">
        <f aca="false">IF(ISNUMBER(F312),F312-E312,"n/a")</f>
        <v>-0.00463414634146364</v>
      </c>
      <c r="H312" s="46" t="n">
        <v>0.005000001</v>
      </c>
      <c r="I312" s="47" t="str">
        <f aca="false">IF(ISNUMBER(F312),IF(ABS(F312-E312)&lt;=H312,"PASS","FAIL"),"FAIL")</f>
        <v>PASS</v>
      </c>
      <c r="J312" s="47" t="str">
        <f aca="false">IF(ISNUMBER(F312),IF(ROUND(F312,2)=ROUND(E312,2),"same","differs"),"n/a")</f>
        <v>same</v>
      </c>
    </row>
    <row r="313" customFormat="false" ht="15" hidden="false" customHeight="false" outlineLevel="0" collapsed="false">
      <c r="B313" s="42" t="n">
        <v>306</v>
      </c>
      <c r="C313" s="8" t="s">
        <v>695</v>
      </c>
      <c r="D313" s="8" t="s">
        <v>278</v>
      </c>
      <c r="E313" s="12" t="n">
        <v>0.356</v>
      </c>
      <c r="F313" s="57" t="n">
        <f aca="false">Liquidity!$C$28</f>
        <v>0.35609756097561</v>
      </c>
      <c r="G313" s="45" t="n">
        <f aca="false">IF(ISNUMBER(F313),F313-E313,"n/a")</f>
        <v>9.75609756097562E-005</v>
      </c>
      <c r="H313" s="46" t="n">
        <v>0.000500001</v>
      </c>
      <c r="I313" s="47" t="str">
        <f aca="false">IF(ISNUMBER(F313),IF(ABS(F313-E313)&lt;=H313,"PASS","FAIL"),"FAIL")</f>
        <v>PASS</v>
      </c>
      <c r="J313" s="47" t="str">
        <f aca="false">IF(ISNUMBER(F313),IF(ROUND(F313,3)=ROUND(E313,3),"same","differs"),"n/a")</f>
        <v>same</v>
      </c>
    </row>
    <row r="314" customFormat="false" ht="15" hidden="false" customHeight="false" outlineLevel="0" collapsed="false">
      <c r="B314" s="42" t="n">
        <v>307</v>
      </c>
      <c r="C314" s="8" t="s">
        <v>695</v>
      </c>
      <c r="D314" s="8" t="s">
        <v>708</v>
      </c>
      <c r="E314" s="43" t="n">
        <v>2.25</v>
      </c>
      <c r="F314" s="44" t="n">
        <f aca="false">Liquidity!$C$30</f>
        <v>2.25</v>
      </c>
      <c r="G314" s="45" t="n">
        <f aca="false">IF(ISNUMBER(F314),F314-E314,"n/a")</f>
        <v>0</v>
      </c>
      <c r="H314" s="46" t="n">
        <v>0.005000001</v>
      </c>
      <c r="I314" s="47" t="str">
        <f aca="false">IF(ISNUMBER(F314),IF(ABS(F314-E314)&lt;=H314,"PASS","FAIL"),"FAIL")</f>
        <v>PASS</v>
      </c>
      <c r="J314" s="47" t="str">
        <f aca="false">IF(ISNUMBER(F314),IF(ROUND(F314,2)=ROUND(E314,2),"same","differs"),"n/a")</f>
        <v>same</v>
      </c>
    </row>
    <row r="315" customFormat="false" ht="15" hidden="false" customHeight="false" outlineLevel="0" collapsed="false">
      <c r="B315" s="42" t="n">
        <v>308</v>
      </c>
      <c r="C315" s="8" t="s">
        <v>695</v>
      </c>
      <c r="D315" s="8" t="s">
        <v>271</v>
      </c>
      <c r="E315" s="43" t="n">
        <v>9.89</v>
      </c>
      <c r="F315" s="44" t="n">
        <f aca="false">Liquidity!$C$19</f>
        <v>9.88636363636364</v>
      </c>
      <c r="G315" s="45" t="n">
        <f aca="false">IF(ISNUMBER(F315),F315-E315,"n/a")</f>
        <v>-0.00363636363636388</v>
      </c>
      <c r="H315" s="46" t="n">
        <v>0.005000001</v>
      </c>
      <c r="I315" s="47" t="str">
        <f aca="false">IF(ISNUMBER(F315),IF(ABS(F315-E315)&lt;=H315,"PASS","FAIL"),"FAIL")</f>
        <v>PASS</v>
      </c>
      <c r="J315" s="47" t="str">
        <f aca="false">IF(ISNUMBER(F315),IF(ROUND(F315,2)=ROUND(E315,2),"same","differs"),"n/a")</f>
        <v>same</v>
      </c>
    </row>
    <row r="316" customFormat="false" ht="15" hidden="false" customHeight="false" outlineLevel="0" collapsed="false">
      <c r="B316" s="42" t="n">
        <v>309</v>
      </c>
      <c r="C316" s="8" t="s">
        <v>695</v>
      </c>
      <c r="D316" s="8" t="s">
        <v>272</v>
      </c>
      <c r="E316" s="43" t="n">
        <v>6.86</v>
      </c>
      <c r="F316" s="44" t="n">
        <f aca="false">Liquidity!$C$20</f>
        <v>6.85606060606061</v>
      </c>
      <c r="G316" s="45" t="n">
        <f aca="false">IF(ISNUMBER(F316),F316-E316,"n/a")</f>
        <v>-0.00393939393939391</v>
      </c>
      <c r="H316" s="46" t="n">
        <v>0.005000001</v>
      </c>
      <c r="I316" s="47" t="str">
        <f aca="false">IF(ISNUMBER(F316),IF(ABS(F316-E316)&lt;=H316,"PASS","FAIL"),"FAIL")</f>
        <v>PASS</v>
      </c>
      <c r="J316" s="47" t="str">
        <f aca="false">IF(ISNUMBER(F316),IF(ROUND(F316,2)=ROUND(E316,2),"same","differs"),"n/a")</f>
        <v>same</v>
      </c>
    </row>
    <row r="317" customFormat="false" ht="15" hidden="false" customHeight="false" outlineLevel="0" collapsed="false">
      <c r="B317" s="42" t="n">
        <v>310</v>
      </c>
      <c r="C317" s="8" t="s">
        <v>695</v>
      </c>
      <c r="D317" s="8" t="s">
        <v>709</v>
      </c>
      <c r="E317" s="48" t="n">
        <v>145</v>
      </c>
      <c r="F317" s="49" t="n">
        <f aca="false">Liquidity!$C$37</f>
        <v>145</v>
      </c>
      <c r="G317" s="45" t="n">
        <f aca="false">IF(ISNUMBER(F317),F317-E317,"n/a")</f>
        <v>0</v>
      </c>
      <c r="H317" s="46" t="n">
        <v>0.050000001</v>
      </c>
      <c r="I317" s="47" t="str">
        <f aca="false">IF(ISNUMBER(F317),IF(ABS(F317-E317)&lt;=H317,"PASS","FAIL"),"FAIL")</f>
        <v>PASS</v>
      </c>
      <c r="J317" s="47" t="str">
        <f aca="false">IF(ISNUMBER(F317),IF(ROUND(F317,1)=ROUND(E317,1),"same","differs"),"n/a")</f>
        <v>same</v>
      </c>
    </row>
    <row r="318" customFormat="false" ht="15" hidden="false" customHeight="false" outlineLevel="0" collapsed="false">
      <c r="B318" s="42" t="n">
        <v>311</v>
      </c>
      <c r="C318" s="8" t="s">
        <v>695</v>
      </c>
      <c r="D318" s="8" t="s">
        <v>710</v>
      </c>
      <c r="E318" s="48" t="n">
        <v>52.5</v>
      </c>
      <c r="F318" s="49" t="n">
        <f aca="false">Liquidity!$C$38</f>
        <v>52.5</v>
      </c>
      <c r="G318" s="45" t="n">
        <f aca="false">IF(ISNUMBER(F318),F318-E318,"n/a")</f>
        <v>0</v>
      </c>
      <c r="H318" s="46" t="n">
        <v>0.050000001</v>
      </c>
      <c r="I318" s="47" t="str">
        <f aca="false">IF(ISNUMBER(F318),IF(ABS(F318-E318)&lt;=H318,"PASS","FAIL"),"FAIL")</f>
        <v>PASS</v>
      </c>
      <c r="J318" s="47" t="str">
        <f aca="false">IF(ISNUMBER(F318),IF(ROUND(F318,1)=ROUND(E318,1),"same","differs"),"n/a")</f>
        <v>same</v>
      </c>
    </row>
    <row r="319" customFormat="false" ht="15" hidden="false" customHeight="false" outlineLevel="0" collapsed="false">
      <c r="B319" s="42" t="n">
        <v>312</v>
      </c>
      <c r="C319" s="8" t="s">
        <v>695</v>
      </c>
      <c r="D319" s="8" t="s">
        <v>711</v>
      </c>
      <c r="E319" s="48" t="n">
        <v>2.5</v>
      </c>
      <c r="F319" s="49" t="n">
        <f aca="false">Liquidity!$C$39</f>
        <v>2.5</v>
      </c>
      <c r="G319" s="45" t="n">
        <f aca="false">IF(ISNUMBER(F319),F319-E319,"n/a")</f>
        <v>0</v>
      </c>
      <c r="H319" s="46" t="n">
        <v>0.050000001</v>
      </c>
      <c r="I319" s="47" t="str">
        <f aca="false">IF(ISNUMBER(F319),IF(ABS(F319-E319)&lt;=H319,"PASS","FAIL"),"FAIL")</f>
        <v>PASS</v>
      </c>
      <c r="J319" s="47" t="str">
        <f aca="false">IF(ISNUMBER(F319),IF(ROUND(F319,1)=ROUND(E319,1),"same","differs"),"n/a")</f>
        <v>same</v>
      </c>
    </row>
    <row r="320" customFormat="false" ht="15" hidden="false" customHeight="false" outlineLevel="0" collapsed="false">
      <c r="B320" s="42" t="n">
        <v>313</v>
      </c>
      <c r="C320" s="8" t="s">
        <v>695</v>
      </c>
      <c r="D320" s="8" t="s">
        <v>712</v>
      </c>
      <c r="E320" s="48" t="n">
        <v>47.5</v>
      </c>
      <c r="F320" s="49" t="n">
        <f aca="false">Liquidity!$C$40</f>
        <v>47.5</v>
      </c>
      <c r="G320" s="45" t="n">
        <f aca="false">IF(ISNUMBER(F320),F320-E320,"n/a")</f>
        <v>0</v>
      </c>
      <c r="H320" s="46" t="n">
        <v>0.050000001</v>
      </c>
      <c r="I320" s="47" t="str">
        <f aca="false">IF(ISNUMBER(F320),IF(ABS(F320-E320)&lt;=H320,"PASS","FAIL"),"FAIL")</f>
        <v>PASS</v>
      </c>
      <c r="J320" s="47" t="str">
        <f aca="false">IF(ISNUMBER(F320),IF(ROUND(F320,1)=ROUND(E320,1),"same","differs"),"n/a")</f>
        <v>same</v>
      </c>
    </row>
    <row r="321" customFormat="false" ht="15" hidden="false" customHeight="false" outlineLevel="0" collapsed="false">
      <c r="B321" s="42" t="n">
        <v>314</v>
      </c>
      <c r="C321" s="8" t="s">
        <v>695</v>
      </c>
      <c r="D321" s="8" t="s">
        <v>713</v>
      </c>
      <c r="E321" s="48" t="n">
        <v>22.5</v>
      </c>
      <c r="F321" s="49" t="n">
        <f aca="false">Liquidity!$C$41</f>
        <v>22.5</v>
      </c>
      <c r="G321" s="45" t="n">
        <f aca="false">IF(ISNUMBER(F321),F321-E321,"n/a")</f>
        <v>0</v>
      </c>
      <c r="H321" s="46" t="n">
        <v>0.050000001</v>
      </c>
      <c r="I321" s="47" t="str">
        <f aca="false">IF(ISNUMBER(F321),IF(ABS(F321-E321)&lt;=H321,"PASS","FAIL"),"FAIL")</f>
        <v>PASS</v>
      </c>
      <c r="J321" s="47" t="str">
        <f aca="false">IF(ISNUMBER(F321),IF(ROUND(F321,1)=ROUND(E321,1),"same","differs"),"n/a")</f>
        <v>same</v>
      </c>
    </row>
    <row r="322" customFormat="false" ht="15" hidden="false" customHeight="false" outlineLevel="0" collapsed="false">
      <c r="B322" s="42" t="n">
        <v>315</v>
      </c>
      <c r="C322" s="8" t="s">
        <v>695</v>
      </c>
      <c r="D322" s="8" t="s">
        <v>714</v>
      </c>
      <c r="E322" s="12" t="n">
        <v>0.845</v>
      </c>
      <c r="F322" s="57" t="n">
        <f aca="false">Liquidity!$C$42</f>
        <v>0.844827586206897</v>
      </c>
      <c r="G322" s="45" t="n">
        <f aca="false">IF(ISNUMBER(F322),F322-E322,"n/a")</f>
        <v>-0.000172413793103399</v>
      </c>
      <c r="H322" s="46" t="n">
        <v>0.000500001</v>
      </c>
      <c r="I322" s="47" t="str">
        <f aca="false">IF(ISNUMBER(F322),IF(ABS(F322-E322)&lt;=H322,"PASS","FAIL"),"FAIL")</f>
        <v>PASS</v>
      </c>
      <c r="J322" s="47" t="str">
        <f aca="false">IF(ISNUMBER(F322),IF(ROUND(F322,3)=ROUND(E322,3),"same","differs"),"n/a")</f>
        <v>same</v>
      </c>
    </row>
    <row r="323" customFormat="false" ht="15" hidden="false" customHeight="false" outlineLevel="0" collapsed="false">
      <c r="B323" s="42" t="n">
        <v>316</v>
      </c>
      <c r="C323" s="8" t="s">
        <v>695</v>
      </c>
      <c r="D323" s="8" t="s">
        <v>715</v>
      </c>
      <c r="E323" s="48" t="n">
        <v>139.2</v>
      </c>
      <c r="F323" s="49" t="n">
        <f aca="false">Liquidity!$C$51</f>
        <v>139.230769230769</v>
      </c>
      <c r="G323" s="45" t="n">
        <f aca="false">IF(ISNUMBER(F323),F323-E323,"n/a")</f>
        <v>0.0307692307692378</v>
      </c>
      <c r="H323" s="46" t="n">
        <v>0.050000001</v>
      </c>
      <c r="I323" s="47" t="str">
        <f aca="false">IF(ISNUMBER(F323),IF(ABS(F323-E323)&lt;=H323,"PASS","FAIL"),"FAIL")</f>
        <v>PASS</v>
      </c>
      <c r="J323" s="47" t="str">
        <f aca="false">IF(ISNUMBER(F323),IF(ROUND(F323,1)=ROUND(E323,1),"same","differs"),"n/a")</f>
        <v>same</v>
      </c>
    </row>
    <row r="324" customFormat="false" ht="15" hidden="false" customHeight="false" outlineLevel="0" collapsed="false">
      <c r="B324" s="42" t="n">
        <v>317</v>
      </c>
      <c r="C324" s="8" t="s">
        <v>695</v>
      </c>
      <c r="D324" s="8" t="s">
        <v>301</v>
      </c>
      <c r="E324" s="12" t="n">
        <v>0.055</v>
      </c>
      <c r="F324" s="57" t="n">
        <f aca="false">Liquidity!$C$52</f>
        <v>0.0547785547785546</v>
      </c>
      <c r="G324" s="45" t="n">
        <f aca="false">IF(ISNUMBER(F324),F324-E324,"n/a")</f>
        <v>-0.000221445221445356</v>
      </c>
      <c r="H324" s="46" t="n">
        <v>0.000500001</v>
      </c>
      <c r="I324" s="47" t="str">
        <f aca="false">IF(ISNUMBER(F324),IF(ABS(F324-E324)&lt;=H324,"PASS","FAIL"),"FAIL")</f>
        <v>PASS</v>
      </c>
      <c r="J324" s="47" t="str">
        <f aca="false">IF(ISNUMBER(F324),IF(ROUND(F324,3)=ROUND(E324,3),"same","differs"),"n/a")</f>
        <v>same</v>
      </c>
    </row>
    <row r="325" customFormat="false" ht="15" hidden="false" customHeight="false" outlineLevel="0" collapsed="false">
      <c r="B325" s="42" t="n">
        <v>318</v>
      </c>
      <c r="C325" s="8" t="s">
        <v>695</v>
      </c>
      <c r="D325" s="8" t="s">
        <v>716</v>
      </c>
      <c r="E325" s="48" t="n">
        <v>47</v>
      </c>
      <c r="F325" s="49" t="n">
        <f aca="false">Liquidity!$C$53</f>
        <v>47</v>
      </c>
      <c r="G325" s="45" t="n">
        <f aca="false">IF(ISNUMBER(F325),F325-E325,"n/a")</f>
        <v>0</v>
      </c>
      <c r="H325" s="46" t="n">
        <v>0.050000001</v>
      </c>
      <c r="I325" s="47" t="str">
        <f aca="false">IF(ISNUMBER(F325),IF(ABS(F325-E325)&lt;=H325,"PASS","FAIL"),"FAIL")</f>
        <v>PASS</v>
      </c>
      <c r="J325" s="47" t="str">
        <f aca="false">IF(ISNUMBER(F325),IF(ROUND(F325,1)=ROUND(E325,1),"same","differs"),"n/a")</f>
        <v>same</v>
      </c>
    </row>
    <row r="326" customFormat="false" ht="15" hidden="false" customHeight="false" outlineLevel="0" collapsed="false">
      <c r="B326" s="42" t="n">
        <v>319</v>
      </c>
      <c r="C326" s="8" t="s">
        <v>695</v>
      </c>
      <c r="D326" s="8" t="s">
        <v>717</v>
      </c>
      <c r="E326" s="48" t="n">
        <v>14.5</v>
      </c>
      <c r="F326" s="49" t="n">
        <f aca="false">Liquidity!$C$58</f>
        <v>14.5</v>
      </c>
      <c r="G326" s="45" t="n">
        <f aca="false">IF(ISNUMBER(F326),F326-E326,"n/a")</f>
        <v>0</v>
      </c>
      <c r="H326" s="46" t="n">
        <v>0.050000001</v>
      </c>
      <c r="I326" s="47" t="str">
        <f aca="false">IF(ISNUMBER(F326),IF(ABS(F326-E326)&lt;=H326,"PASS","FAIL"),"FAIL")</f>
        <v>PASS</v>
      </c>
      <c r="J326" s="47" t="str">
        <f aca="false">IF(ISNUMBER(F326),IF(ROUND(F326,1)=ROUND(E326,1),"same","differs"),"n/a")</f>
        <v>same</v>
      </c>
    </row>
    <row r="327" customFormat="false" ht="15" hidden="false" customHeight="false" outlineLevel="0" collapsed="false">
      <c r="B327" s="42" t="n">
        <v>320</v>
      </c>
      <c r="C327" s="8" t="s">
        <v>695</v>
      </c>
      <c r="D327" s="8" t="s">
        <v>718</v>
      </c>
      <c r="E327" s="54" t="n">
        <v>11</v>
      </c>
      <c r="F327" s="55" t="n">
        <f aca="false">Liquidity!$C$57</f>
        <v>11</v>
      </c>
      <c r="G327" s="45" t="n">
        <f aca="false">IF(ISNUMBER(F327),F327-E327,"n/a")</f>
        <v>0</v>
      </c>
      <c r="H327" s="46" t="n">
        <v>0.500000001</v>
      </c>
      <c r="I327" s="47" t="str">
        <f aca="false">IF(ISNUMBER(F327),IF(ABS(F327-E327)&lt;=H327,"PASS","FAIL"),"FAIL")</f>
        <v>PASS</v>
      </c>
      <c r="J327" s="47" t="str">
        <f aca="false">IF(ISNUMBER(F327),IF(ROUND(F327,0)=ROUND(E327,0),"same","differs"),"n/a")</f>
        <v>same</v>
      </c>
    </row>
    <row r="328" customFormat="false" ht="15" hidden="false" customHeight="false" outlineLevel="0" collapsed="false">
      <c r="B328" s="42" t="n">
        <v>321</v>
      </c>
      <c r="C328" s="8" t="s">
        <v>695</v>
      </c>
      <c r="D328" s="8" t="s">
        <v>719</v>
      </c>
      <c r="E328" s="48" t="n">
        <v>4.3</v>
      </c>
      <c r="F328" s="49" t="n">
        <f aca="false">Liquidity!$C$59</f>
        <v>4.28571428571429</v>
      </c>
      <c r="G328" s="45" t="n">
        <f aca="false">IF(ISNUMBER(F328),F328-E328,"n/a")</f>
        <v>-0.0142857142857142</v>
      </c>
      <c r="H328" s="46" t="n">
        <v>0.050000001</v>
      </c>
      <c r="I328" s="47" t="str">
        <f aca="false">IF(ISNUMBER(F328),IF(ABS(F328-E328)&lt;=H328,"PASS","FAIL"),"FAIL")</f>
        <v>PASS</v>
      </c>
      <c r="J328" s="47" t="str">
        <f aca="false">IF(ISNUMBER(F328),IF(ROUND(F328,1)=ROUND(E328,1),"same","differs"),"n/a")</f>
        <v>same</v>
      </c>
    </row>
    <row r="329" customFormat="false" ht="15" hidden="false" customHeight="false" outlineLevel="0" collapsed="false">
      <c r="B329" s="42" t="n">
        <v>322</v>
      </c>
      <c r="C329" s="8" t="s">
        <v>720</v>
      </c>
      <c r="D329" s="8" t="s">
        <v>721</v>
      </c>
      <c r="E329" s="43" t="n">
        <v>2.5</v>
      </c>
      <c r="F329" s="44" t="n">
        <f aca="false">Levers!$Q$7</f>
        <v>2.5</v>
      </c>
      <c r="G329" s="45" t="n">
        <f aca="false">IF(ISNUMBER(F329),F329-E329,"n/a")</f>
        <v>0</v>
      </c>
      <c r="H329" s="46" t="n">
        <v>0.005000001</v>
      </c>
      <c r="I329" s="47" t="str">
        <f aca="false">IF(ISNUMBER(F329),IF(ABS(F329-E329)&lt;=H329,"PASS","FAIL"),"FAIL")</f>
        <v>PASS</v>
      </c>
      <c r="J329" s="47" t="str">
        <f aca="false">IF(ISNUMBER(F329),IF(ROUND(F329,2)=ROUND(E329,2),"same","differs"),"n/a")</f>
        <v>same</v>
      </c>
    </row>
    <row r="330" customFormat="false" ht="15" hidden="false" customHeight="false" outlineLevel="0" collapsed="false">
      <c r="B330" s="42" t="n">
        <v>323</v>
      </c>
      <c r="C330" s="8" t="s">
        <v>720</v>
      </c>
      <c r="D330" s="8" t="s">
        <v>722</v>
      </c>
      <c r="E330" s="43" t="n">
        <v>15.53</v>
      </c>
      <c r="F330" s="44" t="n">
        <f aca="false">Levers!$Q$8</f>
        <v>15.5287671232877</v>
      </c>
      <c r="G330" s="45" t="n">
        <f aca="false">IF(ISNUMBER(F330),F330-E330,"n/a")</f>
        <v>-0.00123287671232752</v>
      </c>
      <c r="H330" s="46" t="n">
        <v>0.005000001</v>
      </c>
      <c r="I330" s="47" t="str">
        <f aca="false">IF(ISNUMBER(F330),IF(ABS(F330-E330)&lt;=H330,"PASS","FAIL"),"FAIL")</f>
        <v>PASS</v>
      </c>
      <c r="J330" s="47" t="str">
        <f aca="false">IF(ISNUMBER(F330),IF(ROUND(F330,2)=ROUND(E330,2),"same","differs"),"n/a")</f>
        <v>same</v>
      </c>
    </row>
    <row r="331" customFormat="false" ht="15" hidden="false" customHeight="false" outlineLevel="0" collapsed="false">
      <c r="B331" s="42" t="n">
        <v>324</v>
      </c>
      <c r="C331" s="8" t="s">
        <v>720</v>
      </c>
      <c r="D331" s="8" t="s">
        <v>723</v>
      </c>
      <c r="E331" s="43" t="n">
        <v>-21.35</v>
      </c>
      <c r="F331" s="44" t="n">
        <f aca="false">Levers!$Q$9</f>
        <v>-21.3520547945205</v>
      </c>
      <c r="G331" s="45" t="n">
        <f aca="false">IF(ISNUMBER(F331),F331-E331,"n/a")</f>
        <v>-0.00205479452054647</v>
      </c>
      <c r="H331" s="46" t="n">
        <v>0.005000001</v>
      </c>
      <c r="I331" s="47" t="str">
        <f aca="false">IF(ISNUMBER(F331),IF(ABS(F331-E331)&lt;=H331,"PASS","FAIL"),"FAIL")</f>
        <v>PASS</v>
      </c>
      <c r="J331" s="47" t="str">
        <f aca="false">IF(ISNUMBER(F331),IF(ROUND(F331,2)=ROUND(E331,2),"same","differs"),"n/a")</f>
        <v>same</v>
      </c>
    </row>
    <row r="332" customFormat="false" ht="15" hidden="false" customHeight="false" outlineLevel="0" collapsed="false">
      <c r="B332" s="42" t="n">
        <v>325</v>
      </c>
      <c r="C332" s="8" t="s">
        <v>720</v>
      </c>
      <c r="D332" s="8" t="s">
        <v>724</v>
      </c>
      <c r="E332" s="43" t="n">
        <v>2.25</v>
      </c>
      <c r="F332" s="44" t="n">
        <f aca="false">Levers!$Q$10</f>
        <v>2.25</v>
      </c>
      <c r="G332" s="45" t="n">
        <f aca="false">IF(ISNUMBER(F332),F332-E332,"n/a")</f>
        <v>0</v>
      </c>
      <c r="H332" s="46" t="n">
        <v>0.005000001</v>
      </c>
      <c r="I332" s="47" t="str">
        <f aca="false">IF(ISNUMBER(F332),IF(ABS(F332-E332)&lt;=H332,"PASS","FAIL"),"FAIL")</f>
        <v>PASS</v>
      </c>
      <c r="J332" s="47" t="str">
        <f aca="false">IF(ISNUMBER(F332),IF(ROUND(F332,2)=ROUND(E332,2),"same","differs"),"n/a")</f>
        <v>same</v>
      </c>
    </row>
    <row r="333" customFormat="false" ht="15" hidden="false" customHeight="false" outlineLevel="0" collapsed="false">
      <c r="B333" s="42" t="n">
        <v>326</v>
      </c>
      <c r="C333" s="8" t="s">
        <v>720</v>
      </c>
      <c r="D333" s="8" t="s">
        <v>725</v>
      </c>
      <c r="E333" s="43" t="n">
        <v>9.32</v>
      </c>
      <c r="F333" s="44" t="n">
        <f aca="false">Levers!$Q$11</f>
        <v>9.3172602739726</v>
      </c>
      <c r="G333" s="45" t="n">
        <f aca="false">IF(ISNUMBER(F333),F333-E333,"n/a")</f>
        <v>-0.00273972602739647</v>
      </c>
      <c r="H333" s="46" t="n">
        <v>0.005000001</v>
      </c>
      <c r="I333" s="47" t="str">
        <f aca="false">IF(ISNUMBER(F333),IF(ABS(F333-E333)&lt;=H333,"PASS","FAIL"),"FAIL")</f>
        <v>PASS</v>
      </c>
      <c r="J333" s="47" t="str">
        <f aca="false">IF(ISNUMBER(F333),IF(ROUND(F333,2)=ROUND(E333,2),"same","differs"),"n/a")</f>
        <v>same</v>
      </c>
    </row>
    <row r="334" customFormat="false" ht="15" hidden="false" customHeight="false" outlineLevel="0" collapsed="false">
      <c r="B334" s="42" t="n">
        <v>327</v>
      </c>
      <c r="C334" s="8" t="s">
        <v>720</v>
      </c>
      <c r="D334" s="8" t="s">
        <v>726</v>
      </c>
      <c r="E334" s="43" t="n">
        <v>35.6</v>
      </c>
      <c r="F334" s="44" t="n">
        <f aca="false">Levers!$Q$12</f>
        <v>35.595</v>
      </c>
      <c r="G334" s="45" t="n">
        <f aca="false">IF(ISNUMBER(F334),F334-E334,"n/a")</f>
        <v>-0.00500000000000256</v>
      </c>
      <c r="H334" s="46" t="n">
        <v>0.005000001</v>
      </c>
      <c r="I334" s="47" t="str">
        <f aca="false">IF(ISNUMBER(F334),IF(ABS(F334-E334)&lt;=H334,"PASS","FAIL"),"FAIL")</f>
        <v>PASS</v>
      </c>
      <c r="J334" s="47" t="str">
        <f aca="false">IF(ISNUMBER(F334),IF(ROUND(F334,2)=ROUND(E334,2),"same","differs"),"n/a")</f>
        <v>same</v>
      </c>
    </row>
    <row r="335" customFormat="false" ht="15" hidden="false" customHeight="false" outlineLevel="0" collapsed="false">
      <c r="B335" s="42" t="n">
        <v>328</v>
      </c>
      <c r="C335" s="8" t="s">
        <v>720</v>
      </c>
      <c r="D335" s="8" t="s">
        <v>339</v>
      </c>
      <c r="E335" s="43" t="n">
        <v>43.84</v>
      </c>
      <c r="F335" s="44" t="n">
        <f aca="false">Levers!$Q$13</f>
        <v>43.8389726027397</v>
      </c>
      <c r="G335" s="45" t="n">
        <f aca="false">IF(ISNUMBER(F335),F335-E335,"n/a")</f>
        <v>-0.00102739726028034</v>
      </c>
      <c r="H335" s="46" t="n">
        <v>0.005000001</v>
      </c>
      <c r="I335" s="47" t="str">
        <f aca="false">IF(ISNUMBER(F335),IF(ABS(F335-E335)&lt;=H335,"PASS","FAIL"),"FAIL")</f>
        <v>PASS</v>
      </c>
      <c r="J335" s="47" t="str">
        <f aca="false">IF(ISNUMBER(F335),IF(ROUND(F335,2)=ROUND(E335,2),"same","differs"),"n/a")</f>
        <v>same</v>
      </c>
    </row>
    <row r="336" customFormat="false" ht="15" hidden="false" customHeight="false" outlineLevel="0" collapsed="false">
      <c r="B336" s="42" t="n">
        <v>329</v>
      </c>
      <c r="C336" s="8" t="s">
        <v>720</v>
      </c>
      <c r="D336" s="8" t="s">
        <v>727</v>
      </c>
      <c r="E336" s="43" t="n">
        <v>43.84</v>
      </c>
      <c r="F336" s="44" t="n">
        <f aca="false">Levers!$Q$14</f>
        <v>43.8389726027397</v>
      </c>
      <c r="G336" s="45" t="n">
        <f aca="false">IF(ISNUMBER(F336),F336-E336,"n/a")</f>
        <v>-0.00102739726028034</v>
      </c>
      <c r="H336" s="46" t="n">
        <v>0.005000001</v>
      </c>
      <c r="I336" s="47" t="str">
        <f aca="false">IF(ISNUMBER(F336),IF(ABS(F336-E336)&lt;=H336,"PASS","FAIL"),"FAIL")</f>
        <v>PASS</v>
      </c>
      <c r="J336" s="47" t="str">
        <f aca="false">IF(ISNUMBER(F336),IF(ROUND(F336,2)=ROUND(E336,2),"same","differs"),"n/a")</f>
        <v>same</v>
      </c>
    </row>
    <row r="337" customFormat="false" ht="15" hidden="false" customHeight="false" outlineLevel="0" collapsed="false">
      <c r="B337" s="42" t="n">
        <v>330</v>
      </c>
      <c r="C337" s="8" t="s">
        <v>720</v>
      </c>
      <c r="D337" s="8" t="s">
        <v>728</v>
      </c>
      <c r="E337" s="48" t="n">
        <v>566.8</v>
      </c>
      <c r="F337" s="49" t="n">
        <f aca="false">Levers!$C$31</f>
        <v>566.8</v>
      </c>
      <c r="G337" s="45" t="n">
        <f aca="false">IF(ISNUMBER(F337),F337-E337,"n/a")</f>
        <v>0</v>
      </c>
      <c r="H337" s="46" t="n">
        <v>0.050000001</v>
      </c>
      <c r="I337" s="47" t="str">
        <f aca="false">IF(ISNUMBER(F337),IF(ABS(F337-E337)&lt;=H337,"PASS","FAIL"),"FAIL")</f>
        <v>PASS</v>
      </c>
      <c r="J337" s="47" t="str">
        <f aca="false">IF(ISNUMBER(F337),IF(ROUND(F337,1)=ROUND(E337,1),"same","differs"),"n/a")</f>
        <v>same</v>
      </c>
    </row>
    <row r="338" customFormat="false" ht="15" hidden="false" customHeight="false" outlineLevel="0" collapsed="false">
      <c r="B338" s="42" t="n">
        <v>331</v>
      </c>
      <c r="C338" s="8" t="s">
        <v>720</v>
      </c>
      <c r="D338" s="8" t="s">
        <v>349</v>
      </c>
      <c r="E338" s="50" t="n">
        <v>1.553</v>
      </c>
      <c r="F338" s="51" t="n">
        <f aca="false">Levers!$C$32</f>
        <v>1.55287671232877</v>
      </c>
      <c r="G338" s="45" t="n">
        <f aca="false">IF(ISNUMBER(F338),F338-E338,"n/a")</f>
        <v>-0.000123287671232708</v>
      </c>
      <c r="H338" s="46" t="n">
        <v>0.000500001</v>
      </c>
      <c r="I338" s="47" t="str">
        <f aca="false">IF(ISNUMBER(F338),IF(ABS(F338-E338)&lt;=H338,"PASS","FAIL"),"FAIL")</f>
        <v>PASS</v>
      </c>
      <c r="J338" s="47" t="str">
        <f aca="false">IF(ISNUMBER(F338),IF(ROUND(F338,3)=ROUND(E338,3),"same","differs"),"n/a")</f>
        <v>same</v>
      </c>
    </row>
    <row r="339" customFormat="false" ht="15" hidden="false" customHeight="false" outlineLevel="0" collapsed="false">
      <c r="B339" s="42" t="n">
        <v>332</v>
      </c>
      <c r="C339" s="8" t="s">
        <v>720</v>
      </c>
      <c r="D339" s="8" t="s">
        <v>729</v>
      </c>
      <c r="E339" s="43" t="n">
        <v>15.53</v>
      </c>
      <c r="F339" s="44" t="n">
        <f aca="false">Levers!$C$33</f>
        <v>15.5287671232877</v>
      </c>
      <c r="G339" s="45" t="n">
        <f aca="false">IF(ISNUMBER(F339),F339-E339,"n/a")</f>
        <v>-0.00123287671232752</v>
      </c>
      <c r="H339" s="46" t="n">
        <v>0.005000001</v>
      </c>
      <c r="I339" s="47" t="str">
        <f aca="false">IF(ISNUMBER(F339),IF(ABS(F339-E339)&lt;=H339,"PASS","FAIL"),"FAIL")</f>
        <v>PASS</v>
      </c>
      <c r="J339" s="47" t="str">
        <f aca="false">IF(ISNUMBER(F339),IF(ROUND(F339,2)=ROUND(E339,2),"same","differs"),"n/a")</f>
        <v>same</v>
      </c>
    </row>
    <row r="340" customFormat="false" ht="15" hidden="false" customHeight="false" outlineLevel="0" collapsed="false">
      <c r="B340" s="42" t="n">
        <v>333</v>
      </c>
      <c r="C340" s="8" t="s">
        <v>720</v>
      </c>
      <c r="D340" s="8" t="s">
        <v>730</v>
      </c>
      <c r="E340" s="54" t="n">
        <v>55</v>
      </c>
      <c r="F340" s="55" t="n">
        <f aca="false">Levers!$C$34</f>
        <v>55</v>
      </c>
      <c r="G340" s="45" t="n">
        <f aca="false">IF(ISNUMBER(F340),F340-E340,"n/a")</f>
        <v>0</v>
      </c>
      <c r="H340" s="46" t="n">
        <v>0.500000001</v>
      </c>
      <c r="I340" s="47" t="str">
        <f aca="false">IF(ISNUMBER(F340),IF(ABS(F340-E340)&lt;=H340,"PASS","FAIL"),"FAIL")</f>
        <v>PASS</v>
      </c>
      <c r="J340" s="47" t="str">
        <f aca="false">IF(ISNUMBER(F340),IF(ROUND(F340,0)=ROUND(E340,0),"same","differs"),"n/a")</f>
        <v>same</v>
      </c>
    </row>
    <row r="341" customFormat="false" ht="15" hidden="false" customHeight="false" outlineLevel="0" collapsed="false">
      <c r="B341" s="42" t="n">
        <v>334</v>
      </c>
      <c r="C341" s="8" t="s">
        <v>720</v>
      </c>
      <c r="D341" s="8" t="s">
        <v>731</v>
      </c>
      <c r="E341" s="43" t="n">
        <v>21.35</v>
      </c>
      <c r="F341" s="44" t="n">
        <f aca="false">Levers!$C$35</f>
        <v>21.3520547945205</v>
      </c>
      <c r="G341" s="45" t="n">
        <f aca="false">IF(ISNUMBER(F341),F341-E341,"n/a")</f>
        <v>0.00205479452054647</v>
      </c>
      <c r="H341" s="46" t="n">
        <v>0.005000001</v>
      </c>
      <c r="I341" s="47" t="str">
        <f aca="false">IF(ISNUMBER(F341),IF(ABS(F341-E341)&lt;=H341,"PASS","FAIL"),"FAIL")</f>
        <v>PASS</v>
      </c>
      <c r="J341" s="47" t="str">
        <f aca="false">IF(ISNUMBER(F341),IF(ROUND(F341,2)=ROUND(E341,2),"same","differs"),"n/a")</f>
        <v>same</v>
      </c>
    </row>
    <row r="342" customFormat="false" ht="15" hidden="false" customHeight="false" outlineLevel="0" collapsed="false">
      <c r="B342" s="42" t="n">
        <v>335</v>
      </c>
      <c r="C342" s="8" t="s">
        <v>720</v>
      </c>
      <c r="D342" s="8" t="s">
        <v>354</v>
      </c>
      <c r="E342" s="43" t="n">
        <v>-5.82</v>
      </c>
      <c r="F342" s="44" t="n">
        <f aca="false">Levers!$C$36</f>
        <v>-5.82328767123288</v>
      </c>
      <c r="G342" s="45" t="n">
        <f aca="false">IF(ISNUMBER(F342),F342-E342,"n/a")</f>
        <v>-0.00328767123287577</v>
      </c>
      <c r="H342" s="46" t="n">
        <v>0.005000001</v>
      </c>
      <c r="I342" s="47" t="str">
        <f aca="false">IF(ISNUMBER(F342),IF(ABS(F342-E342)&lt;=H342,"PASS","FAIL"),"FAIL")</f>
        <v>PASS</v>
      </c>
      <c r="J342" s="47" t="str">
        <f aca="false">IF(ISNUMBER(F342),IF(ROUND(F342,2)=ROUND(E342,2),"same","differs"),"n/a")</f>
        <v>same</v>
      </c>
    </row>
    <row r="343" customFormat="false" ht="15" hidden="false" customHeight="false" outlineLevel="0" collapsed="false">
      <c r="B343" s="42" t="n">
        <v>336</v>
      </c>
      <c r="C343" s="8" t="s">
        <v>720</v>
      </c>
      <c r="D343" s="8" t="s">
        <v>355</v>
      </c>
      <c r="E343" s="12" t="n">
        <v>0.182</v>
      </c>
      <c r="F343" s="57" t="n">
        <f aca="false">Levers!$C$37</f>
        <v>0.181818181818182</v>
      </c>
      <c r="G343" s="45" t="n">
        <f aca="false">IF(ISNUMBER(F343),F343-E343,"n/a")</f>
        <v>-0.000181818181818172</v>
      </c>
      <c r="H343" s="46" t="n">
        <v>0.000500001</v>
      </c>
      <c r="I343" s="47" t="str">
        <f aca="false">IF(ISNUMBER(F343),IF(ABS(F343-E343)&lt;=H343,"PASS","FAIL"),"FAIL")</f>
        <v>PASS</v>
      </c>
      <c r="J343" s="47" t="str">
        <f aca="false">IF(ISNUMBER(F343),IF(ROUND(F343,3)=ROUND(E343,3),"same","differs"),"n/a")</f>
        <v>same</v>
      </c>
    </row>
    <row r="344" customFormat="false" ht="15" hidden="false" customHeight="false" outlineLevel="0" collapsed="false">
      <c r="B344" s="42" t="n">
        <v>337</v>
      </c>
      <c r="C344" s="8" t="s">
        <v>720</v>
      </c>
      <c r="D344" s="8" t="s">
        <v>362</v>
      </c>
      <c r="E344" s="43" t="n">
        <v>2.5</v>
      </c>
      <c r="F344" s="44" t="n">
        <f aca="false">Levers!$C$46</f>
        <v>2.5</v>
      </c>
      <c r="G344" s="45" t="n">
        <f aca="false">IF(ISNUMBER(F344),F344-E344,"n/a")</f>
        <v>0</v>
      </c>
      <c r="H344" s="46" t="n">
        <v>0.005000001</v>
      </c>
      <c r="I344" s="47" t="str">
        <f aca="false">IF(ISNUMBER(F344),IF(ABS(F344-E344)&lt;=H344,"PASS","FAIL"),"FAIL")</f>
        <v>PASS</v>
      </c>
      <c r="J344" s="47" t="str">
        <f aca="false">IF(ISNUMBER(F344),IF(ROUND(F344,2)=ROUND(E344,2),"same","differs"),"n/a")</f>
        <v>same</v>
      </c>
    </row>
    <row r="345" customFormat="false" ht="15" hidden="false" customHeight="false" outlineLevel="0" collapsed="false">
      <c r="B345" s="42" t="n">
        <v>338</v>
      </c>
      <c r="C345" s="8" t="s">
        <v>720</v>
      </c>
      <c r="D345" s="8" t="s">
        <v>363</v>
      </c>
      <c r="E345" s="43" t="n">
        <v>2.25</v>
      </c>
      <c r="F345" s="44" t="n">
        <f aca="false">Levers!$C$47</f>
        <v>2.25</v>
      </c>
      <c r="G345" s="45" t="n">
        <f aca="false">IF(ISNUMBER(F345),F345-E345,"n/a")</f>
        <v>0</v>
      </c>
      <c r="H345" s="46" t="n">
        <v>0.005000001</v>
      </c>
      <c r="I345" s="47" t="str">
        <f aca="false">IF(ISNUMBER(F345),IF(ABS(F345-E345)&lt;=H345,"PASS","FAIL"),"FAIL")</f>
        <v>PASS</v>
      </c>
      <c r="J345" s="47" t="str">
        <f aca="false">IF(ISNUMBER(F345),IF(ROUND(F345,2)=ROUND(E345,2),"same","differs"),"n/a")</f>
        <v>same</v>
      </c>
    </row>
    <row r="346" customFormat="false" ht="15" hidden="false" customHeight="false" outlineLevel="0" collapsed="false">
      <c r="B346" s="42" t="n">
        <v>339</v>
      </c>
      <c r="C346" s="8" t="s">
        <v>720</v>
      </c>
      <c r="D346" s="8" t="s">
        <v>144</v>
      </c>
      <c r="E346" s="43" t="n">
        <v>9.32</v>
      </c>
      <c r="F346" s="44" t="n">
        <f aca="false">Levers!$C$48</f>
        <v>9.3172602739726</v>
      </c>
      <c r="G346" s="45" t="n">
        <f aca="false">IF(ISNUMBER(F346),F346-E346,"n/a")</f>
        <v>-0.00273972602739647</v>
      </c>
      <c r="H346" s="46" t="n">
        <v>0.005000001</v>
      </c>
      <c r="I346" s="47" t="str">
        <f aca="false">IF(ISNUMBER(F346),IF(ABS(F346-E346)&lt;=H346,"PASS","FAIL"),"FAIL")</f>
        <v>PASS</v>
      </c>
      <c r="J346" s="47" t="str">
        <f aca="false">IF(ISNUMBER(F346),IF(ROUND(F346,2)=ROUND(E346,2),"same","differs"),"n/a")</f>
        <v>same</v>
      </c>
    </row>
    <row r="347" customFormat="false" ht="15" hidden="false" customHeight="false" outlineLevel="0" collapsed="false">
      <c r="B347" s="42" t="n">
        <v>340</v>
      </c>
      <c r="C347" s="8" t="s">
        <v>720</v>
      </c>
      <c r="D347" s="8" t="s">
        <v>732</v>
      </c>
      <c r="E347" s="48" t="n">
        <v>36</v>
      </c>
      <c r="F347" s="49" t="n">
        <f aca="false">Levers!$C$49</f>
        <v>36</v>
      </c>
      <c r="G347" s="45" t="n">
        <f aca="false">IF(ISNUMBER(F347),F347-E347,"n/a")</f>
        <v>0</v>
      </c>
      <c r="H347" s="46" t="n">
        <v>0.050000001</v>
      </c>
      <c r="I347" s="47" t="str">
        <f aca="false">IF(ISNUMBER(F347),IF(ABS(F347-E347)&lt;=H347,"PASS","FAIL"),"FAIL")</f>
        <v>PASS</v>
      </c>
      <c r="J347" s="47" t="str">
        <f aca="false">IF(ISNUMBER(F347),IF(ROUND(F347,1)=ROUND(E347,1),"same","differs"),"n/a")</f>
        <v>same</v>
      </c>
    </row>
    <row r="348" customFormat="false" ht="15" hidden="false" customHeight="false" outlineLevel="0" collapsed="false">
      <c r="B348" s="42" t="n">
        <v>341</v>
      </c>
      <c r="C348" s="8" t="s">
        <v>720</v>
      </c>
      <c r="D348" s="8" t="s">
        <v>733</v>
      </c>
      <c r="E348" s="54" t="n">
        <v>9</v>
      </c>
      <c r="F348" s="55" t="n">
        <f aca="false">Levers!$C$50</f>
        <v>9</v>
      </c>
      <c r="G348" s="45" t="n">
        <f aca="false">IF(ISNUMBER(F348),F348-E348,"n/a")</f>
        <v>0</v>
      </c>
      <c r="H348" s="46" t="n">
        <v>0.500000001</v>
      </c>
      <c r="I348" s="47" t="str">
        <f aca="false">IF(ISNUMBER(F348),IF(ABS(F348-E348)&lt;=H348,"PASS","FAIL"),"FAIL")</f>
        <v>PASS</v>
      </c>
      <c r="J348" s="47" t="str">
        <f aca="false">IF(ISNUMBER(F348),IF(ROUND(F348,0)=ROUND(E348,0),"same","differs"),"n/a")</f>
        <v>same</v>
      </c>
    </row>
    <row r="349" customFormat="false" ht="15" hidden="false" customHeight="false" outlineLevel="0" collapsed="false">
      <c r="B349" s="42" t="n">
        <v>342</v>
      </c>
      <c r="C349" s="8" t="s">
        <v>720</v>
      </c>
      <c r="D349" s="8" t="s">
        <v>734</v>
      </c>
      <c r="E349" s="50" t="n">
        <v>0.405</v>
      </c>
      <c r="F349" s="51" t="n">
        <f aca="false">Levers!$C$51</f>
        <v>0.405</v>
      </c>
      <c r="G349" s="45" t="n">
        <f aca="false">IF(ISNUMBER(F349),F349-E349,"n/a")</f>
        <v>0</v>
      </c>
      <c r="H349" s="46" t="n">
        <v>0.000500001</v>
      </c>
      <c r="I349" s="47" t="str">
        <f aca="false">IF(ISNUMBER(F349),IF(ABS(F349-E349)&lt;=H349,"PASS","FAIL"),"FAIL")</f>
        <v>PASS</v>
      </c>
      <c r="J349" s="47" t="str">
        <f aca="false">IF(ISNUMBER(F349),IF(ROUND(F349,3)=ROUND(E349,3),"same","differs"),"n/a")</f>
        <v>same</v>
      </c>
    </row>
    <row r="350" customFormat="false" ht="15" hidden="false" customHeight="false" outlineLevel="0" collapsed="false">
      <c r="B350" s="42" t="n">
        <v>343</v>
      </c>
      <c r="C350" s="8" t="s">
        <v>720</v>
      </c>
      <c r="D350" s="8" t="s">
        <v>735</v>
      </c>
      <c r="E350" s="43" t="n">
        <v>35.6</v>
      </c>
      <c r="F350" s="44" t="n">
        <f aca="false">Levers!$C$52</f>
        <v>35.595</v>
      </c>
      <c r="G350" s="45" t="n">
        <f aca="false">IF(ISNUMBER(F350),F350-E350,"n/a")</f>
        <v>-0.00500000000000256</v>
      </c>
      <c r="H350" s="46" t="n">
        <v>0.005000001</v>
      </c>
      <c r="I350" s="47" t="str">
        <f aca="false">IF(ISNUMBER(F350),IF(ABS(F350-E350)&lt;=H350,"PASS","FAIL"),"FAIL")</f>
        <v>PASS</v>
      </c>
      <c r="J350" s="47" t="str">
        <f aca="false">IF(ISNUMBER(F350),IF(ROUND(F350,2)=ROUND(E350,2),"same","differs"),"n/a")</f>
        <v>same</v>
      </c>
    </row>
    <row r="351" customFormat="false" ht="15" hidden="false" customHeight="false" outlineLevel="0" collapsed="false">
      <c r="B351" s="42" t="n">
        <v>344</v>
      </c>
      <c r="C351" s="8" t="s">
        <v>720</v>
      </c>
      <c r="D351" s="8" t="s">
        <v>736</v>
      </c>
      <c r="E351" s="43" t="n">
        <v>8.18</v>
      </c>
      <c r="F351" s="44" t="n">
        <f aca="false">Levers!$C$59</f>
        <v>8.18181818181818</v>
      </c>
      <c r="G351" s="45" t="n">
        <f aca="false">IF(ISNUMBER(F351),F351-E351,"n/a")</f>
        <v>0.00181818181818194</v>
      </c>
      <c r="H351" s="46" t="n">
        <v>0.005000001</v>
      </c>
      <c r="I351" s="47" t="str">
        <f aca="false">IF(ISNUMBER(F351),IF(ABS(F351-E351)&lt;=H351,"PASS","FAIL"),"FAIL")</f>
        <v>PASS</v>
      </c>
      <c r="J351" s="47" t="str">
        <f aca="false">IF(ISNUMBER(F351),IF(ROUND(F351,2)=ROUND(E351,2),"same","differs"),"n/a")</f>
        <v>same</v>
      </c>
    </row>
    <row r="352" customFormat="false" ht="15" hidden="false" customHeight="false" outlineLevel="0" collapsed="false">
      <c r="B352" s="42" t="n">
        <v>345</v>
      </c>
      <c r="C352" s="8" t="s">
        <v>720</v>
      </c>
      <c r="D352" s="8" t="s">
        <v>737</v>
      </c>
      <c r="E352" s="54" t="n">
        <v>0</v>
      </c>
      <c r="F352" s="55" t="n">
        <f aca="false">Levers!$C$61</f>
        <v>0</v>
      </c>
      <c r="G352" s="45" t="n">
        <f aca="false">IF(ISNUMBER(F352),F352-E352,"n/a")</f>
        <v>0</v>
      </c>
      <c r="H352" s="46" t="n">
        <v>0.500000001</v>
      </c>
      <c r="I352" s="47" t="str">
        <f aca="false">IF(ISNUMBER(F352),IF(ABS(F352-E352)&lt;=H352,"PASS","FAIL"),"FAIL")</f>
        <v>PASS</v>
      </c>
      <c r="J352" s="47" t="str">
        <f aca="false">IF(ISNUMBER(F352),IF(ROUND(F352,0)=ROUND(E352,0),"same","differs"),"n/a")</f>
        <v>same</v>
      </c>
    </row>
    <row r="353" customFormat="false" ht="15" hidden="false" customHeight="false" outlineLevel="0" collapsed="false">
      <c r="B353" s="42" t="n">
        <v>346</v>
      </c>
      <c r="C353" s="8" t="s">
        <v>720</v>
      </c>
      <c r="D353" s="8" t="s">
        <v>738</v>
      </c>
      <c r="E353" s="43" t="n">
        <v>6.8</v>
      </c>
      <c r="F353" s="44" t="n">
        <f aca="false">Levers!$C$63</f>
        <v>6.79841897233202</v>
      </c>
      <c r="G353" s="45" t="n">
        <f aca="false">IF(ISNUMBER(F353),F353-E353,"n/a")</f>
        <v>-0.00158102766798418</v>
      </c>
      <c r="H353" s="46" t="n">
        <v>0.005000001</v>
      </c>
      <c r="I353" s="47" t="str">
        <f aca="false">IF(ISNUMBER(F353),IF(ABS(F353-E353)&lt;=H353,"PASS","FAIL"),"FAIL")</f>
        <v>PASS</v>
      </c>
      <c r="J353" s="47" t="str">
        <f aca="false">IF(ISNUMBER(F353),IF(ROUND(F353,2)=ROUND(E353,2),"same","differs"),"n/a")</f>
        <v>same</v>
      </c>
    </row>
    <row r="354" customFormat="false" ht="15" hidden="false" customHeight="false" outlineLevel="0" collapsed="false">
      <c r="B354" s="42" t="n">
        <v>347</v>
      </c>
      <c r="C354" s="8" t="s">
        <v>720</v>
      </c>
      <c r="D354" s="8" t="s">
        <v>739</v>
      </c>
      <c r="E354" s="43" t="n">
        <v>25.12</v>
      </c>
      <c r="F354" s="44" t="n">
        <f aca="false">Levers!$C$19</f>
        <v>25.115</v>
      </c>
      <c r="G354" s="45" t="n">
        <f aca="false">IF(ISNUMBER(F354),F354-E354,"n/a")</f>
        <v>-0.00499999999996703</v>
      </c>
      <c r="H354" s="46" t="n">
        <v>0.005000001</v>
      </c>
      <c r="I354" s="47" t="str">
        <f aca="false">IF(ISNUMBER(F354),IF(ABS(F354-E354)&lt;=H354,"PASS","FAIL"),"FAIL")</f>
        <v>PASS</v>
      </c>
      <c r="J354" s="47" t="str">
        <f aca="false">IF(ISNUMBER(F354),IF(ROUND(F354,2)=ROUND(E354,2),"same","differs"),"n/a")</f>
        <v>same</v>
      </c>
    </row>
    <row r="355" customFormat="false" ht="15" hidden="false" customHeight="false" outlineLevel="0" collapsed="false">
      <c r="B355" s="42" t="n">
        <v>348</v>
      </c>
      <c r="C355" s="8" t="s">
        <v>720</v>
      </c>
      <c r="D355" s="8" t="s">
        <v>338</v>
      </c>
      <c r="E355" s="43" t="n">
        <v>1.93</v>
      </c>
      <c r="F355" s="44" t="n">
        <f aca="false">Levers!$C$20</f>
        <v>1.93192307692308</v>
      </c>
      <c r="G355" s="45" t="n">
        <f aca="false">IF(ISNUMBER(F355),F355-E355,"n/a")</f>
        <v>0.00192307692307958</v>
      </c>
      <c r="H355" s="46" t="n">
        <v>0.005000001</v>
      </c>
      <c r="I355" s="47" t="str">
        <f aca="false">IF(ISNUMBER(F355),IF(ABS(F355-E355)&lt;=H355,"PASS","FAIL"),"FAIL")</f>
        <v>PASS</v>
      </c>
      <c r="J355" s="47" t="str">
        <f aca="false">IF(ISNUMBER(F355),IF(ROUND(F355,2)=ROUND(E355,2),"same","differs"),"n/a")</f>
        <v>same</v>
      </c>
    </row>
    <row r="356" customFormat="false" ht="15" hidden="false" customHeight="false" outlineLevel="0" collapsed="false">
      <c r="B356" s="42" t="n">
        <v>349</v>
      </c>
      <c r="C356" s="8" t="s">
        <v>720</v>
      </c>
      <c r="D356" s="8" t="s">
        <v>740</v>
      </c>
      <c r="E356" s="48" t="n">
        <v>43.8</v>
      </c>
      <c r="F356" s="49" t="n">
        <f aca="false">Levers!$C$21</f>
        <v>43.8389726027397</v>
      </c>
      <c r="G356" s="45" t="n">
        <f aca="false">IF(ISNUMBER(F356),F356-E356,"n/a")</f>
        <v>0.0389726027397259</v>
      </c>
      <c r="H356" s="46" t="n">
        <v>0.050000001</v>
      </c>
      <c r="I356" s="47" t="str">
        <f aca="false">IF(ISNUMBER(F356),IF(ABS(F356-E356)&lt;=H356,"PASS","FAIL"),"FAIL")</f>
        <v>PASS</v>
      </c>
      <c r="J356" s="47" t="str">
        <f aca="false">IF(ISNUMBER(F356),IF(ROUND(F356,1)=ROUND(E356,1),"same","differs"),"n/a")</f>
        <v>same</v>
      </c>
    </row>
    <row r="357" customFormat="false" ht="15" hidden="false" customHeight="false" outlineLevel="0" collapsed="false">
      <c r="B357" s="42" t="n">
        <v>350</v>
      </c>
      <c r="C357" s="8" t="s">
        <v>720</v>
      </c>
      <c r="D357" s="8" t="s">
        <v>340</v>
      </c>
      <c r="E357" s="54" t="n">
        <v>23</v>
      </c>
      <c r="F357" s="55" t="n">
        <f aca="false">Levers!$C$22</f>
        <v>22.6918830912051</v>
      </c>
      <c r="G357" s="45" t="n">
        <f aca="false">IF(ISNUMBER(F357),F357-E357,"n/a")</f>
        <v>-0.308116908794919</v>
      </c>
      <c r="H357" s="46" t="n">
        <v>0.500000001</v>
      </c>
      <c r="I357" s="47" t="str">
        <f aca="false">IF(ISNUMBER(F357),IF(ABS(F357-E357)&lt;=H357,"PASS","FAIL"),"FAIL")</f>
        <v>PASS</v>
      </c>
      <c r="J357" s="47" t="str">
        <f aca="false">IF(ISNUMBER(F357),IF(ROUND(F357,0)=ROUND(E357,0),"same","differs"),"n/a")</f>
        <v>same</v>
      </c>
    </row>
    <row r="358" customFormat="false" ht="15" hidden="false" customHeight="false" outlineLevel="0" collapsed="false">
      <c r="B358" s="42" t="n">
        <v>351</v>
      </c>
      <c r="C358" s="8" t="s">
        <v>720</v>
      </c>
      <c r="D358" s="8" t="s">
        <v>741</v>
      </c>
      <c r="E358" s="48" t="n">
        <v>23.4</v>
      </c>
      <c r="F358" s="49" t="n">
        <f aca="false">Levers!$C$24</f>
        <v>23.4</v>
      </c>
      <c r="G358" s="45" t="n">
        <f aca="false">IF(ISNUMBER(F358),F358-E358,"n/a")</f>
        <v>0</v>
      </c>
      <c r="H358" s="46" t="n">
        <v>0.050000001</v>
      </c>
      <c r="I358" s="47" t="str">
        <f aca="false">IF(ISNUMBER(F358),IF(ABS(F358-E358)&lt;=H358,"PASS","FAIL"),"FAIL")</f>
        <v>PASS</v>
      </c>
      <c r="J358" s="47" t="str">
        <f aca="false">IF(ISNUMBER(F358),IF(ROUND(F358,1)=ROUND(E358,1),"same","differs"),"n/a")</f>
        <v>same</v>
      </c>
    </row>
    <row r="359" customFormat="false" ht="15" hidden="false" customHeight="false" outlineLevel="0" collapsed="false">
      <c r="B359" s="42" t="n">
        <v>352</v>
      </c>
      <c r="C359" s="8" t="s">
        <v>720</v>
      </c>
      <c r="D359" s="8" t="s">
        <v>343</v>
      </c>
      <c r="E359" s="48" t="n">
        <v>54.5</v>
      </c>
      <c r="F359" s="49" t="n">
        <f aca="false">Levers!$C$25</f>
        <v>54.5</v>
      </c>
      <c r="G359" s="45" t="n">
        <f aca="false">IF(ISNUMBER(F359),F359-E359,"n/a")</f>
        <v>0</v>
      </c>
      <c r="H359" s="46" t="n">
        <v>0.050000001</v>
      </c>
      <c r="I359" s="47" t="str">
        <f aca="false">IF(ISNUMBER(F359),IF(ABS(F359-E359)&lt;=H359,"PASS","FAIL"),"FAIL")</f>
        <v>PASS</v>
      </c>
      <c r="J359" s="47" t="str">
        <f aca="false">IF(ISNUMBER(F359),IF(ROUND(F359,1)=ROUND(E359,1),"same","differs"),"n/a")</f>
        <v>same</v>
      </c>
    </row>
    <row r="360" customFormat="false" ht="15" hidden="false" customHeight="false" outlineLevel="0" collapsed="false">
      <c r="B360" s="42" t="n">
        <v>353</v>
      </c>
      <c r="C360" s="8" t="s">
        <v>720</v>
      </c>
      <c r="D360" s="8" t="s">
        <v>344</v>
      </c>
      <c r="E360" s="43" t="n">
        <v>1.05</v>
      </c>
      <c r="F360" s="44" t="n">
        <f aca="false">Levers!$C$26</f>
        <v>1.04807692307692</v>
      </c>
      <c r="G360" s="45" t="n">
        <f aca="false">IF(ISNUMBER(F360),F360-E360,"n/a")</f>
        <v>-0.00192307692307692</v>
      </c>
      <c r="H360" s="46" t="n">
        <v>0.005000001</v>
      </c>
      <c r="I360" s="47" t="str">
        <f aca="false">IF(ISNUMBER(F360),IF(ABS(F360-E360)&lt;=H360,"PASS","FAIL"),"FAIL")</f>
        <v>PASS</v>
      </c>
      <c r="J360" s="47" t="str">
        <f aca="false">IF(ISNUMBER(F360),IF(ROUND(F360,2)=ROUND(E360,2),"same","differs"),"n/a")</f>
        <v>same</v>
      </c>
    </row>
    <row r="361" customFormat="false" ht="15" hidden="false" customHeight="false" outlineLevel="0" collapsed="false">
      <c r="B361" s="42" t="n">
        <v>354</v>
      </c>
      <c r="C361" s="8" t="s">
        <v>720</v>
      </c>
      <c r="D361" s="8" t="s">
        <v>345</v>
      </c>
      <c r="E361" s="54" t="n">
        <v>42</v>
      </c>
      <c r="F361" s="55" t="n">
        <f aca="false">Levers!$C$27</f>
        <v>41.8280105567425</v>
      </c>
      <c r="G361" s="45" t="n">
        <f aca="false">IF(ISNUMBER(F361),F361-E361,"n/a")</f>
        <v>-0.171989443257516</v>
      </c>
      <c r="H361" s="46" t="n">
        <v>0.500000001</v>
      </c>
      <c r="I361" s="47" t="str">
        <f aca="false">IF(ISNUMBER(F361),IF(ABS(F361-E361)&lt;=H361,"PASS","FAIL"),"FAIL")</f>
        <v>PASS</v>
      </c>
      <c r="J361" s="47" t="str">
        <f aca="false">IF(ISNUMBER(F361),IF(ROUND(F361,0)=ROUND(E361,0),"same","differs"),"n/a")</f>
        <v>same</v>
      </c>
    </row>
    <row r="362" customFormat="false" ht="15" hidden="false" customHeight="false" outlineLevel="0" collapsed="false">
      <c r="B362" s="42" t="n">
        <v>355</v>
      </c>
      <c r="C362" s="8" t="s">
        <v>742</v>
      </c>
      <c r="D362" s="8" t="s">
        <v>743</v>
      </c>
      <c r="E362" s="43" t="n">
        <v>-0.6</v>
      </c>
      <c r="F362" s="44" t="n">
        <f aca="false">Variance!$C$9</f>
        <v>-0.599999999999998</v>
      </c>
      <c r="G362" s="45" t="n">
        <f aca="false">IF(ISNUMBER(F362),F362-E362,"n/a")</f>
        <v>0</v>
      </c>
      <c r="H362" s="46" t="n">
        <v>0.005000001</v>
      </c>
      <c r="I362" s="47" t="str">
        <f aca="false">IF(ISNUMBER(F362),IF(ABS(F362-E362)&lt;=H362,"PASS","FAIL"),"FAIL")</f>
        <v>PASS</v>
      </c>
      <c r="J362" s="47" t="str">
        <f aca="false">IF(ISNUMBER(F362),IF(ROUND(F362,2)=ROUND(E362,2),"same","differs"),"n/a")</f>
        <v>same</v>
      </c>
    </row>
    <row r="363" customFormat="false" ht="15" hidden="false" customHeight="false" outlineLevel="0" collapsed="false">
      <c r="B363" s="42" t="n">
        <v>356</v>
      </c>
      <c r="C363" s="8" t="s">
        <v>742</v>
      </c>
      <c r="D363" s="8" t="s">
        <v>744</v>
      </c>
      <c r="E363" s="43" t="n">
        <v>0.7</v>
      </c>
      <c r="F363" s="44" t="n">
        <f aca="false">Variance!$D$9</f>
        <v>0.699999999999999</v>
      </c>
      <c r="G363" s="45" t="n">
        <f aca="false">IF(ISNUMBER(F363),F363-E363,"n/a")</f>
        <v>0</v>
      </c>
      <c r="H363" s="46" t="n">
        <v>0.005000001</v>
      </c>
      <c r="I363" s="47" t="str">
        <f aca="false">IF(ISNUMBER(F363),IF(ABS(F363-E363)&lt;=H363,"PASS","FAIL"),"FAIL")</f>
        <v>PASS</v>
      </c>
      <c r="J363" s="47" t="str">
        <f aca="false">IF(ISNUMBER(F363),IF(ROUND(F363,2)=ROUND(E363,2),"same","differs"),"n/a")</f>
        <v>same</v>
      </c>
    </row>
    <row r="364" customFormat="false" ht="15" hidden="false" customHeight="false" outlineLevel="0" collapsed="false">
      <c r="B364" s="42" t="n">
        <v>357</v>
      </c>
      <c r="C364" s="8" t="s">
        <v>742</v>
      </c>
      <c r="D364" s="8" t="s">
        <v>745</v>
      </c>
      <c r="E364" s="43" t="n">
        <v>-1.1</v>
      </c>
      <c r="F364" s="44" t="n">
        <f aca="false">Variance!$E$9</f>
        <v>-1.1</v>
      </c>
      <c r="G364" s="45" t="n">
        <f aca="false">IF(ISNUMBER(F364),F364-E364,"n/a")</f>
        <v>0</v>
      </c>
      <c r="H364" s="46" t="n">
        <v>0.005000001</v>
      </c>
      <c r="I364" s="47" t="str">
        <f aca="false">IF(ISNUMBER(F364),IF(ABS(F364-E364)&lt;=H364,"PASS","FAIL"),"FAIL")</f>
        <v>PASS</v>
      </c>
      <c r="J364" s="47" t="str">
        <f aca="false">IF(ISNUMBER(F364),IF(ROUND(F364,2)=ROUND(E364,2),"same","differs"),"n/a")</f>
        <v>same</v>
      </c>
    </row>
    <row r="365" customFormat="false" ht="15" hidden="false" customHeight="false" outlineLevel="0" collapsed="false">
      <c r="B365" s="42" t="n">
        <v>358</v>
      </c>
      <c r="C365" s="8" t="s">
        <v>742</v>
      </c>
      <c r="D365" s="8" t="s">
        <v>746</v>
      </c>
      <c r="E365" s="43" t="n">
        <v>0.2</v>
      </c>
      <c r="F365" s="44" t="n">
        <f aca="false">Variance!$F$9</f>
        <v>0.199999999999999</v>
      </c>
      <c r="G365" s="45" t="n">
        <f aca="false">IF(ISNUMBER(F365),F365-E365,"n/a")</f>
        <v>-7.21644966006352E-016</v>
      </c>
      <c r="H365" s="46" t="n">
        <v>0.005000001</v>
      </c>
      <c r="I365" s="47" t="str">
        <f aca="false">IF(ISNUMBER(F365),IF(ABS(F365-E365)&lt;=H365,"PASS","FAIL"),"FAIL")</f>
        <v>PASS</v>
      </c>
      <c r="J365" s="47" t="str">
        <f aca="false">IF(ISNUMBER(F365),IF(ROUND(F365,2)=ROUND(E365,2),"same","differs"),"n/a")</f>
        <v>same</v>
      </c>
    </row>
    <row r="366" customFormat="false" ht="15" hidden="false" customHeight="false" outlineLevel="0" collapsed="false">
      <c r="B366" s="42" t="n">
        <v>359</v>
      </c>
      <c r="C366" s="8" t="s">
        <v>742</v>
      </c>
      <c r="D366" s="8" t="s">
        <v>747</v>
      </c>
      <c r="E366" s="43" t="n">
        <v>-0.8</v>
      </c>
      <c r="F366" s="44" t="n">
        <f aca="false">Variance!$C$31</f>
        <v>-0.799999999999997</v>
      </c>
      <c r="G366" s="45" t="n">
        <f aca="false">IF(ISNUMBER(F366),F366-E366,"n/a")</f>
        <v>2.88657986402541E-015</v>
      </c>
      <c r="H366" s="46" t="n">
        <v>0.005000001</v>
      </c>
      <c r="I366" s="47" t="str">
        <f aca="false">IF(ISNUMBER(F366),IF(ABS(F366-E366)&lt;=H366,"PASS","FAIL"),"FAIL")</f>
        <v>PASS</v>
      </c>
      <c r="J366" s="47" t="str">
        <f aca="false">IF(ISNUMBER(F366),IF(ROUND(F366,2)=ROUND(E366,2),"same","differs"),"n/a")</f>
        <v>same</v>
      </c>
    </row>
    <row r="367" customFormat="false" ht="15" hidden="false" customHeight="false" outlineLevel="0" collapsed="false">
      <c r="B367" s="42" t="n">
        <v>360</v>
      </c>
      <c r="C367" s="8" t="s">
        <v>742</v>
      </c>
      <c r="D367" s="8" t="s">
        <v>748</v>
      </c>
      <c r="E367" s="43" t="n">
        <v>0</v>
      </c>
      <c r="F367" s="44" t="n">
        <f aca="false">Variance!$C$17</f>
        <v>0</v>
      </c>
      <c r="G367" s="45" t="n">
        <f aca="false">IF(ISNUMBER(F367),F367-E367,"n/a")</f>
        <v>0</v>
      </c>
      <c r="H367" s="46" t="n">
        <v>0.005000001</v>
      </c>
      <c r="I367" s="47" t="str">
        <f aca="false">IF(ISNUMBER(F367),IF(ABS(F367-E367)&lt;=H367,"PASS","FAIL"),"FAIL")</f>
        <v>PASS</v>
      </c>
      <c r="J367" s="47" t="str">
        <f aca="false">IF(ISNUMBER(F367),IF(ROUND(F367,2)=ROUND(E367,2),"same","differs"),"n/a")</f>
        <v>same</v>
      </c>
    </row>
    <row r="368" customFormat="false" ht="15" hidden="false" customHeight="false" outlineLevel="0" collapsed="false">
      <c r="B368" s="42" t="n">
        <v>361</v>
      </c>
      <c r="C368" s="8" t="s">
        <v>742</v>
      </c>
      <c r="D368" s="8" t="s">
        <v>749</v>
      </c>
      <c r="E368" s="43" t="n">
        <v>-0.7</v>
      </c>
      <c r="F368" s="44" t="n">
        <f aca="false">Variance!$D$17</f>
        <v>-0.699999999999999</v>
      </c>
      <c r="G368" s="45" t="n">
        <f aca="false">IF(ISNUMBER(F368),F368-E368,"n/a")</f>
        <v>0</v>
      </c>
      <c r="H368" s="46" t="n">
        <v>0.005000001</v>
      </c>
      <c r="I368" s="47" t="str">
        <f aca="false">IF(ISNUMBER(F368),IF(ABS(F368-E368)&lt;=H368,"PASS","FAIL"),"FAIL")</f>
        <v>PASS</v>
      </c>
      <c r="J368" s="47" t="str">
        <f aca="false">IF(ISNUMBER(F368),IF(ROUND(F368,2)=ROUND(E368,2),"same","differs"),"n/a")</f>
        <v>same</v>
      </c>
    </row>
    <row r="369" customFormat="false" ht="15" hidden="false" customHeight="false" outlineLevel="0" collapsed="false">
      <c r="B369" s="42" t="n">
        <v>362</v>
      </c>
      <c r="C369" s="8" t="s">
        <v>742</v>
      </c>
      <c r="D369" s="8" t="s">
        <v>750</v>
      </c>
      <c r="E369" s="43" t="n">
        <v>0.5</v>
      </c>
      <c r="F369" s="44" t="n">
        <f aca="false">Variance!$E$17</f>
        <v>0.5</v>
      </c>
      <c r="G369" s="45" t="n">
        <f aca="false">IF(ISNUMBER(F369),F369-E369,"n/a")</f>
        <v>0</v>
      </c>
      <c r="H369" s="46" t="n">
        <v>0.005000001</v>
      </c>
      <c r="I369" s="47" t="str">
        <f aca="false">IF(ISNUMBER(F369),IF(ABS(F369-E369)&lt;=H369,"PASS","FAIL"),"FAIL")</f>
        <v>PASS</v>
      </c>
      <c r="J369" s="47" t="str">
        <f aca="false">IF(ISNUMBER(F369),IF(ROUND(F369,2)=ROUND(E369,2),"same","differs"),"n/a")</f>
        <v>same</v>
      </c>
    </row>
    <row r="370" customFormat="false" ht="15" hidden="false" customHeight="false" outlineLevel="0" collapsed="false">
      <c r="B370" s="42" t="n">
        <v>363</v>
      </c>
      <c r="C370" s="8" t="s">
        <v>742</v>
      </c>
      <c r="D370" s="8" t="s">
        <v>751</v>
      </c>
      <c r="E370" s="43" t="n">
        <v>-0.3</v>
      </c>
      <c r="F370" s="44" t="n">
        <f aca="false">Variance!$F$17</f>
        <v>-0.299999999999999</v>
      </c>
      <c r="G370" s="45" t="n">
        <f aca="false">IF(ISNUMBER(F370),F370-E370,"n/a")</f>
        <v>0</v>
      </c>
      <c r="H370" s="46" t="n">
        <v>0.005000001</v>
      </c>
      <c r="I370" s="47" t="str">
        <f aca="false">IF(ISNUMBER(F370),IF(ABS(F370-E370)&lt;=H370,"PASS","FAIL"),"FAIL")</f>
        <v>PASS</v>
      </c>
      <c r="J370" s="47" t="str">
        <f aca="false">IF(ISNUMBER(F370),IF(ROUND(F370,2)=ROUND(E370,2),"same","differs"),"n/a")</f>
        <v>same</v>
      </c>
    </row>
    <row r="371" customFormat="false" ht="15" hidden="false" customHeight="false" outlineLevel="0" collapsed="false">
      <c r="B371" s="42" t="n">
        <v>364</v>
      </c>
      <c r="C371" s="8" t="s">
        <v>742</v>
      </c>
      <c r="D371" s="8" t="s">
        <v>752</v>
      </c>
      <c r="E371" s="43" t="n">
        <v>-0.5</v>
      </c>
      <c r="F371" s="44" t="n">
        <f aca="false">Variance!$C$32</f>
        <v>-0.499999999999998</v>
      </c>
      <c r="G371" s="45" t="n">
        <f aca="false">IF(ISNUMBER(F371),F371-E371,"n/a")</f>
        <v>1.77635683940025E-015</v>
      </c>
      <c r="H371" s="46" t="n">
        <v>0.005000001</v>
      </c>
      <c r="I371" s="47" t="str">
        <f aca="false">IF(ISNUMBER(F371),IF(ABS(F371-E371)&lt;=H371,"PASS","FAIL"),"FAIL")</f>
        <v>PASS</v>
      </c>
      <c r="J371" s="47" t="str">
        <f aca="false">IF(ISNUMBER(F371),IF(ROUND(F371,2)=ROUND(E371,2),"same","differs"),"n/a")</f>
        <v>same</v>
      </c>
    </row>
    <row r="372" customFormat="false" ht="15" hidden="false" customHeight="false" outlineLevel="0" collapsed="false">
      <c r="B372" s="42" t="n">
        <v>365</v>
      </c>
      <c r="C372" s="8" t="s">
        <v>742</v>
      </c>
      <c r="D372" s="8" t="s">
        <v>399</v>
      </c>
      <c r="E372" s="43" t="n">
        <v>-1.3</v>
      </c>
      <c r="F372" s="44" t="n">
        <f aca="false">Variance!$C$33</f>
        <v>-1.3</v>
      </c>
      <c r="G372" s="45" t="n">
        <f aca="false">IF(ISNUMBER(F372),F372-E372,"n/a")</f>
        <v>4.66293670342566E-015</v>
      </c>
      <c r="H372" s="46" t="n">
        <v>0.005000001</v>
      </c>
      <c r="I372" s="47" t="str">
        <f aca="false">IF(ISNUMBER(F372),IF(ABS(F372-E372)&lt;=H372,"PASS","FAIL"),"FAIL")</f>
        <v>PASS</v>
      </c>
      <c r="J372" s="47" t="str">
        <f aca="false">IF(ISNUMBER(F372),IF(ROUND(F372,2)=ROUND(E372,2),"same","differs"),"n/a")</f>
        <v>same</v>
      </c>
    </row>
    <row r="373" customFormat="false" ht="15" hidden="false" customHeight="false" outlineLevel="0" collapsed="false">
      <c r="B373" s="42" t="n">
        <v>366</v>
      </c>
      <c r="C373" s="8" t="s">
        <v>742</v>
      </c>
      <c r="D373" s="8" t="s">
        <v>753</v>
      </c>
      <c r="E373" s="43" t="n">
        <v>-0.4</v>
      </c>
      <c r="F373" s="44" t="n">
        <f aca="false">Variance!$C$30</f>
        <v>-0.399999999999999</v>
      </c>
      <c r="G373" s="45" t="n">
        <f aca="false">IF(ISNUMBER(F373),F373-E373,"n/a")</f>
        <v>1.4432899320127E-015</v>
      </c>
      <c r="H373" s="46" t="n">
        <v>0.005000001</v>
      </c>
      <c r="I373" s="47" t="str">
        <f aca="false">IF(ISNUMBER(F373),IF(ABS(F373-E373)&lt;=H373,"PASS","FAIL"),"FAIL")</f>
        <v>PASS</v>
      </c>
      <c r="J373" s="47" t="str">
        <f aca="false">IF(ISNUMBER(F373),IF(ROUND(F373,2)=ROUND(E373,2),"same","differs"),"n/a")</f>
        <v>same</v>
      </c>
    </row>
    <row r="374" customFormat="false" ht="15" hidden="false" customHeight="false" outlineLevel="0" collapsed="false">
      <c r="B374" s="42" t="n">
        <v>367</v>
      </c>
      <c r="C374" s="8" t="s">
        <v>742</v>
      </c>
      <c r="D374" s="8" t="s">
        <v>754</v>
      </c>
      <c r="E374" s="43" t="n">
        <v>-0.8</v>
      </c>
      <c r="F374" s="44" t="n">
        <f aca="false">Variance!$G$11</f>
        <v>-0.799999999999997</v>
      </c>
      <c r="G374" s="45" t="n">
        <f aca="false">IF(ISNUMBER(F374),F374-E374,"n/a")</f>
        <v>3.5527136788005E-015</v>
      </c>
      <c r="H374" s="46" t="n">
        <v>0.005000001</v>
      </c>
      <c r="I374" s="47" t="str">
        <f aca="false">IF(ISNUMBER(F374),IF(ABS(F374-E374)&lt;=H374,"PASS","FAIL"),"FAIL")</f>
        <v>PASS</v>
      </c>
      <c r="J374" s="47" t="str">
        <f aca="false">IF(ISNUMBER(F374),IF(ROUND(F374,2)=ROUND(E374,2),"same","differs"),"n/a")</f>
        <v>same</v>
      </c>
    </row>
  </sheetData>
  <conditionalFormatting sqref="I8:I374">
    <cfRule type="cellIs" priority="2" operator="equal" aboveAverage="0" equalAverage="0" bottom="0" percent="0" rank="0" text="" dxfId="0">
      <formula>"FAIL"</formula>
    </cfRule>
  </conditionalFormatting>
  <conditionalFormatting sqref="J8:J374">
    <cfRule type="cellIs" priority="3" operator="equal" aboveAverage="0" equalAverage="0" bottom="0" percent="0" rank="0" text="" dxfId="0">
      <formula>"differs"</formula>
    </cfRule>
  </conditionalFormatting>
  <conditionalFormatting sqref="E6">
    <cfRule type="cellIs" priority="4" operator="greaterThan" aboveAverage="0" equalAverage="0" bottom="0" percent="0" rank="0" text="" dxfId="0">
      <formula>0</formula>
    </cfRule>
  </conditionalFormatting>
  <conditionalFormatting sqref="J5">
    <cfRule type="cellIs" priority="5"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2026-09-23T22:18:47Z</dcterms:created>
  <dc:creator>openpyxl</dc:creator>
  <dc:description/>
  <dc:language>en-US</dc:language>
  <cp:lastModifiedBy/>
  <dcterms:modified xsi:type="dcterms:W3CDTF">2026-09-23T22:18:48Z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