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Your capital account" sheetId="2" state="visible" r:id="rId4"/>
    <sheet name="Your return" sheetId="3" state="visible" r:id="rId5"/>
    <sheet name="Fees and offsets" sheetId="4" state="visible" r:id="rId6"/>
    <sheet name="Accrued carry and clawback" sheetId="5" state="visible" r:id="rId7"/>
    <sheet name="Exposure and ratios" sheetId="6" state="visible" r:id="rId8"/>
    <sheet name="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<sst xmlns="http://schemas.openxmlformats.org/spreadsheetml/2006/main" count="218" uniqueCount="209">
  <si>
    <t xml:space="preserve">How to Read a Private Fund's Financial Statements — Workbook 3 of 4</t>
  </si>
  <si>
    <t xml:space="preserve">Appendix D as calculators: your account, your return, the fees, the carry</t>
  </si>
  <si>
    <t xml:space="preserve">Julian R. Sterling · julianrsterling.com/statements</t>
  </si>
  <si>
    <t xml:space="preserve">Empty, with one realistic example to overwrite</t>
  </si>
  <si>
    <t xml:space="preserve">Every sheet here is a blank tool with a worked example already in the blue cells, so you can see the expected shape before you replace it. The examples are the ones from Appendix D, so each figure can be traced back to a page of the book.</t>
  </si>
  <si>
    <t xml:space="preserve">What each sheet does</t>
  </si>
  <si>
    <t xml:space="preserve">'Your capital account' rebuilds a closing balance from the fund's aggregates and explains the divergence from a flat percentage. 'Your return' computes the three multiples and the rate on three dating and carry bases, and unlevers a subscription facility. 'Fees and offsets' prices the fee on all four bases the agreement might use, applies the offset with a carried-forward credit, and shows what a step-down is worth. 'Accrued carry and clawback' runs the hypothetical liquidation and the final clawback test. 'Exposure and ratios' does the unfunded, the remaining exposure, the expense ratio and the multiple on invested capital.</t>
  </si>
  <si>
    <t xml:space="preserve">The common error is printed beside each one</t>
  </si>
  <si>
    <t xml:space="preserve">Appendix D gives every formula a companion: the mistake that is actually made. Those are reproduced on each sheet, next to the calculation they apply to, because a formula without its failure mode is only half the instruction.</t>
  </si>
  <si>
    <t xml:space="preserve">Conventions</t>
  </si>
  <si>
    <t xml:space="preserve">Blue is an input. Black is a formula. Yellow fill marks the assumptions that carry the answer. Nothing is locked, protected or watermarked.</t>
  </si>
  <si>
    <t xml:space="preserve">Provided for education. Not investment advice.</t>
  </si>
  <si>
    <t xml:space="preserve">Revised 23 September 2026</t>
  </si>
  <si>
    <t xml:space="preserve">The capital account sheet floored a fee discount at zero and measured it against the standard rate: with the Kettlewell case of Workbook 2 (a 1.50 per cent fee against 2.00) it returned 11,760,000 instead of 11,840,000 and left 100,000 unexplained. Your own fee is now an input from your own terms, and the rest of the net investment result is allocated before the fee. The offset now starts from Appendix D's gross fee of 4,300,000, which leaves 3,680,000 payable. A checks sheet closes the workbook.</t>
  </si>
  <si>
    <t xml:space="preserve">Rebuild your own capital account</t>
  </si>
  <si>
    <t xml:space="preserve">Appendix D. Overwrite the blue cells with your fund's aggregates and your own statement.</t>
  </si>
  <si>
    <t xml:space="preserve">YOUR POSITION</t>
  </si>
  <si>
    <t xml:space="preserve">The common error, and the standard</t>
  </si>
  <si>
    <t xml:space="preserve">Your commitment</t>
  </si>
  <si>
    <t xml:space="preserve">The common error is taking the allocation as a flat percentage of the fund's total result. It is a percentage of each component, and the components are allocated on different bases where investors have different fee terms. Calls and distributions are pro rata, so those lines scale; a negotiated fee is your own, not a share of the aggregate. Row 8 takes it from your own terms; row 28 allocates the rest of the net investment result before the fee. (The first version floored a discount at zero and measured it against the standard rate: with the Kettlewell case of Workbook 2 it returned 11,760,000 instead of 11,840,000.)
The bottom block is the discipline. Any divergence from a flat percentage should decompose into named economic events: a fee discount, an equalisation payment at a subsequent close, an excused investment, a currency class, a default reallocated to the rest. Row 44 is the residue after the two commonest are accounted for. If it is not near zero, you have found a question — and it is a specific one, which is what makes it answerable.
If an investor cannot account for the divergence in this way, the account has not been proved. It has been accepted.</t>
  </si>
  <si>
    <t xml:space="preserve">Total limited partner commitments</t>
  </si>
  <si>
    <t xml:space="preserve">Your share by commitment</t>
  </si>
  <si>
    <t xml:space="preserve">Your own management fee for the period, from your own rate and base (not a share of the aggregate)</t>
  </si>
  <si>
    <t xml:space="preserve">Your share of the aggregate fee, for comparison only</t>
  </si>
  <si>
    <t xml:space="preserve">Your opening balance, per your own statement</t>
  </si>
  <si>
    <t xml:space="preserve">THE FUND'S AGGREGATES FOR THE PERIOD (limited partner column)</t>
  </si>
  <si>
    <t xml:space="preserve">Opening capital</t>
  </si>
  <si>
    <t xml:space="preserve">Contributions</t>
  </si>
  <si>
    <t xml:space="preserve">Distributions</t>
  </si>
  <si>
    <t xml:space="preserve">Net investment income or loss</t>
  </si>
  <si>
    <t xml:space="preserve">Aggregate management fee of the limited partners, already inside the line above</t>
  </si>
  <si>
    <t xml:space="preserve">Net realised gains</t>
  </si>
  <si>
    <t xml:space="preserve">Net change in unrealised</t>
  </si>
  <si>
    <t xml:space="preserve">Carried interest accrual</t>
  </si>
  <si>
    <t xml:space="preserve">Limited partners' closing column</t>
  </si>
  <si>
    <t xml:space="preserve">YOUR ACCOUNT, LINE BY LINE</t>
  </si>
  <si>
    <t xml:space="preserve">Line</t>
  </si>
  <si>
    <t xml:space="preserve">Amount</t>
  </si>
  <si>
    <t xml:space="preserve">Running balance</t>
  </si>
  <si>
    <t xml:space="preserve">Opening balance</t>
  </si>
  <si>
    <t xml:space="preserve">Share of net investment income or loss before the management fee</t>
  </si>
  <si>
    <t xml:space="preserve">Your own management fee</t>
  </si>
  <si>
    <t xml:space="preserve">Share of realised gains</t>
  </si>
  <si>
    <t xml:space="preserve">Share of change in unrealised</t>
  </si>
  <si>
    <t xml:space="preserve">Carried interest allocated</t>
  </si>
  <si>
    <t xml:space="preserve">Closing balance</t>
  </si>
  <si>
    <t xml:space="preserve">Compare this with the closing balance on your statement. If they differ, one of the inputs above is wrong — start with the fee line.</t>
  </si>
  <si>
    <t xml:space="preserve">THE DIVERGENCE FROM A FLAT PERCENTAGE</t>
  </si>
  <si>
    <t xml:space="preserve">Your share of the closing column, if everything were pro rata</t>
  </si>
  <si>
    <t xml:space="preserve">Your actual closing balance</t>
  </si>
  <si>
    <t xml:space="preserve">Difference</t>
  </si>
  <si>
    <t xml:space="preserve">Fee advantage this period: your share of the aggregate fee less your own</t>
  </si>
  <si>
    <t xml:space="preserve">Opening deficit or surplus</t>
  </si>
  <si>
    <t xml:space="preserve">Explained</t>
  </si>
  <si>
    <t xml:space="preserve">Unexplained residue</t>
  </si>
  <si>
    <t xml:space="preserve">Recompute your own return</t>
  </si>
  <si>
    <t xml:space="preserve">Appendix D. Your dated cash flows, the three multiples, and the rate on three bases.</t>
  </si>
  <si>
    <t xml:space="preserve">Closing capital account balance</t>
  </si>
  <si>
    <t xml:space="preserve">Two things the rate is not</t>
  </si>
  <si>
    <t xml:space="preserve">Accrued carried interest inside that balance</t>
  </si>
  <si>
    <t xml:space="preserve">The terminal value is an assumption, not a cash flow. Until a fund is fully realised, most of a reported rate of return is a function of the manager's own valuation of what remains. A fund at sixty per cent unrealised has a rate of return that is sixty per cent opinion.
And a rate is not comparable across two bases. Row 39 is the gap to your manager's figure; it will usually decompose into the dating convention and whether the terminal value is struck before or after accrued carry. Neither is an error. Both are choices, and in practice both run in the same direction.
On the facility: the correct adjustment is to re-date the contribution to the day the fund actually deployed, and to change nothing else. The interest was genuinely paid and has already reduced what investors received; adding it back would double-count. Row 52 is the figure you can construct from disclosed data, and it is the one to use.
Ask for your own dated cash flows in writing. Question 70 of Appendix B exists because reluctance to provide them is itself informative.</t>
  </si>
  <si>
    <t xml:space="preserve">Reporting date</t>
  </si>
  <si>
    <t xml:space="preserve">YOUR DATED CASH FLOWS</t>
  </si>
  <si>
    <t xml:space="preserve">Contributions negative, distributions positive. Add or delete rows inside the block and the ranges below follow.</t>
  </si>
  <si>
    <t xml:space="preserve">Date</t>
  </si>
  <si>
    <t xml:space="preserve">Quarter-end date</t>
  </si>
  <si>
    <t xml:space="preserve">Note</t>
  </si>
  <si>
    <t xml:space="preserve">first call</t>
  </si>
  <si>
    <t xml:space="preserve">recallable</t>
  </si>
  <si>
    <t xml:space="preserve">partial exit</t>
  </si>
  <si>
    <t xml:space="preserve">spare row — overwrite to add a flow</t>
  </si>
  <si>
    <t xml:space="preserve">terminal value, net of accrued carry</t>
  </si>
  <si>
    <t xml:space="preserve">Terminal value, gross of accrued carry — for the pre-carry comparison only</t>
  </si>
  <si>
    <t xml:space="preserve">Rows 19 to 23 are spare. A zero amount does not affect either figure; overwrite the date and amount to add a cash flow.</t>
  </si>
  <si>
    <t xml:space="preserve">THE MULTIPLES</t>
  </si>
  <si>
    <t xml:space="preserve">Paid-in capital</t>
  </si>
  <si>
    <t xml:space="preserve">Distributions received</t>
  </si>
  <si>
    <t xml:space="preserve">Distributions to paid-in</t>
  </si>
  <si>
    <t xml:space="preserve">Residual value to paid-in</t>
  </si>
  <si>
    <t xml:space="preserve">Total value to paid-in</t>
  </si>
  <si>
    <t xml:space="preserve">The same on the gross terminal value</t>
  </si>
  <si>
    <t xml:space="preserve">THE RATE</t>
  </si>
  <si>
    <t xml:space="preserve">Actual dates, terminal net of carry</t>
  </si>
  <si>
    <t xml:space="preserve">Quarter-end dates, terminal net of carry</t>
  </si>
  <si>
    <t xml:space="preserve">Manager's reported rate, for comparison</t>
  </si>
  <si>
    <t xml:space="preserve">Difference to explain</t>
  </si>
  <si>
    <t xml:space="preserve">UNLEVERING A SUBSCRIPTION FACILITY</t>
  </si>
  <si>
    <t xml:space="preserve">Amount deployed and funded from the facility</t>
  </si>
  <si>
    <t xml:space="preserve">Months between deployment and the capital call</t>
  </si>
  <si>
    <t xml:space="preserve">Interest paid on the facility</t>
  </si>
  <si>
    <t xml:space="preserve">Distribution to investors on realisation</t>
  </si>
  <si>
    <t xml:space="preserve">Years from the capital call to realisation</t>
  </si>
  <si>
    <t xml:space="preserve">Capital called: principal plus interest</t>
  </si>
  <si>
    <t xml:space="preserve">Years from deployment to realisation</t>
  </si>
  <si>
    <t xml:space="preserve">Basis</t>
  </si>
  <si>
    <t xml:space="preserve">Multiple</t>
  </si>
  <si>
    <t xml:space="preserve">Rate</t>
  </si>
  <si>
    <t xml:space="preserve">As reported</t>
  </si>
  <si>
    <t xml:space="preserve">Re-dated to deployment</t>
  </si>
  <si>
    <t xml:space="preserve">No facility used</t>
  </si>
  <si>
    <t xml:space="preserve">Basis points the facility added</t>
  </si>
  <si>
    <t xml:space="preserve">The management fee on each base, and the offset</t>
  </si>
  <si>
    <t xml:space="preserve">Appendix D. Naming the rate without the base is the commonest way to get this wrong.</t>
  </si>
  <si>
    <t xml:space="preserve">THE INPUTS</t>
  </si>
  <si>
    <t xml:space="preserve">Two errors that cost real money</t>
  </si>
  <si>
    <t xml:space="preserve">Total commitments</t>
  </si>
  <si>
    <t xml:space="preserve">The first is assuming the base changes on the anniversary of the final close. It usually changes on the earlier of a stated date and the formation of a successor fund — and the successor date can arrive without announcement. Row 20 prices the change: on these figures the fee falls by sixty-two per cent from one base change, and nothing else moves.
The second is not checking whether broken-deal costs have been netted against the offsettable fees before the sharing percentage is applied. Netting first reduces the investor's credit, and the agreement usually says whether it is permitted. Row 28 is where that happens; set it to a real number and watch the credit fall by eighty per cent of it.
A third, less common but worth a question: the offset may be applied at a different entity from the one at which the fee arose, which can strand the credit. Question 40 of Appendix B is the one to ask.</t>
  </si>
  <si>
    <t xml:space="preserve">Rate during the investment period</t>
  </si>
  <si>
    <t xml:space="preserve">Rate after the step-down</t>
  </si>
  <si>
    <t xml:space="preserve">Cost of investments still held</t>
  </si>
  <si>
    <t xml:space="preserve">Net assets at the measurement date</t>
  </si>
  <si>
    <t xml:space="preserve">Cost of investments written off or permanently written down</t>
  </si>
  <si>
    <t xml:space="preserve">Fraction of the year charged</t>
  </si>
  <si>
    <t xml:space="preserve">THE FOUR BASES</t>
  </si>
  <si>
    <t xml:space="preserve">Base as the agreement might define it</t>
  </si>
  <si>
    <t xml:space="preserve">Fee for the period</t>
  </si>
  <si>
    <t xml:space="preserve">Committed capital</t>
  </si>
  <si>
    <t xml:space="preserve">Invested capital, after the step-down</t>
  </si>
  <si>
    <t xml:space="preserve">Net asset value</t>
  </si>
  <si>
    <t xml:space="preserve">Adjusted commitments</t>
  </si>
  <si>
    <t xml:space="preserve">Fall from committed capital to invested capital</t>
  </si>
  <si>
    <t xml:space="preserve">from one base change</t>
  </si>
  <si>
    <t xml:space="preserve">THE OFFSET</t>
  </si>
  <si>
    <t xml:space="preserve">Gross fee for the period, as charged (Appendix D's worked figure; or link one of the four bases above)</t>
  </si>
  <si>
    <t xml:space="preserve">Transaction fees received by the manager and affiliates</t>
  </si>
  <si>
    <t xml:space="preserve">Monitoring fees</t>
  </si>
  <si>
    <t xml:space="preserve">Directors' and financing fees</t>
  </si>
  <si>
    <t xml:space="preserve">Broken-deal costs netted against the above, if permitted</t>
  </si>
  <si>
    <t xml:space="preserve">Offsettable fees, net</t>
  </si>
  <si>
    <t xml:space="preserve">Sharing percentage</t>
  </si>
  <si>
    <t xml:space="preserve">Offset credit generated</t>
  </si>
  <si>
    <t xml:space="preserve">Credit carried forward from prior periods</t>
  </si>
  <si>
    <t xml:space="preserve">Credit available</t>
  </si>
  <si>
    <t xml:space="preserve">Fee payable, floored at zero</t>
  </si>
  <si>
    <t xml:space="preserve">Credit carried forward to the next period</t>
  </si>
  <si>
    <t xml:space="preserve">Accrued carry on a hypothetical liquidation, and the clawback test</t>
  </si>
  <si>
    <t xml:space="preserve">Appendix D. Run the waterfall in order; never apply the rate to the unrealised gain.</t>
  </si>
  <si>
    <t xml:space="preserve">THE FUND TODAY</t>
  </si>
  <si>
    <t xml:space="preserve">Never apply the rate to the unrealised gain</t>
  </si>
  <si>
    <t xml:space="preserve">Cumulative contributions</t>
  </si>
  <si>
    <t xml:space="preserve">That is the common error, and it ignores the preferred return entirely. It produces an accrual that is too high early in a fund's life and too low late in it — wrong in both directions, at the two moments an investor is most likely to be making a decision.
Run the waterfall in order: return of contributed capital, preferred return, catch-up, then the residual split. Row 23 is the check that the catch-up has done its job: when it has fully cleared, the accrual equals the carry rate applied to total profit, exactly. If rows 22 and 23 disagree, the catch-up has not cleared — which is information, not an error.
On the clawback: the common error is assuming the obligation is collectible. A clawback is a promise from an entity whose members may have left, and its value depends entirely on the escrow, the guarantee and the identity of the obligor. Question 48 of Appendix B asks whether the obligation is individual, joint or guaranteed — and 'theoretical' is the weak answer.</t>
  </si>
  <si>
    <t xml:space="preserve">Cumulative distributions already made</t>
  </si>
  <si>
    <t xml:space="preserve">Current portfolio value</t>
  </si>
  <si>
    <t xml:space="preserve">Accrued preferred return, on actual contribution timing</t>
  </si>
  <si>
    <t xml:space="preserve">Catch-up: share to the general partner</t>
  </si>
  <si>
    <t xml:space="preserve">Residual carry rate</t>
  </si>
  <si>
    <t xml:space="preserve">THE HYPOTHETICAL LIQUIDATION</t>
  </si>
  <si>
    <t xml:space="preserve">Total distributable</t>
  </si>
  <si>
    <t xml:space="preserve">Less return of contributed capital</t>
  </si>
  <si>
    <t xml:space="preserve">Profit available</t>
  </si>
  <si>
    <t xml:space="preserve">Less the preferred return</t>
  </si>
  <si>
    <t xml:space="preserve">Remaining</t>
  </si>
  <si>
    <t xml:space="preserve">Catch-up to the general partner</t>
  </si>
  <si>
    <t xml:space="preserve">Remaining after the catch-up</t>
  </si>
  <si>
    <t xml:space="preserve">Residual to the investors</t>
  </si>
  <si>
    <t xml:space="preserve">Residual to the general partner</t>
  </si>
  <si>
    <t xml:space="preserve">Accrued carry</t>
  </si>
  <si>
    <t xml:space="preserve">Check: the rate applied to total profit</t>
  </si>
  <si>
    <t xml:space="preserve">Net asset value after the accrual</t>
  </si>
  <si>
    <t xml:space="preserve">Does the catch-up clear?</t>
  </si>
  <si>
    <t xml:space="preserve">THE CLAWBACK TEST AT FINAL LIQUIDATION</t>
  </si>
  <si>
    <t xml:space="preserve">Carry actually received by the general partner over the fund's life</t>
  </si>
  <si>
    <t xml:space="preserve">Total lifetime profit as finally determined</t>
  </si>
  <si>
    <t xml:space="preserve">Carry rate</t>
  </si>
  <si>
    <t xml:space="preserve">Lifetime entitlement</t>
  </si>
  <si>
    <t xml:space="preserve">Gross clawback, floored at zero</t>
  </si>
  <si>
    <t xml:space="preserve">Tax rate assumed paid by the recipients</t>
  </si>
  <si>
    <t xml:space="preserve">Clawback if limited to the after-tax amount</t>
  </si>
  <si>
    <t xml:space="preserve">Borne by the investors under that limitation</t>
  </si>
  <si>
    <t xml:space="preserve">Exposure, the expense ratio and the multiple on invested capital</t>
  </si>
  <si>
    <t xml:space="preserve">Appendix D. Three short calculations, each with a common error attached.</t>
  </si>
  <si>
    <t xml:space="preserve">REMAINING EXPOSURE</t>
  </si>
  <si>
    <t xml:space="preserve">Three errors, one per block</t>
  </si>
  <si>
    <t xml:space="preserve">Total commitment, including any subsequent increase</t>
  </si>
  <si>
    <t xml:space="preserve">Treating the unfunded figure as a maximum. Recallable distributions sit outside it and can be called back, so the cash an investor must be able to produce exceeds the unfunded line. Row 10 is the number to plan liquidity around, not row 7.
Including carried interest in the expense ratio. Carry is a profit share, not an expense of running the fund; including it makes the ratio jump in good years and mask the cost base in bad ones. State the basis every time the ratio is quoted — including whether interest costs are in the numerator, which row 14 records so that next year's comparison is like for like.
Comparing a multiple on invested capital with a net multiple at fund level. The gap between them is the entire cost of the fund structure, and it is routinely 0.2 to 0.4 turns. Two multiples that look similar are not comparable unless both are stated on the same basis.</t>
  </si>
  <si>
    <t xml:space="preserve">Capital contributed to date, including amounts funded for fees</t>
  </si>
  <si>
    <t xml:space="preserve">Unfunded commitment</t>
  </si>
  <si>
    <t xml:space="preserve">Distributions subject to recall</t>
  </si>
  <si>
    <t xml:space="preserve">Amounts formally released by the manager</t>
  </si>
  <si>
    <t xml:space="preserve">Remaining exposure</t>
  </si>
  <si>
    <t xml:space="preserve">THE EXPENSE RATIO</t>
  </si>
  <si>
    <t xml:space="preserve">Total operating expenses, including the fee net of offsets</t>
  </si>
  <si>
    <t xml:space="preserve">Interest and financing costs included above?</t>
  </si>
  <si>
    <t xml:space="preserve">included</t>
  </si>
  <si>
    <t xml:space="preserve">Net assets, opening</t>
  </si>
  <si>
    <t xml:space="preserve">Net assets, closing</t>
  </si>
  <si>
    <t xml:space="preserve">Average net assets</t>
  </si>
  <si>
    <t xml:space="preserve">Expense ratio</t>
  </si>
  <si>
    <t xml:space="preserve">Carried interest is excluded from the numerator by design.</t>
  </si>
  <si>
    <t xml:space="preserve">THE MULTIPLE ON INVESTED CAPITAL</t>
  </si>
  <si>
    <t xml:space="preserve">Capital deployed into the position, including follow-ons and costs</t>
  </si>
  <si>
    <t xml:space="preserve">Proceeds received</t>
  </si>
  <si>
    <t xml:space="preserve">Current carrying value of any retained stake</t>
  </si>
  <si>
    <t xml:space="preserve">Multiple on invested capital</t>
  </si>
  <si>
    <t xml:space="preserve">Checks: Appendix D's figures, and what holds for any inputs</t>
  </si>
  <si>
    <t xml:space="preserve">Appendix D: capital account closes at 13,592,200</t>
  </si>
  <si>
    <t xml:space="preserve">Any inputs: the divergence from a flat percentage is fully explained (row 44 is zero)</t>
  </si>
  <si>
    <t xml:space="preserve">Any inputs: the closing balance equals the running balance of every line</t>
  </si>
  <si>
    <t xml:space="preserve">Appendix C, case 3: paid-in 9,000,000 and a total value to paid-in of 1.23</t>
  </si>
  <si>
    <t xml:space="preserve">Appendix C, case 3: 7.38 per cent on actual dates, 7.50 on quarter-ends</t>
  </si>
  <si>
    <t xml:space="preserve">Appendix C, case 4: 21.38, 14.84 and 16.66 per cent</t>
  </si>
  <si>
    <t xml:space="preserve">Appendix C, case 4: the facility adds 654 basis points</t>
  </si>
  <si>
    <t xml:space="preserve">Appendix D: 10,000,000 on commitments, 3,762,500 after the step-down, a 62 per cent fall</t>
  </si>
  <si>
    <t xml:space="preserve">Appendix D: offset of 620,000 on 775,000 at 80 per cent, 3,680,000 payable</t>
  </si>
  <si>
    <t xml:space="preserve">Any inputs: payable plus credit carried forward equals the fee less the credit available, whichever is larger</t>
  </si>
  <si>
    <t xml:space="preserve">Appendix D: accrued carry 36,000,000, net asset value after it 294,000,000</t>
  </si>
  <si>
    <t xml:space="preserve">Appendix D: clawback 3,300,000 recovered after tax, 2,700,000 borne by investors</t>
  </si>
  <si>
    <t xml:space="preserve">Appendix D: remaining exposure 6,480,000, expense ratio 1.86 per cent, multiple 1.50</t>
  </si>
  <si>
    <t xml:space="preserve">All checks</t>
  </si>
</sst>
</file>

<file path=xl/styles.xml><?xml version="1.0" encoding="utf-8"?>
<styleSheet xmlns="http://schemas.openxmlformats.org/spreadsheetml/2006/main">
  <numFmts count="8">
    <numFmt numFmtId="164" formatCode="General"/>
    <numFmt numFmtId="165" formatCode="#,##0;\(#,##0\);\-"/>
    <numFmt numFmtId="166" formatCode="0.00%"/>
    <numFmt numFmtId="167" formatCode="dd\ mmm\ yyyy"/>
    <numFmt numFmtId="168" formatCode="0.00\x"/>
    <numFmt numFmtId="169" formatCode="0"/>
    <numFmt numFmtId="170" formatCode="0.00"/>
    <numFmt numFmtId="171" formatCode="#,##0"/>
  </numFmts>
  <fonts count="15">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1"/>
      <color rgb="FF595959"/>
      <name val="Arial"/>
      <family val="0"/>
      <charset val="1"/>
    </font>
    <font>
      <i val="true"/>
      <sz val="10"/>
      <color rgb="FF595959"/>
      <name val="Arial"/>
      <family val="0"/>
      <charset val="1"/>
    </font>
    <font>
      <b val="true"/>
      <sz val="11"/>
      <color rgb="FF8C5A00"/>
      <name val="Arial"/>
      <family val="0"/>
      <charset val="1"/>
    </font>
    <font>
      <sz val="10"/>
      <name val="Arial"/>
      <family val="0"/>
      <charset val="1"/>
    </font>
    <font>
      <b val="true"/>
      <sz val="14"/>
      <color rgb="FF14171D"/>
      <name val="Arial"/>
      <family val="0"/>
      <charset val="1"/>
    </font>
    <font>
      <sz val="10"/>
      <color rgb="FF0000FF"/>
      <name val="Arial"/>
      <family val="0"/>
      <charset val="1"/>
    </font>
    <font>
      <b val="true"/>
      <sz val="10"/>
      <name val="Arial"/>
      <family val="0"/>
      <charset val="1"/>
    </font>
    <font>
      <b val="true"/>
      <sz val="10"/>
      <color rgb="FFFFFFFF"/>
      <name val="Arial"/>
      <family val="0"/>
      <charset val="1"/>
    </font>
    <font>
      <sz val="10"/>
      <color rgb="FF008000"/>
      <name val="Arial"/>
      <family val="0"/>
      <charset val="1"/>
    </font>
    <font>
      <b val="true"/>
      <sz val="12"/>
      <name val="Arial"/>
      <family val="0"/>
      <charset val="1"/>
    </font>
  </fonts>
  <fills count="4">
    <fill>
      <patternFill patternType="none"/>
    </fill>
    <fill>
      <patternFill patternType="gray125"/>
    </fill>
    <fill>
      <patternFill patternType="solid">
        <fgColor rgb="FFFFFF00"/>
        <bgColor rgb="FFFFFF00"/>
      </patternFill>
    </fill>
    <fill>
      <patternFill patternType="solid">
        <fgColor rgb="FF14171D"/>
        <bgColor rgb="FF000000"/>
      </patternFill>
    </fill>
  </fills>
  <borders count="2">
    <border diagonalUp="false" diagonalDown="false">
      <left/>
      <right/>
      <top/>
      <bottom/>
      <diagonal/>
    </border>
    <border diagonalUp="false" diagonalDown="false">
      <left/>
      <right/>
      <top style="medium">
        <color rgb="FF808080"/>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10" fillId="2"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bottom" textRotation="0" wrapText="false" indent="0" shrinkToFit="false"/>
      <protection locked="true" hidden="false"/>
    </xf>
    <xf numFmtId="165" fontId="11" fillId="0" borderId="1" xfId="0" applyFont="true" applyBorder="true" applyAlignment="true" applyProtection="false">
      <alignment horizontal="general" vertical="bottom" textRotation="0" wrapText="false" indent="0" shrinkToFit="false"/>
      <protection locked="true" hidden="false"/>
    </xf>
    <xf numFmtId="164" fontId="12" fillId="3" borderId="0" xfId="0" applyFont="true" applyBorder="false" applyAlignment="true" applyProtection="false">
      <alignment horizontal="left" vertical="center" textRotation="0" wrapText="true" indent="0" shrinkToFit="false"/>
      <protection locked="true" hidden="false"/>
    </xf>
    <xf numFmtId="164" fontId="12" fillId="3" borderId="0" xfId="0" applyFont="true" applyBorder="false" applyAlignment="true" applyProtection="false">
      <alignment horizontal="center" vertical="center"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5" fontId="11" fillId="0" borderId="0" xfId="0" applyFont="true" applyBorder="false" applyAlignment="true" applyProtection="false">
      <alignment horizontal="general" vertical="bottom" textRotation="0" wrapText="false" indent="0" shrinkToFit="false"/>
      <protection locked="true" hidden="false"/>
    </xf>
    <xf numFmtId="167" fontId="10" fillId="2"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7" fontId="10" fillId="0" borderId="0" xfId="0" applyFont="true" applyBorder="fals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7" fontId="13" fillId="0" borderId="0" xfId="0" applyFont="true" applyBorder="false" applyAlignment="true" applyProtection="false">
      <alignment horizontal="general" vertical="bottom" textRotation="0" wrapText="false" indent="0" shrinkToFit="false"/>
      <protection locked="true" hidden="false"/>
    </xf>
    <xf numFmtId="168" fontId="8" fillId="0" borderId="0" xfId="0" applyFont="true" applyBorder="false" applyAlignment="true" applyProtection="false">
      <alignment horizontal="general" vertical="bottom" textRotation="0" wrapText="false" indent="0" shrinkToFit="false"/>
      <protection locked="true" hidden="false"/>
    </xf>
    <xf numFmtId="168" fontId="11" fillId="0" borderId="0" xfId="0" applyFont="true" applyBorder="false" applyAlignment="true" applyProtection="false">
      <alignment horizontal="general" vertical="bottom" textRotation="0" wrapText="false" indent="0" shrinkToFit="false"/>
      <protection locked="true" hidden="false"/>
    </xf>
    <xf numFmtId="166" fontId="10" fillId="2" borderId="0" xfId="0" applyFont="true" applyBorder="false" applyAlignment="true" applyProtection="false">
      <alignment horizontal="general" vertical="bottom" textRotation="0" wrapText="false" indent="0" shrinkToFit="false"/>
      <protection locked="true" hidden="false"/>
    </xf>
    <xf numFmtId="166" fontId="11" fillId="0" borderId="0" xfId="0" applyFont="true" applyBorder="false" applyAlignment="true" applyProtection="false">
      <alignment horizontal="general" vertical="bottom" textRotation="0" wrapText="false" indent="0" shrinkToFit="false"/>
      <protection locked="true" hidden="false"/>
    </xf>
    <xf numFmtId="169" fontId="10" fillId="2" borderId="0" xfId="0" applyFont="true" applyBorder="false" applyAlignment="true" applyProtection="false">
      <alignment horizontal="general" vertical="bottom" textRotation="0" wrapText="false" indent="0" shrinkToFit="false"/>
      <protection locked="true" hidden="false"/>
    </xf>
    <xf numFmtId="170" fontId="10" fillId="2" borderId="0" xfId="0" applyFont="true" applyBorder="false" applyAlignment="true" applyProtection="false">
      <alignment horizontal="general" vertical="bottom" textRotation="0" wrapText="false" indent="0" shrinkToFit="false"/>
      <protection locked="true" hidden="false"/>
    </xf>
    <xf numFmtId="170" fontId="8" fillId="0" borderId="0" xfId="0" applyFont="true" applyBorder="false" applyAlignment="true" applyProtection="false">
      <alignment horizontal="general" vertical="bottom" textRotation="0" wrapText="false" indent="0" shrinkToFit="false"/>
      <protection locked="true" hidden="false"/>
    </xf>
    <xf numFmtId="171" fontId="8" fillId="0" borderId="0" xfId="0" applyFont="true" applyBorder="false" applyAlignment="tru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4"/>
  </cols>
  <sheetData>
    <row r="2" customFormat="false" ht="18"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row>
    <row r="6" customFormat="false" ht="15" hidden="false" customHeight="true" outlineLevel="0" collapsed="false">
      <c r="B6" s="5" t="s">
        <v>3</v>
      </c>
    </row>
    <row r="7" customFormat="false" ht="58.5" hidden="false" customHeight="true" outlineLevel="0" collapsed="false">
      <c r="B7" s="6" t="s">
        <v>4</v>
      </c>
    </row>
    <row r="9" customFormat="false" ht="15" hidden="false" customHeight="true" outlineLevel="0" collapsed="false">
      <c r="B9" s="5" t="s">
        <v>5</v>
      </c>
    </row>
    <row r="10" customFormat="false" ht="118.5" hidden="false" customHeight="true" outlineLevel="0" collapsed="false">
      <c r="B10" s="6" t="s">
        <v>6</v>
      </c>
    </row>
    <row r="12" customFormat="false" ht="15" hidden="false" customHeight="true" outlineLevel="0" collapsed="false">
      <c r="B12" s="5" t="s">
        <v>7</v>
      </c>
    </row>
    <row r="13" customFormat="false" ht="58.5" hidden="false" customHeight="true" outlineLevel="0" collapsed="false">
      <c r="B13" s="6" t="s">
        <v>8</v>
      </c>
    </row>
    <row r="15" customFormat="false" ht="15" hidden="false" customHeight="true" outlineLevel="0" collapsed="false">
      <c r="B15" s="5" t="s">
        <v>9</v>
      </c>
    </row>
    <row r="16" customFormat="false" ht="43.5" hidden="false" customHeight="true" outlineLevel="0" collapsed="false">
      <c r="B16" s="6" t="s">
        <v>10</v>
      </c>
    </row>
    <row r="19" customFormat="false" ht="15" hidden="false" customHeight="true" outlineLevel="0" collapsed="false">
      <c r="B19" s="4" t="s">
        <v>11</v>
      </c>
    </row>
    <row r="21" customFormat="false" ht="15" hidden="false" customHeight="false" outlineLevel="0" collapsed="false">
      <c r="B21" s="5" t="s">
        <v>12</v>
      </c>
    </row>
    <row r="22" customFormat="false" ht="79.5" hidden="false" customHeight="true" outlineLevel="0" collapsed="false">
      <c r="B22" s="6"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4"/>
    <col collapsed="false" customWidth="true" hidden="false" outlineLevel="0" max="3" min="2" style="1" width="20"/>
    <col collapsed="false" customWidth="true" hidden="false" outlineLevel="0" max="4" min="4" style="1" width="3"/>
    <col collapsed="false" customWidth="true" hidden="false" outlineLevel="0" max="5" min="5" style="1" width="52"/>
  </cols>
  <sheetData>
    <row r="1" customFormat="false" ht="17.25" hidden="false" customHeight="true" outlineLevel="0" collapsed="false">
      <c r="A1" s="7" t="s">
        <v>14</v>
      </c>
    </row>
    <row r="2" customFormat="false" ht="15" hidden="false" customHeight="true" outlineLevel="0" collapsed="false">
      <c r="A2" s="4" t="s">
        <v>15</v>
      </c>
    </row>
    <row r="4" customFormat="false" ht="15" hidden="false" customHeight="true" outlineLevel="0" collapsed="false">
      <c r="A4" s="5" t="s">
        <v>16</v>
      </c>
      <c r="E4" s="5" t="s">
        <v>17</v>
      </c>
    </row>
    <row r="5" customFormat="false" ht="15" hidden="false" customHeight="true" outlineLevel="0" collapsed="false">
      <c r="A5" s="8" t="s">
        <v>18</v>
      </c>
      <c r="B5" s="9" t="n">
        <v>24500000</v>
      </c>
      <c r="E5" s="10" t="s">
        <v>19</v>
      </c>
    </row>
    <row r="6" customFormat="false" ht="15" hidden="false" customHeight="true" outlineLevel="0" collapsed="false">
      <c r="A6" s="8" t="s">
        <v>20</v>
      </c>
      <c r="B6" s="9" t="n">
        <v>490000000</v>
      </c>
      <c r="E6" s="10"/>
    </row>
    <row r="7" customFormat="false" ht="15" hidden="false" customHeight="true" outlineLevel="0" collapsed="false">
      <c r="A7" s="8" t="s">
        <v>21</v>
      </c>
      <c r="B7" s="11" t="n">
        <f aca="false">B5/B6</f>
        <v>0.05</v>
      </c>
      <c r="E7" s="10"/>
    </row>
    <row r="8" customFormat="false" ht="15" hidden="false" customHeight="true" outlineLevel="0" collapsed="false">
      <c r="A8" s="8" t="s">
        <v>22</v>
      </c>
      <c r="B8" s="9" t="n">
        <v>180320</v>
      </c>
      <c r="E8" s="10"/>
    </row>
    <row r="9" customFormat="false" ht="15" hidden="false" customHeight="true" outlineLevel="0" collapsed="false">
      <c r="A9" s="8" t="s">
        <v>23</v>
      </c>
      <c r="B9" s="12" t="n">
        <f aca="false">B17*B7</f>
        <v>180320</v>
      </c>
      <c r="E9" s="10"/>
    </row>
    <row r="10" customFormat="false" ht="15" hidden="false" customHeight="true" outlineLevel="0" collapsed="false">
      <c r="A10" s="8" t="s">
        <v>24</v>
      </c>
      <c r="B10" s="9" t="n">
        <v>13313300</v>
      </c>
      <c r="E10" s="10"/>
    </row>
    <row r="11" customFormat="false" ht="15" hidden="false" customHeight="true" outlineLevel="0" collapsed="false">
      <c r="E11" s="10"/>
    </row>
    <row r="12" customFormat="false" ht="15" hidden="false" customHeight="true" outlineLevel="0" collapsed="false">
      <c r="A12" s="5" t="s">
        <v>25</v>
      </c>
      <c r="E12" s="10"/>
    </row>
    <row r="13" customFormat="false" ht="15" hidden="false" customHeight="true" outlineLevel="0" collapsed="false">
      <c r="A13" s="8" t="s">
        <v>26</v>
      </c>
      <c r="B13" s="13" t="n">
        <v>266266000</v>
      </c>
      <c r="E13" s="10"/>
    </row>
    <row r="14" customFormat="false" ht="15" hidden="false" customHeight="true" outlineLevel="0" collapsed="false">
      <c r="A14" s="8" t="s">
        <v>27</v>
      </c>
      <c r="B14" s="13" t="n">
        <v>39200000</v>
      </c>
      <c r="E14" s="10"/>
    </row>
    <row r="15" customFormat="false" ht="15" hidden="false" customHeight="true" outlineLevel="0" collapsed="false">
      <c r="A15" s="8" t="s">
        <v>28</v>
      </c>
      <c r="B15" s="13" t="n">
        <v>-44100000</v>
      </c>
      <c r="E15" s="10"/>
    </row>
    <row r="16" customFormat="false" ht="15" hidden="false" customHeight="true" outlineLevel="0" collapsed="false">
      <c r="A16" s="8" t="s">
        <v>29</v>
      </c>
      <c r="B16" s="13" t="n">
        <v>-3136000</v>
      </c>
      <c r="E16" s="10"/>
    </row>
    <row r="17" customFormat="false" ht="15" hidden="false" customHeight="true" outlineLevel="0" collapsed="false">
      <c r="A17" s="8" t="s">
        <v>30</v>
      </c>
      <c r="B17" s="13" t="n">
        <v>3606400</v>
      </c>
      <c r="E17" s="10"/>
    </row>
    <row r="18" customFormat="false" ht="15" hidden="false" customHeight="true" outlineLevel="0" collapsed="false">
      <c r="A18" s="8" t="s">
        <v>31</v>
      </c>
      <c r="B18" s="13" t="n">
        <v>20972000</v>
      </c>
      <c r="E18" s="10"/>
    </row>
    <row r="19" customFormat="false" ht="15" hidden="false" customHeight="true" outlineLevel="0" collapsed="false">
      <c r="A19" s="8" t="s">
        <v>32</v>
      </c>
      <c r="B19" s="13" t="n">
        <v>-4508000</v>
      </c>
      <c r="E19" s="10"/>
    </row>
    <row r="20" customFormat="false" ht="15" hidden="false" customHeight="true" outlineLevel="0" collapsed="false">
      <c r="A20" s="8" t="s">
        <v>33</v>
      </c>
      <c r="B20" s="13" t="n">
        <v>-2850000</v>
      </c>
      <c r="E20" s="10"/>
    </row>
    <row r="21" customFormat="false" ht="15" hidden="false" customHeight="true" outlineLevel="0" collapsed="false">
      <c r="A21" s="14" t="s">
        <v>34</v>
      </c>
      <c r="B21" s="15" t="n">
        <f aca="false">B13+B14+B15+B16+B18+B19+B20</f>
        <v>271844000</v>
      </c>
      <c r="E21" s="10"/>
    </row>
    <row r="22" customFormat="false" ht="15" hidden="false" customHeight="true" outlineLevel="0" collapsed="false">
      <c r="E22" s="10"/>
    </row>
    <row r="23" customFormat="false" ht="15" hidden="false" customHeight="true" outlineLevel="0" collapsed="false">
      <c r="A23" s="5" t="s">
        <v>35</v>
      </c>
      <c r="E23" s="10"/>
    </row>
    <row r="24" customFormat="false" ht="27.75" hidden="false" customHeight="true" outlineLevel="0" collapsed="false">
      <c r="A24" s="16" t="s">
        <v>36</v>
      </c>
      <c r="B24" s="17" t="s">
        <v>37</v>
      </c>
      <c r="C24" s="17" t="s">
        <v>38</v>
      </c>
      <c r="E24" s="10"/>
    </row>
    <row r="25" customFormat="false" ht="15" hidden="false" customHeight="true" outlineLevel="0" collapsed="false">
      <c r="A25" s="8" t="s">
        <v>39</v>
      </c>
      <c r="B25" s="12" t="n">
        <f aca="false">B10</f>
        <v>13313300</v>
      </c>
      <c r="C25" s="12" t="n">
        <f aca="false">B25</f>
        <v>13313300</v>
      </c>
      <c r="E25" s="10"/>
    </row>
    <row r="26" customFormat="false" ht="15" hidden="false" customHeight="true" outlineLevel="0" collapsed="false">
      <c r="A26" s="8" t="s">
        <v>27</v>
      </c>
      <c r="B26" s="12" t="n">
        <f aca="false">B14*$B$7</f>
        <v>1960000</v>
      </c>
      <c r="C26" s="12" t="n">
        <f aca="false">C25+B26</f>
        <v>15273300</v>
      </c>
      <c r="E26" s="10"/>
    </row>
    <row r="27" customFormat="false" ht="15" hidden="false" customHeight="true" outlineLevel="0" collapsed="false">
      <c r="A27" s="8" t="s">
        <v>28</v>
      </c>
      <c r="B27" s="12" t="n">
        <f aca="false">B15*$B$7</f>
        <v>-2205000</v>
      </c>
      <c r="C27" s="12" t="n">
        <f aca="false">C26+B27</f>
        <v>13068300</v>
      </c>
    </row>
    <row r="28" customFormat="false" ht="15" hidden="false" customHeight="true" outlineLevel="0" collapsed="false">
      <c r="A28" s="8" t="s">
        <v>40</v>
      </c>
      <c r="B28" s="12" t="n">
        <f aca="false">(B16+B17)*$B$7</f>
        <v>23520</v>
      </c>
      <c r="C28" s="12" t="n">
        <f aca="false">C27+B28</f>
        <v>13091820</v>
      </c>
    </row>
    <row r="29" customFormat="false" ht="15" hidden="false" customHeight="true" outlineLevel="0" collapsed="false">
      <c r="A29" s="8" t="s">
        <v>41</v>
      </c>
      <c r="B29" s="12" t="n">
        <f aca="false">-B8</f>
        <v>-180320</v>
      </c>
      <c r="C29" s="12" t="n">
        <f aca="false">C28+B29</f>
        <v>12911500</v>
      </c>
    </row>
    <row r="30" customFormat="false" ht="15" hidden="false" customHeight="true" outlineLevel="0" collapsed="false">
      <c r="A30" s="8" t="s">
        <v>42</v>
      </c>
      <c r="B30" s="12" t="n">
        <f aca="false">B18*$B$7</f>
        <v>1048600</v>
      </c>
      <c r="C30" s="12" t="n">
        <f aca="false">C29+B30</f>
        <v>13960100</v>
      </c>
    </row>
    <row r="31" customFormat="false" ht="15" hidden="false" customHeight="true" outlineLevel="0" collapsed="false">
      <c r="A31" s="8" t="s">
        <v>43</v>
      </c>
      <c r="B31" s="12" t="n">
        <f aca="false">B19*$B$7</f>
        <v>-225400</v>
      </c>
      <c r="C31" s="12" t="n">
        <f aca="false">C30+B31</f>
        <v>13734700</v>
      </c>
    </row>
    <row r="32" customFormat="false" ht="15" hidden="false" customHeight="true" outlineLevel="0" collapsed="false">
      <c r="A32" s="8" t="s">
        <v>44</v>
      </c>
      <c r="B32" s="12" t="n">
        <f aca="false">B20*$B$7</f>
        <v>-142500</v>
      </c>
      <c r="C32" s="12" t="n">
        <f aca="false">C31+B32</f>
        <v>13592200</v>
      </c>
    </row>
    <row r="33" customFormat="false" ht="15" hidden="false" customHeight="true" outlineLevel="0" collapsed="false">
      <c r="A33" s="14" t="s">
        <v>45</v>
      </c>
      <c r="B33" s="15" t="n">
        <f aca="false">C32</f>
        <v>13592200</v>
      </c>
    </row>
    <row r="34" customFormat="false" ht="15" hidden="false" customHeight="true" outlineLevel="0" collapsed="false">
      <c r="A34" s="18" t="s">
        <v>46</v>
      </c>
      <c r="B34" s="18"/>
      <c r="C34" s="18"/>
    </row>
    <row r="35" customFormat="false" ht="15" hidden="false" customHeight="true" outlineLevel="0" collapsed="false">
      <c r="A35" s="18"/>
      <c r="B35" s="18"/>
      <c r="C35" s="18"/>
    </row>
    <row r="37" customFormat="false" ht="15" hidden="false" customHeight="true" outlineLevel="0" collapsed="false">
      <c r="A37" s="5" t="s">
        <v>47</v>
      </c>
    </row>
    <row r="38" customFormat="false" ht="15" hidden="false" customHeight="true" outlineLevel="0" collapsed="false">
      <c r="A38" s="8" t="s">
        <v>48</v>
      </c>
      <c r="B38" s="12" t="n">
        <f aca="false">B21*B7</f>
        <v>13592200</v>
      </c>
    </row>
    <row r="39" customFormat="false" ht="15" hidden="false" customHeight="true" outlineLevel="0" collapsed="false">
      <c r="A39" s="8" t="s">
        <v>49</v>
      </c>
      <c r="B39" s="12" t="n">
        <f aca="false">B33</f>
        <v>13592200</v>
      </c>
    </row>
    <row r="40" customFormat="false" ht="15" hidden="false" customHeight="true" outlineLevel="0" collapsed="false">
      <c r="A40" s="19" t="s">
        <v>50</v>
      </c>
      <c r="B40" s="20" t="n">
        <f aca="false">B39-B38</f>
        <v>0</v>
      </c>
    </row>
    <row r="41" customFormat="false" ht="15" hidden="false" customHeight="true" outlineLevel="0" collapsed="false">
      <c r="A41" s="8" t="s">
        <v>51</v>
      </c>
      <c r="B41" s="12" t="n">
        <f aca="false">B17*B7-B8</f>
        <v>0</v>
      </c>
    </row>
    <row r="42" customFormat="false" ht="15" hidden="false" customHeight="true" outlineLevel="0" collapsed="false">
      <c r="A42" s="8" t="s">
        <v>52</v>
      </c>
      <c r="B42" s="12" t="n">
        <f aca="false">B10-B13*B7</f>
        <v>0</v>
      </c>
    </row>
    <row r="43" customFormat="false" ht="15" hidden="false" customHeight="true" outlineLevel="0" collapsed="false">
      <c r="A43" s="8" t="s">
        <v>53</v>
      </c>
      <c r="B43" s="12" t="n">
        <f aca="false">B41+B42</f>
        <v>0</v>
      </c>
    </row>
    <row r="44" customFormat="false" ht="15" hidden="false" customHeight="true" outlineLevel="0" collapsed="false">
      <c r="A44" s="19" t="s">
        <v>54</v>
      </c>
      <c r="B44" s="20" t="n">
        <f aca="false">B40-B43</f>
        <v>0</v>
      </c>
    </row>
  </sheetData>
  <mergeCells count="2">
    <mergeCell ref="E5:E26"/>
    <mergeCell ref="A34:C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6"/>
    <col collapsed="false" customWidth="true" hidden="false" outlineLevel="0" max="4" min="2" style="1" width="18"/>
    <col collapsed="false" customWidth="true" hidden="false" outlineLevel="0" max="5" min="5" style="1" width="3"/>
    <col collapsed="false" customWidth="true" hidden="false" outlineLevel="0" max="6" min="6" style="1" width="52"/>
  </cols>
  <sheetData>
    <row r="1" customFormat="false" ht="17.25" hidden="false" customHeight="true" outlineLevel="0" collapsed="false">
      <c r="A1" s="7" t="s">
        <v>55</v>
      </c>
    </row>
    <row r="2" customFormat="false" ht="15" hidden="false" customHeight="true" outlineLevel="0" collapsed="false">
      <c r="A2" s="4" t="s">
        <v>56</v>
      </c>
    </row>
    <row r="4" customFormat="false" ht="15" hidden="false" customHeight="true" outlineLevel="0" collapsed="false">
      <c r="A4" s="8" t="s">
        <v>57</v>
      </c>
      <c r="B4" s="9" t="n">
        <v>6900000</v>
      </c>
      <c r="F4" s="5" t="s">
        <v>58</v>
      </c>
    </row>
    <row r="5" customFormat="false" ht="15" hidden="false" customHeight="true" outlineLevel="0" collapsed="false">
      <c r="A5" s="8" t="s">
        <v>59</v>
      </c>
      <c r="B5" s="9" t="n">
        <v>390000</v>
      </c>
      <c r="F5" s="10" t="s">
        <v>60</v>
      </c>
    </row>
    <row r="6" customFormat="false" ht="15" hidden="false" customHeight="true" outlineLevel="0" collapsed="false">
      <c r="A6" s="8" t="s">
        <v>61</v>
      </c>
      <c r="B6" s="21" t="n">
        <v>46022</v>
      </c>
      <c r="F6" s="10"/>
    </row>
    <row r="7" customFormat="false" ht="15" hidden="false" customHeight="true" outlineLevel="0" collapsed="false">
      <c r="F7" s="10"/>
    </row>
    <row r="8" customFormat="false" ht="15" hidden="false" customHeight="true" outlineLevel="0" collapsed="false">
      <c r="A8" s="5" t="s">
        <v>62</v>
      </c>
      <c r="F8" s="10"/>
    </row>
    <row r="9" customFormat="false" ht="15" hidden="false" customHeight="true" outlineLevel="0" collapsed="false">
      <c r="A9" s="22" t="s">
        <v>63</v>
      </c>
      <c r="B9" s="22"/>
      <c r="C9" s="22"/>
      <c r="D9" s="22"/>
      <c r="F9" s="10"/>
    </row>
    <row r="10" customFormat="false" ht="27.75" hidden="false" customHeight="true" outlineLevel="0" collapsed="false">
      <c r="A10" s="16" t="s">
        <v>64</v>
      </c>
      <c r="B10" s="17" t="s">
        <v>37</v>
      </c>
      <c r="C10" s="17" t="s">
        <v>65</v>
      </c>
      <c r="D10" s="17" t="s">
        <v>66</v>
      </c>
      <c r="F10" s="10"/>
    </row>
    <row r="11" customFormat="false" ht="15" hidden="false" customHeight="true" outlineLevel="0" collapsed="false">
      <c r="A11" s="23" t="n">
        <v>44270</v>
      </c>
      <c r="B11" s="13" t="n">
        <v>-2000000</v>
      </c>
      <c r="C11" s="24" t="n">
        <f aca="false">IF(A11="","",EOMONTH(DATE(YEAR(A11),ROUNDUP(MONTH(A11)/3,0)*3,1),0))</f>
        <v>44286</v>
      </c>
      <c r="D11" s="4" t="s">
        <v>67</v>
      </c>
      <c r="F11" s="10"/>
    </row>
    <row r="12" customFormat="false" ht="15" hidden="false" customHeight="true" outlineLevel="0" collapsed="false">
      <c r="A12" s="23" t="n">
        <v>44459</v>
      </c>
      <c r="B12" s="13" t="n">
        <v>-1500000</v>
      </c>
      <c r="C12" s="24" t="n">
        <f aca="false">IF(A12="","",EOMONTH(DATE(YEAR(A12),ROUNDUP(MONTH(A12)/3,0)*3,1),0))</f>
        <v>44469</v>
      </c>
      <c r="D12" s="4"/>
      <c r="F12" s="10"/>
    </row>
    <row r="13" customFormat="false" ht="15" hidden="false" customHeight="true" outlineLevel="0" collapsed="false">
      <c r="A13" s="23" t="n">
        <v>44663</v>
      </c>
      <c r="B13" s="13" t="n">
        <v>-2500000</v>
      </c>
      <c r="C13" s="24" t="n">
        <f aca="false">IF(A13="","",EOMONTH(DATE(YEAR(A13),ROUNDUP(MONTH(A13)/3,0)*3,1),0))</f>
        <v>44742</v>
      </c>
      <c r="D13" s="4"/>
      <c r="F13" s="10"/>
    </row>
    <row r="14" customFormat="false" ht="15" hidden="false" customHeight="true" outlineLevel="0" collapsed="false">
      <c r="A14" s="23" t="n">
        <v>44895</v>
      </c>
      <c r="B14" s="13" t="n">
        <v>400000</v>
      </c>
      <c r="C14" s="24" t="n">
        <f aca="false">IF(A14="","",EOMONTH(DATE(YEAR(A14),ROUNDUP(MONTH(A14)/3,0)*3,1),0))</f>
        <v>44926</v>
      </c>
      <c r="D14" s="4" t="s">
        <v>68</v>
      </c>
      <c r="F14" s="10"/>
    </row>
    <row r="15" customFormat="false" ht="15" hidden="false" customHeight="true" outlineLevel="0" collapsed="false">
      <c r="A15" s="23" t="n">
        <v>45095</v>
      </c>
      <c r="B15" s="13" t="n">
        <v>-1800000</v>
      </c>
      <c r="C15" s="24" t="n">
        <f aca="false">IF(A15="","",EOMONTH(DATE(YEAR(A15),ROUNDUP(MONTH(A15)/3,0)*3,1),0))</f>
        <v>45107</v>
      </c>
      <c r="D15" s="4"/>
      <c r="F15" s="10"/>
    </row>
    <row r="16" customFormat="false" ht="15" hidden="false" customHeight="true" outlineLevel="0" collapsed="false">
      <c r="A16" s="23" t="n">
        <v>45275</v>
      </c>
      <c r="B16" s="13" t="n">
        <v>1200000</v>
      </c>
      <c r="C16" s="24" t="n">
        <f aca="false">IF(A16="","",EOMONTH(DATE(YEAR(A16),ROUNDUP(MONTH(A16)/3,0)*3,1),0))</f>
        <v>45291</v>
      </c>
      <c r="D16" s="4"/>
      <c r="F16" s="10"/>
    </row>
    <row r="17" customFormat="false" ht="15" hidden="false" customHeight="true" outlineLevel="0" collapsed="false">
      <c r="A17" s="23" t="n">
        <v>45422</v>
      </c>
      <c r="B17" s="13" t="n">
        <v>-1200000</v>
      </c>
      <c r="C17" s="24" t="n">
        <f aca="false">IF(A17="","",EOMONTH(DATE(YEAR(A17),ROUNDUP(MONTH(A17)/3,0)*3,1),0))</f>
        <v>45473</v>
      </c>
      <c r="D17" s="4"/>
      <c r="F17" s="10"/>
    </row>
    <row r="18" customFormat="false" ht="15" hidden="false" customHeight="true" outlineLevel="0" collapsed="false">
      <c r="A18" s="23" t="n">
        <v>45593</v>
      </c>
      <c r="B18" s="13" t="n">
        <v>2600000</v>
      </c>
      <c r="C18" s="24" t="n">
        <f aca="false">IF(A18="","",EOMONTH(DATE(YEAR(A18),ROUNDUP(MONTH(A18)/3,0)*3,1),0))</f>
        <v>45657</v>
      </c>
      <c r="D18" s="4" t="s">
        <v>69</v>
      </c>
      <c r="F18" s="10"/>
    </row>
    <row r="19" customFormat="false" ht="15" hidden="false" customHeight="true" outlineLevel="0" collapsed="false">
      <c r="A19" s="23" t="n">
        <v>46022</v>
      </c>
      <c r="B19" s="13" t="n">
        <v>0</v>
      </c>
      <c r="D19" s="4" t="s">
        <v>70</v>
      </c>
      <c r="F19" s="10"/>
    </row>
    <row r="20" customFormat="false" ht="15" hidden="false" customHeight="true" outlineLevel="0" collapsed="false">
      <c r="A20" s="23" t="n">
        <v>46022</v>
      </c>
      <c r="B20" s="13" t="n">
        <v>0</v>
      </c>
      <c r="D20" s="4" t="s">
        <v>70</v>
      </c>
      <c r="F20" s="10"/>
    </row>
    <row r="21" customFormat="false" ht="15" hidden="false" customHeight="true" outlineLevel="0" collapsed="false">
      <c r="A21" s="23" t="n">
        <v>46022</v>
      </c>
      <c r="B21" s="13" t="n">
        <v>0</v>
      </c>
      <c r="D21" s="4" t="s">
        <v>70</v>
      </c>
      <c r="F21" s="10"/>
    </row>
    <row r="22" customFormat="false" ht="15" hidden="false" customHeight="true" outlineLevel="0" collapsed="false">
      <c r="A22" s="23" t="n">
        <v>46022</v>
      </c>
      <c r="B22" s="13" t="n">
        <v>0</v>
      </c>
      <c r="D22" s="4" t="s">
        <v>70</v>
      </c>
      <c r="F22" s="10"/>
    </row>
    <row r="23" customFormat="false" ht="15" hidden="false" customHeight="true" outlineLevel="0" collapsed="false">
      <c r="A23" s="23" t="n">
        <v>46022</v>
      </c>
      <c r="B23" s="13" t="n">
        <v>0</v>
      </c>
      <c r="D23" s="4" t="s">
        <v>70</v>
      </c>
      <c r="F23" s="10"/>
    </row>
    <row r="24" customFormat="false" ht="15" hidden="false" customHeight="true" outlineLevel="0" collapsed="false">
      <c r="A24" s="25" t="n">
        <f aca="false">$B$6</f>
        <v>46022</v>
      </c>
      <c r="B24" s="20" t="n">
        <f aca="false">B4</f>
        <v>6900000</v>
      </c>
      <c r="C24" s="25" t="n">
        <f aca="false">$B$6</f>
        <v>46022</v>
      </c>
      <c r="D24" s="19" t="s">
        <v>71</v>
      </c>
      <c r="F24" s="10"/>
    </row>
    <row r="25" customFormat="false" ht="15" hidden="false" customHeight="true" outlineLevel="0" collapsed="false">
      <c r="A25" s="4" t="s">
        <v>72</v>
      </c>
      <c r="B25" s="12" t="n">
        <f aca="false">B4+B5</f>
        <v>7290000</v>
      </c>
      <c r="F25" s="10"/>
    </row>
    <row r="26" customFormat="false" ht="15" hidden="false" customHeight="true" outlineLevel="0" collapsed="false">
      <c r="A26" s="22" t="s">
        <v>73</v>
      </c>
      <c r="B26" s="22"/>
      <c r="C26" s="22"/>
      <c r="D26" s="22"/>
      <c r="F26" s="10"/>
    </row>
    <row r="27" customFormat="false" ht="15" hidden="false" customHeight="true" outlineLevel="0" collapsed="false">
      <c r="A27" s="5" t="s">
        <v>74</v>
      </c>
      <c r="F27" s="10"/>
    </row>
    <row r="28" customFormat="false" ht="15" hidden="false" customHeight="true" outlineLevel="0" collapsed="false">
      <c r="A28" s="8" t="s">
        <v>75</v>
      </c>
      <c r="B28" s="12" t="n">
        <f aca="false">-SUMIF(B11:B22,"&lt;0")</f>
        <v>9000000</v>
      </c>
      <c r="F28" s="10"/>
    </row>
    <row r="29" customFormat="false" ht="15" hidden="false" customHeight="true" outlineLevel="0" collapsed="false">
      <c r="A29" s="8" t="s">
        <v>76</v>
      </c>
      <c r="B29" s="12" t="n">
        <f aca="false">SUMIF(B11:B22,"&gt;0")</f>
        <v>4200000</v>
      </c>
      <c r="F29" s="10"/>
    </row>
    <row r="30" customFormat="false" ht="15" hidden="false" customHeight="true" outlineLevel="0" collapsed="false">
      <c r="A30" s="8" t="s">
        <v>77</v>
      </c>
      <c r="B30" s="26" t="n">
        <f aca="false">B29/B28</f>
        <v>0.466666666666667</v>
      </c>
      <c r="F30" s="10"/>
    </row>
    <row r="31" customFormat="false" ht="15" hidden="false" customHeight="true" outlineLevel="0" collapsed="false">
      <c r="A31" s="8" t="s">
        <v>78</v>
      </c>
      <c r="B31" s="26" t="n">
        <f aca="false">B4/B28</f>
        <v>0.766666666666667</v>
      </c>
    </row>
    <row r="32" customFormat="false" ht="15" hidden="false" customHeight="true" outlineLevel="0" collapsed="false">
      <c r="A32" s="19" t="s">
        <v>79</v>
      </c>
      <c r="B32" s="27" t="n">
        <f aca="false">B30+B31</f>
        <v>1.23333333333333</v>
      </c>
    </row>
    <row r="33" customFormat="false" ht="15" hidden="false" customHeight="true" outlineLevel="0" collapsed="false">
      <c r="A33" s="8" t="s">
        <v>80</v>
      </c>
      <c r="B33" s="26" t="n">
        <f aca="false">(B29+B25)/B28</f>
        <v>1.27666666666667</v>
      </c>
    </row>
    <row r="35" customFormat="false" ht="15" hidden="false" customHeight="true" outlineLevel="0" collapsed="false">
      <c r="A35" s="5" t="s">
        <v>81</v>
      </c>
    </row>
    <row r="36" customFormat="false" ht="15" hidden="false" customHeight="true" outlineLevel="0" collapsed="false">
      <c r="A36" s="8" t="s">
        <v>82</v>
      </c>
      <c r="B36" s="11" t="n">
        <f aca="false">XIRR(B11:B24,A11:A24)</f>
        <v>0.0737740848220843</v>
      </c>
    </row>
    <row r="37" customFormat="false" ht="15" hidden="false" customHeight="true" outlineLevel="0" collapsed="false">
      <c r="A37" s="8" t="s">
        <v>83</v>
      </c>
      <c r="B37" s="11" t="n">
        <f aca="false">XIRR(B11:B24,C11:C24)</f>
        <v>0.0750041382333106</v>
      </c>
    </row>
    <row r="38" customFormat="false" ht="15" hidden="false" customHeight="true" outlineLevel="0" collapsed="false">
      <c r="A38" s="8" t="s">
        <v>84</v>
      </c>
      <c r="B38" s="28" t="n">
        <v>0.087</v>
      </c>
    </row>
    <row r="39" customFormat="false" ht="15" hidden="false" customHeight="true" outlineLevel="0" collapsed="false">
      <c r="A39" s="19" t="s">
        <v>85</v>
      </c>
      <c r="B39" s="29" t="n">
        <f aca="false">B38-B36</f>
        <v>0.0132259151779157</v>
      </c>
    </row>
    <row r="41" customFormat="false" ht="15" hidden="false" customHeight="true" outlineLevel="0" collapsed="false">
      <c r="A41" s="5" t="s">
        <v>86</v>
      </c>
    </row>
    <row r="42" customFormat="false" ht="15" hidden="false" customHeight="true" outlineLevel="0" collapsed="false">
      <c r="A42" s="8" t="s">
        <v>87</v>
      </c>
      <c r="B42" s="9" t="n">
        <v>100000000</v>
      </c>
    </row>
    <row r="43" customFormat="false" ht="15" hidden="false" customHeight="true" outlineLevel="0" collapsed="false">
      <c r="A43" s="8" t="s">
        <v>88</v>
      </c>
      <c r="B43" s="30" t="n">
        <v>12</v>
      </c>
    </row>
    <row r="44" customFormat="false" ht="15" hidden="false" customHeight="true" outlineLevel="0" collapsed="false">
      <c r="A44" s="8" t="s">
        <v>89</v>
      </c>
      <c r="B44" s="9" t="n">
        <v>3500000</v>
      </c>
    </row>
    <row r="45" customFormat="false" ht="15" hidden="false" customHeight="true" outlineLevel="0" collapsed="false">
      <c r="A45" s="8" t="s">
        <v>90</v>
      </c>
      <c r="B45" s="9" t="n">
        <v>168000000</v>
      </c>
    </row>
    <row r="46" customFormat="false" ht="15" hidden="false" customHeight="true" outlineLevel="0" collapsed="false">
      <c r="A46" s="8" t="s">
        <v>91</v>
      </c>
      <c r="B46" s="31" t="n">
        <v>2.5</v>
      </c>
    </row>
    <row r="47" customFormat="false" ht="15" hidden="false" customHeight="true" outlineLevel="0" collapsed="false">
      <c r="A47" s="8" t="s">
        <v>92</v>
      </c>
      <c r="B47" s="12" t="n">
        <f aca="false">B42+B44</f>
        <v>103500000</v>
      </c>
    </row>
    <row r="48" customFormat="false" ht="15" hidden="false" customHeight="true" outlineLevel="0" collapsed="false">
      <c r="A48" s="8" t="s">
        <v>93</v>
      </c>
      <c r="B48" s="32" t="n">
        <f aca="false">B46+B43/12</f>
        <v>3.5</v>
      </c>
    </row>
    <row r="50" customFormat="false" ht="27.75" hidden="false" customHeight="true" outlineLevel="0" collapsed="false">
      <c r="A50" s="16" t="s">
        <v>94</v>
      </c>
      <c r="B50" s="17" t="s">
        <v>95</v>
      </c>
      <c r="C50" s="17" t="s">
        <v>96</v>
      </c>
    </row>
    <row r="51" customFormat="false" ht="15" hidden="false" customHeight="true" outlineLevel="0" collapsed="false">
      <c r="A51" s="8" t="s">
        <v>97</v>
      </c>
      <c r="B51" s="26" t="n">
        <f aca="false">B45/B47</f>
        <v>1.6231884057971</v>
      </c>
      <c r="C51" s="11" t="n">
        <f aca="false">B51^(1/B46)-1</f>
        <v>0.213801228681223</v>
      </c>
    </row>
    <row r="52" customFormat="false" ht="15" hidden="false" customHeight="true" outlineLevel="0" collapsed="false">
      <c r="A52" s="19" t="s">
        <v>98</v>
      </c>
      <c r="B52" s="27" t="n">
        <f aca="false">B51</f>
        <v>1.6231884057971</v>
      </c>
      <c r="C52" s="29" t="n">
        <f aca="false">B52^(1/B48)-1</f>
        <v>0.148432327675855</v>
      </c>
    </row>
    <row r="53" customFormat="false" ht="15" hidden="false" customHeight="true" outlineLevel="0" collapsed="false">
      <c r="A53" s="8" t="s">
        <v>99</v>
      </c>
      <c r="B53" s="26" t="n">
        <f aca="false">(B45+B44)/B42</f>
        <v>1.715</v>
      </c>
      <c r="C53" s="11" t="n">
        <f aca="false">B53^(1/B48)-1</f>
        <v>0.166628567696265</v>
      </c>
    </row>
    <row r="54" customFormat="false" ht="15" hidden="false" customHeight="true" outlineLevel="0" collapsed="false">
      <c r="A54" s="8" t="s">
        <v>100</v>
      </c>
      <c r="B54" s="33" t="n">
        <f aca="false">(C51-C52)*10000</f>
        <v>653.689010053677</v>
      </c>
    </row>
  </sheetData>
  <mergeCells count="3">
    <mergeCell ref="F5:F30"/>
    <mergeCell ref="A9:D9"/>
    <mergeCell ref="A26:D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6"/>
    <col collapsed="false" customWidth="true" hidden="false" outlineLevel="0" max="3" min="2" style="1" width="20"/>
    <col collapsed="false" customWidth="true" hidden="false" outlineLevel="0" max="4" min="4" style="1" width="3"/>
    <col collapsed="false" customWidth="true" hidden="false" outlineLevel="0" max="5" min="5" style="1" width="52"/>
  </cols>
  <sheetData>
    <row r="1" customFormat="false" ht="17.25" hidden="false" customHeight="true" outlineLevel="0" collapsed="false">
      <c r="A1" s="7" t="s">
        <v>101</v>
      </c>
    </row>
    <row r="2" customFormat="false" ht="15" hidden="false" customHeight="true" outlineLevel="0" collapsed="false">
      <c r="A2" s="4" t="s">
        <v>102</v>
      </c>
    </row>
    <row r="4" customFormat="false" ht="15" hidden="false" customHeight="true" outlineLevel="0" collapsed="false">
      <c r="A4" s="5" t="s">
        <v>103</v>
      </c>
      <c r="E4" s="5" t="s">
        <v>104</v>
      </c>
    </row>
    <row r="5" customFormat="false" ht="15" hidden="false" customHeight="true" outlineLevel="0" collapsed="false">
      <c r="A5" s="8" t="s">
        <v>105</v>
      </c>
      <c r="B5" s="9" t="n">
        <v>500000000</v>
      </c>
      <c r="E5" s="10" t="s">
        <v>106</v>
      </c>
    </row>
    <row r="6" customFormat="false" ht="15" hidden="false" customHeight="true" outlineLevel="0" collapsed="false">
      <c r="A6" s="8" t="s">
        <v>107</v>
      </c>
      <c r="B6" s="28" t="n">
        <v>0.02</v>
      </c>
      <c r="E6" s="10"/>
    </row>
    <row r="7" customFormat="false" ht="15" hidden="false" customHeight="true" outlineLevel="0" collapsed="false">
      <c r="A7" s="8" t="s">
        <v>108</v>
      </c>
      <c r="B7" s="28" t="n">
        <v>0.0175</v>
      </c>
      <c r="E7" s="10"/>
    </row>
    <row r="8" customFormat="false" ht="15" hidden="false" customHeight="true" outlineLevel="0" collapsed="false">
      <c r="A8" s="8" t="s">
        <v>109</v>
      </c>
      <c r="B8" s="9" t="n">
        <v>215000000</v>
      </c>
      <c r="E8" s="10"/>
    </row>
    <row r="9" customFormat="false" ht="15" hidden="false" customHeight="true" outlineLevel="0" collapsed="false">
      <c r="A9" s="8" t="s">
        <v>110</v>
      </c>
      <c r="B9" s="9" t="n">
        <v>277450000</v>
      </c>
      <c r="E9" s="10"/>
    </row>
    <row r="10" customFormat="false" ht="15" hidden="false" customHeight="true" outlineLevel="0" collapsed="false">
      <c r="A10" s="8" t="s">
        <v>111</v>
      </c>
      <c r="B10" s="9" t="n">
        <v>18000000</v>
      </c>
      <c r="E10" s="10"/>
    </row>
    <row r="11" customFormat="false" ht="15" hidden="false" customHeight="true" outlineLevel="0" collapsed="false">
      <c r="A11" s="8" t="s">
        <v>112</v>
      </c>
      <c r="B11" s="31" t="n">
        <v>1</v>
      </c>
      <c r="E11" s="10"/>
    </row>
    <row r="12" customFormat="false" ht="15" hidden="false" customHeight="true" outlineLevel="0" collapsed="false">
      <c r="E12" s="10"/>
    </row>
    <row r="13" customFormat="false" ht="15" hidden="false" customHeight="true" outlineLevel="0" collapsed="false">
      <c r="A13" s="5" t="s">
        <v>113</v>
      </c>
      <c r="E13" s="10"/>
    </row>
    <row r="14" customFormat="false" ht="27.75" hidden="false" customHeight="true" outlineLevel="0" collapsed="false">
      <c r="A14" s="16" t="s">
        <v>114</v>
      </c>
      <c r="B14" s="17" t="s">
        <v>37</v>
      </c>
      <c r="C14" s="17" t="s">
        <v>96</v>
      </c>
      <c r="D14" s="17" t="s">
        <v>115</v>
      </c>
      <c r="E14" s="10"/>
    </row>
    <row r="15" customFormat="false" ht="15" hidden="false" customHeight="true" outlineLevel="0" collapsed="false">
      <c r="A15" s="8" t="s">
        <v>116</v>
      </c>
      <c r="B15" s="12" t="n">
        <f aca="false">B5</f>
        <v>500000000</v>
      </c>
      <c r="C15" s="11" t="n">
        <f aca="false">B6</f>
        <v>0.02</v>
      </c>
      <c r="D15" s="12" t="n">
        <f aca="false">B15*C15*$B$11</f>
        <v>10000000</v>
      </c>
      <c r="E15" s="10"/>
    </row>
    <row r="16" customFormat="false" ht="15" hidden="false" customHeight="true" outlineLevel="0" collapsed="false">
      <c r="A16" s="8" t="s">
        <v>117</v>
      </c>
      <c r="B16" s="12" t="n">
        <f aca="false">B8</f>
        <v>215000000</v>
      </c>
      <c r="C16" s="11" t="n">
        <f aca="false">B7</f>
        <v>0.0175</v>
      </c>
      <c r="D16" s="12" t="n">
        <f aca="false">B16*C16*$B$11</f>
        <v>3762500</v>
      </c>
      <c r="E16" s="10"/>
    </row>
    <row r="17" customFormat="false" ht="15" hidden="false" customHeight="true" outlineLevel="0" collapsed="false">
      <c r="A17" s="8" t="s">
        <v>118</v>
      </c>
      <c r="B17" s="12" t="n">
        <f aca="false">B9</f>
        <v>277450000</v>
      </c>
      <c r="C17" s="11" t="n">
        <f aca="false">B7</f>
        <v>0.0175</v>
      </c>
      <c r="D17" s="12" t="n">
        <f aca="false">B17*C17*$B$11</f>
        <v>4855375</v>
      </c>
      <c r="E17" s="10"/>
    </row>
    <row r="18" customFormat="false" ht="15" hidden="false" customHeight="true" outlineLevel="0" collapsed="false">
      <c r="A18" s="8" t="s">
        <v>119</v>
      </c>
      <c r="B18" s="12" t="n">
        <f aca="false">B5-B10</f>
        <v>482000000</v>
      </c>
      <c r="C18" s="11" t="n">
        <f aca="false">B7</f>
        <v>0.0175</v>
      </c>
      <c r="D18" s="12" t="n">
        <f aca="false">B18*C18*$B$11</f>
        <v>8435000</v>
      </c>
      <c r="E18" s="10"/>
    </row>
    <row r="19" customFormat="false" ht="15" hidden="false" customHeight="true" outlineLevel="0" collapsed="false">
      <c r="E19" s="10"/>
    </row>
    <row r="20" customFormat="false" ht="15" hidden="false" customHeight="true" outlineLevel="0" collapsed="false">
      <c r="A20" s="19" t="s">
        <v>120</v>
      </c>
      <c r="B20" s="29" t="n">
        <f aca="false">D16/D15-1</f>
        <v>-0.62375</v>
      </c>
      <c r="E20" s="10"/>
    </row>
    <row r="21" customFormat="false" ht="15" hidden="false" customHeight="true" outlineLevel="0" collapsed="false">
      <c r="A21" s="4" t="s">
        <v>121</v>
      </c>
      <c r="E21" s="10"/>
    </row>
    <row r="22" customFormat="false" ht="15" hidden="false" customHeight="true" outlineLevel="0" collapsed="false">
      <c r="E22" s="10"/>
    </row>
    <row r="23" customFormat="false" ht="15" hidden="false" customHeight="true" outlineLevel="0" collapsed="false">
      <c r="A23" s="5" t="s">
        <v>122</v>
      </c>
      <c r="E23" s="10"/>
    </row>
    <row r="24" customFormat="false" ht="15" hidden="false" customHeight="true" outlineLevel="0" collapsed="false">
      <c r="A24" s="8" t="s">
        <v>123</v>
      </c>
      <c r="B24" s="13" t="n">
        <v>4300000</v>
      </c>
      <c r="E24" s="10"/>
    </row>
    <row r="25" customFormat="false" ht="15" hidden="false" customHeight="true" outlineLevel="0" collapsed="false">
      <c r="A25" s="8" t="s">
        <v>124</v>
      </c>
      <c r="B25" s="13" t="n">
        <v>500000</v>
      </c>
    </row>
    <row r="26" customFormat="false" ht="15" hidden="false" customHeight="true" outlineLevel="0" collapsed="false">
      <c r="A26" s="8" t="s">
        <v>125</v>
      </c>
      <c r="B26" s="13" t="n">
        <v>200000</v>
      </c>
    </row>
    <row r="27" customFormat="false" ht="15" hidden="false" customHeight="true" outlineLevel="0" collapsed="false">
      <c r="A27" s="8" t="s">
        <v>126</v>
      </c>
      <c r="B27" s="13" t="n">
        <v>75000</v>
      </c>
    </row>
    <row r="28" customFormat="false" ht="15" hidden="false" customHeight="true" outlineLevel="0" collapsed="false">
      <c r="A28" s="8" t="s">
        <v>127</v>
      </c>
      <c r="B28" s="13" t="n">
        <v>0</v>
      </c>
    </row>
    <row r="29" customFormat="false" ht="15" hidden="false" customHeight="true" outlineLevel="0" collapsed="false">
      <c r="A29" s="8" t="s">
        <v>128</v>
      </c>
      <c r="B29" s="12" t="n">
        <f aca="false">B25+B26+B27-B28</f>
        <v>775000</v>
      </c>
    </row>
    <row r="30" customFormat="false" ht="15" hidden="false" customHeight="true" outlineLevel="0" collapsed="false">
      <c r="A30" s="8" t="s">
        <v>129</v>
      </c>
      <c r="B30" s="28" t="n">
        <v>0.8</v>
      </c>
    </row>
    <row r="31" customFormat="false" ht="15" hidden="false" customHeight="true" outlineLevel="0" collapsed="false">
      <c r="A31" s="8" t="s">
        <v>130</v>
      </c>
      <c r="B31" s="12" t="n">
        <f aca="false">B29*B30</f>
        <v>620000</v>
      </c>
    </row>
    <row r="32" customFormat="false" ht="15" hidden="false" customHeight="true" outlineLevel="0" collapsed="false">
      <c r="A32" s="8" t="s">
        <v>131</v>
      </c>
      <c r="B32" s="13" t="n">
        <v>0</v>
      </c>
    </row>
    <row r="33" customFormat="false" ht="15" hidden="false" customHeight="true" outlineLevel="0" collapsed="false">
      <c r="A33" s="8" t="s">
        <v>132</v>
      </c>
      <c r="B33" s="12" t="n">
        <f aca="false">B31+B32</f>
        <v>620000</v>
      </c>
    </row>
    <row r="34" customFormat="false" ht="15" hidden="false" customHeight="true" outlineLevel="0" collapsed="false">
      <c r="A34" s="19" t="s">
        <v>133</v>
      </c>
      <c r="B34" s="20" t="n">
        <f aca="false">MAX(0,B24-B33)</f>
        <v>3680000</v>
      </c>
    </row>
    <row r="35" customFormat="false" ht="15" hidden="false" customHeight="true" outlineLevel="0" collapsed="false">
      <c r="A35" s="8" t="s">
        <v>134</v>
      </c>
      <c r="B35" s="12" t="n">
        <f aca="false">MAX(0,B33-B24)</f>
        <v>0</v>
      </c>
    </row>
  </sheetData>
  <mergeCells count="1">
    <mergeCell ref="E5:E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20"/>
    <col collapsed="false" customWidth="true" hidden="false" outlineLevel="0" max="4" min="4" style="1" width="3"/>
    <col collapsed="false" customWidth="true" hidden="false" outlineLevel="0" max="5" min="5" style="1" width="52"/>
  </cols>
  <sheetData>
    <row r="1" customFormat="false" ht="17.25" hidden="false" customHeight="true" outlineLevel="0" collapsed="false">
      <c r="A1" s="7" t="s">
        <v>135</v>
      </c>
    </row>
    <row r="2" customFormat="false" ht="15" hidden="false" customHeight="true" outlineLevel="0" collapsed="false">
      <c r="A2" s="4" t="s">
        <v>136</v>
      </c>
    </row>
    <row r="4" customFormat="false" ht="15" hidden="false" customHeight="true" outlineLevel="0" collapsed="false">
      <c r="A4" s="5" t="s">
        <v>137</v>
      </c>
      <c r="E4" s="5" t="s">
        <v>138</v>
      </c>
    </row>
    <row r="5" customFormat="false" ht="15" hidden="false" customHeight="true" outlineLevel="0" collapsed="false">
      <c r="A5" s="8" t="s">
        <v>139</v>
      </c>
      <c r="B5" s="9" t="n">
        <v>240000000</v>
      </c>
      <c r="E5" s="10" t="s">
        <v>140</v>
      </c>
    </row>
    <row r="6" customFormat="false" ht="15" hidden="false" customHeight="true" outlineLevel="0" collapsed="false">
      <c r="A6" s="8" t="s">
        <v>141</v>
      </c>
      <c r="B6" s="9" t="n">
        <v>90000000</v>
      </c>
      <c r="E6" s="10"/>
    </row>
    <row r="7" customFormat="false" ht="15" hidden="false" customHeight="true" outlineLevel="0" collapsed="false">
      <c r="A7" s="8" t="s">
        <v>142</v>
      </c>
      <c r="B7" s="9" t="n">
        <v>330000000</v>
      </c>
      <c r="E7" s="10"/>
    </row>
    <row r="8" customFormat="false" ht="15" hidden="false" customHeight="true" outlineLevel="0" collapsed="false">
      <c r="A8" s="8" t="s">
        <v>143</v>
      </c>
      <c r="B8" s="9" t="n">
        <v>96000000</v>
      </c>
      <c r="E8" s="10"/>
    </row>
    <row r="9" customFormat="false" ht="15" hidden="false" customHeight="true" outlineLevel="0" collapsed="false">
      <c r="A9" s="8" t="s">
        <v>144</v>
      </c>
      <c r="B9" s="28" t="n">
        <v>1</v>
      </c>
      <c r="E9" s="10"/>
    </row>
    <row r="10" customFormat="false" ht="15" hidden="false" customHeight="true" outlineLevel="0" collapsed="false">
      <c r="A10" s="8" t="s">
        <v>145</v>
      </c>
      <c r="B10" s="28" t="n">
        <v>0.2</v>
      </c>
      <c r="E10" s="10"/>
    </row>
    <row r="11" customFormat="false" ht="15" hidden="false" customHeight="true" outlineLevel="0" collapsed="false">
      <c r="E11" s="10"/>
    </row>
    <row r="12" customFormat="false" ht="15" hidden="false" customHeight="true" outlineLevel="0" collapsed="false">
      <c r="A12" s="5" t="s">
        <v>146</v>
      </c>
      <c r="E12" s="10"/>
    </row>
    <row r="13" customFormat="false" ht="15" hidden="false" customHeight="true" outlineLevel="0" collapsed="false">
      <c r="A13" s="8" t="s">
        <v>147</v>
      </c>
      <c r="B13" s="12" t="n">
        <f aca="false">B6+B7</f>
        <v>420000000</v>
      </c>
      <c r="E13" s="10"/>
    </row>
    <row r="14" customFormat="false" ht="15" hidden="false" customHeight="true" outlineLevel="0" collapsed="false">
      <c r="A14" s="8" t="s">
        <v>148</v>
      </c>
      <c r="B14" s="12" t="n">
        <f aca="false">-B5</f>
        <v>-240000000</v>
      </c>
      <c r="E14" s="10"/>
    </row>
    <row r="15" customFormat="false" ht="15" hidden="false" customHeight="true" outlineLevel="0" collapsed="false">
      <c r="A15" s="8" t="s">
        <v>149</v>
      </c>
      <c r="B15" s="12" t="n">
        <f aca="false">B13+B14</f>
        <v>180000000</v>
      </c>
      <c r="E15" s="10"/>
    </row>
    <row r="16" customFormat="false" ht="15" hidden="false" customHeight="true" outlineLevel="0" collapsed="false">
      <c r="A16" s="8" t="s">
        <v>150</v>
      </c>
      <c r="B16" s="12" t="n">
        <f aca="false">-B8</f>
        <v>-96000000</v>
      </c>
      <c r="E16" s="10"/>
    </row>
    <row r="17" customFormat="false" ht="15" hidden="false" customHeight="true" outlineLevel="0" collapsed="false">
      <c r="A17" s="8" t="s">
        <v>151</v>
      </c>
      <c r="B17" s="12" t="n">
        <f aca="false">B15+B16</f>
        <v>84000000</v>
      </c>
      <c r="E17" s="10"/>
    </row>
    <row r="18" customFormat="false" ht="15" hidden="false" customHeight="true" outlineLevel="0" collapsed="false">
      <c r="A18" s="8" t="s">
        <v>152</v>
      </c>
      <c r="B18" s="12" t="n">
        <f aca="false">MIN(B17,B8*B10/(B9-B10))</f>
        <v>24000000</v>
      </c>
      <c r="E18" s="10"/>
    </row>
    <row r="19" customFormat="false" ht="15" hidden="false" customHeight="true" outlineLevel="0" collapsed="false">
      <c r="A19" s="8" t="s">
        <v>153</v>
      </c>
      <c r="B19" s="12" t="n">
        <f aca="false">B17-B18</f>
        <v>60000000</v>
      </c>
      <c r="E19" s="10"/>
    </row>
    <row r="20" customFormat="false" ht="15" hidden="false" customHeight="true" outlineLevel="0" collapsed="false">
      <c r="A20" s="8" t="s">
        <v>154</v>
      </c>
      <c r="B20" s="12" t="n">
        <f aca="false">B19*(1-B10)</f>
        <v>48000000</v>
      </c>
      <c r="E20" s="10"/>
    </row>
    <row r="21" customFormat="false" ht="15" hidden="false" customHeight="true" outlineLevel="0" collapsed="false">
      <c r="A21" s="8" t="s">
        <v>155</v>
      </c>
      <c r="B21" s="12" t="n">
        <f aca="false">B19*B10</f>
        <v>12000000</v>
      </c>
      <c r="E21" s="10"/>
    </row>
    <row r="22" customFormat="false" ht="15" hidden="false" customHeight="true" outlineLevel="0" collapsed="false">
      <c r="A22" s="19" t="s">
        <v>156</v>
      </c>
      <c r="B22" s="20" t="n">
        <f aca="false">B18+B21</f>
        <v>36000000</v>
      </c>
      <c r="E22" s="10"/>
    </row>
    <row r="23" customFormat="false" ht="15" hidden="false" customHeight="true" outlineLevel="0" collapsed="false">
      <c r="A23" s="8" t="s">
        <v>157</v>
      </c>
      <c r="B23" s="12" t="n">
        <f aca="false">B15*B10</f>
        <v>36000000</v>
      </c>
      <c r="E23" s="10"/>
    </row>
    <row r="24" customFormat="false" ht="15" hidden="false" customHeight="true" outlineLevel="0" collapsed="false">
      <c r="A24" s="19" t="s">
        <v>158</v>
      </c>
      <c r="B24" s="20" t="n">
        <f aca="false">B7-B22</f>
        <v>294000000</v>
      </c>
      <c r="E24" s="10"/>
    </row>
    <row r="25" customFormat="false" ht="15" hidden="false" customHeight="true" outlineLevel="0" collapsed="false">
      <c r="E25" s="10"/>
    </row>
    <row r="26" customFormat="false" ht="15" hidden="false" customHeight="true" outlineLevel="0" collapsed="false">
      <c r="E26" s="10"/>
    </row>
    <row r="28" customFormat="false" ht="15" hidden="false" customHeight="true" outlineLevel="0" collapsed="false">
      <c r="A28" s="8" t="s">
        <v>159</v>
      </c>
      <c r="B28" s="22" t="str">
        <f aca="false">IF(ABS(B22-B23)&lt;1,"yes — the accrual equals the rate on total profit","no — the catch-up has not fully cleared")</f>
        <v>yes — the accrual equals the rate on total profit</v>
      </c>
      <c r="C28" s="22"/>
    </row>
    <row r="30" customFormat="false" ht="15" hidden="false" customHeight="true" outlineLevel="0" collapsed="false">
      <c r="A30" s="5" t="s">
        <v>160</v>
      </c>
    </row>
    <row r="31" customFormat="false" ht="15" hidden="false" customHeight="true" outlineLevel="0" collapsed="false">
      <c r="A31" s="8" t="s">
        <v>161</v>
      </c>
      <c r="B31" s="9" t="n">
        <v>30000000</v>
      </c>
    </row>
    <row r="32" customFormat="false" ht="15" hidden="false" customHeight="true" outlineLevel="0" collapsed="false">
      <c r="A32" s="8" t="s">
        <v>162</v>
      </c>
      <c r="B32" s="9" t="n">
        <v>120000000</v>
      </c>
    </row>
    <row r="33" customFormat="false" ht="15" hidden="false" customHeight="true" outlineLevel="0" collapsed="false">
      <c r="A33" s="8" t="s">
        <v>163</v>
      </c>
      <c r="B33" s="11" t="n">
        <f aca="false">B10</f>
        <v>0.2</v>
      </c>
    </row>
    <row r="34" customFormat="false" ht="15" hidden="false" customHeight="true" outlineLevel="0" collapsed="false">
      <c r="A34" s="8" t="s">
        <v>164</v>
      </c>
      <c r="B34" s="12" t="n">
        <f aca="false">B32*B33</f>
        <v>24000000</v>
      </c>
    </row>
    <row r="35" customFormat="false" ht="15" hidden="false" customHeight="true" outlineLevel="0" collapsed="false">
      <c r="A35" s="19" t="s">
        <v>165</v>
      </c>
      <c r="B35" s="20" t="n">
        <f aca="false">MAX(0,B31-B34)</f>
        <v>6000000</v>
      </c>
    </row>
    <row r="36" customFormat="false" ht="15" hidden="false" customHeight="true" outlineLevel="0" collapsed="false">
      <c r="A36" s="8" t="s">
        <v>166</v>
      </c>
      <c r="B36" s="28" t="n">
        <v>0.45</v>
      </c>
    </row>
    <row r="37" customFormat="false" ht="15" hidden="false" customHeight="true" outlineLevel="0" collapsed="false">
      <c r="A37" s="8" t="s">
        <v>167</v>
      </c>
      <c r="B37" s="12" t="n">
        <f aca="false">B35*(1-B36)</f>
        <v>3300000</v>
      </c>
    </row>
    <row r="38" customFormat="false" ht="15" hidden="false" customHeight="true" outlineLevel="0" collapsed="false">
      <c r="A38" s="8" t="s">
        <v>168</v>
      </c>
      <c r="B38" s="12" t="n">
        <f aca="false">B35-B37</f>
        <v>2700000</v>
      </c>
    </row>
  </sheetData>
  <mergeCells count="2">
    <mergeCell ref="E5:E26"/>
    <mergeCell ref="B28:C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2" min="2" style="1" width="20"/>
    <col collapsed="false" customWidth="true" hidden="false" outlineLevel="0" max="3" min="3" style="1" width="3"/>
    <col collapsed="false" customWidth="true" hidden="false" outlineLevel="0" max="4" min="4" style="1" width="52"/>
  </cols>
  <sheetData>
    <row r="1" customFormat="false" ht="17.25" hidden="false" customHeight="true" outlineLevel="0" collapsed="false">
      <c r="A1" s="7" t="s">
        <v>169</v>
      </c>
    </row>
    <row r="2" customFormat="false" ht="15" hidden="false" customHeight="true" outlineLevel="0" collapsed="false">
      <c r="A2" s="4" t="s">
        <v>170</v>
      </c>
    </row>
    <row r="4" customFormat="false" ht="15" hidden="false" customHeight="true" outlineLevel="0" collapsed="false">
      <c r="A4" s="5" t="s">
        <v>171</v>
      </c>
      <c r="D4" s="5" t="s">
        <v>172</v>
      </c>
    </row>
    <row r="5" customFormat="false" ht="15" hidden="false" customHeight="true" outlineLevel="0" collapsed="false">
      <c r="A5" s="8" t="s">
        <v>173</v>
      </c>
      <c r="B5" s="9" t="n">
        <v>24500000</v>
      </c>
      <c r="D5" s="10" t="s">
        <v>174</v>
      </c>
    </row>
    <row r="6" customFormat="false" ht="15" hidden="false" customHeight="true" outlineLevel="0" collapsed="false">
      <c r="A6" s="8" t="s">
        <v>175</v>
      </c>
      <c r="B6" s="9" t="n">
        <v>18620000</v>
      </c>
      <c r="D6" s="10"/>
    </row>
    <row r="7" customFormat="false" ht="15" hidden="false" customHeight="true" outlineLevel="0" collapsed="false">
      <c r="A7" s="8" t="s">
        <v>176</v>
      </c>
      <c r="B7" s="12" t="n">
        <f aca="false">B5-B6</f>
        <v>5880000</v>
      </c>
      <c r="D7" s="10"/>
    </row>
    <row r="8" customFormat="false" ht="15" hidden="false" customHeight="true" outlineLevel="0" collapsed="false">
      <c r="A8" s="8" t="s">
        <v>177</v>
      </c>
      <c r="B8" s="9" t="n">
        <v>600000</v>
      </c>
      <c r="D8" s="10"/>
    </row>
    <row r="9" customFormat="false" ht="15" hidden="false" customHeight="true" outlineLevel="0" collapsed="false">
      <c r="A9" s="8" t="s">
        <v>178</v>
      </c>
      <c r="B9" s="9" t="n">
        <v>0</v>
      </c>
      <c r="D9" s="10"/>
    </row>
    <row r="10" customFormat="false" ht="15" hidden="false" customHeight="true" outlineLevel="0" collapsed="false">
      <c r="A10" s="19" t="s">
        <v>179</v>
      </c>
      <c r="B10" s="20" t="n">
        <f aca="false">B7+B8-B9</f>
        <v>6480000</v>
      </c>
      <c r="D10" s="10"/>
    </row>
    <row r="11" customFormat="false" ht="15" hidden="false" customHeight="true" outlineLevel="0" collapsed="false">
      <c r="D11" s="10"/>
    </row>
    <row r="12" customFormat="false" ht="15" hidden="false" customHeight="true" outlineLevel="0" collapsed="false">
      <c r="A12" s="5" t="s">
        <v>180</v>
      </c>
      <c r="D12" s="10"/>
    </row>
    <row r="13" customFormat="false" ht="15" hidden="false" customHeight="true" outlineLevel="0" collapsed="false">
      <c r="A13" s="8" t="s">
        <v>181</v>
      </c>
      <c r="B13" s="9" t="n">
        <v>5110000</v>
      </c>
      <c r="D13" s="10"/>
    </row>
    <row r="14" customFormat="false" ht="15" hidden="false" customHeight="true" outlineLevel="0" collapsed="false">
      <c r="A14" s="8" t="s">
        <v>182</v>
      </c>
      <c r="B14" s="34" t="s">
        <v>183</v>
      </c>
      <c r="D14" s="10"/>
    </row>
    <row r="15" customFormat="false" ht="15" hidden="false" customHeight="true" outlineLevel="0" collapsed="false">
      <c r="A15" s="8" t="s">
        <v>184</v>
      </c>
      <c r="B15" s="9" t="n">
        <v>271700000</v>
      </c>
      <c r="D15" s="10"/>
    </row>
    <row r="16" customFormat="false" ht="15" hidden="false" customHeight="true" outlineLevel="0" collapsed="false">
      <c r="A16" s="8" t="s">
        <v>185</v>
      </c>
      <c r="B16" s="9" t="n">
        <v>277450000</v>
      </c>
      <c r="D16" s="10"/>
    </row>
    <row r="17" customFormat="false" ht="15" hidden="false" customHeight="true" outlineLevel="0" collapsed="false">
      <c r="A17" s="8" t="s">
        <v>186</v>
      </c>
      <c r="B17" s="12" t="n">
        <f aca="false">(B15+B16)/2</f>
        <v>274575000</v>
      </c>
      <c r="D17" s="10"/>
    </row>
    <row r="18" customFormat="false" ht="15" hidden="false" customHeight="true" outlineLevel="0" collapsed="false">
      <c r="A18" s="19" t="s">
        <v>187</v>
      </c>
      <c r="B18" s="29" t="n">
        <f aca="false">B13/B17</f>
        <v>0.018610579987253</v>
      </c>
      <c r="D18" s="10"/>
    </row>
    <row r="19" customFormat="false" ht="15" hidden="false" customHeight="true" outlineLevel="0" collapsed="false">
      <c r="A19" s="4" t="s">
        <v>188</v>
      </c>
      <c r="D19" s="10"/>
    </row>
    <row r="20" customFormat="false" ht="15" hidden="false" customHeight="true" outlineLevel="0" collapsed="false">
      <c r="D20" s="10"/>
    </row>
    <row r="21" customFormat="false" ht="15" hidden="false" customHeight="true" outlineLevel="0" collapsed="false">
      <c r="A21" s="5" t="s">
        <v>189</v>
      </c>
      <c r="D21" s="10"/>
    </row>
    <row r="22" customFormat="false" ht="15" hidden="false" customHeight="true" outlineLevel="0" collapsed="false">
      <c r="A22" s="8" t="s">
        <v>190</v>
      </c>
      <c r="B22" s="9" t="n">
        <v>23000000</v>
      </c>
      <c r="D22" s="10"/>
    </row>
    <row r="23" customFormat="false" ht="15" hidden="false" customHeight="true" outlineLevel="0" collapsed="false">
      <c r="A23" s="8" t="s">
        <v>191</v>
      </c>
      <c r="B23" s="9" t="n">
        <v>21000000</v>
      </c>
      <c r="D23" s="10"/>
    </row>
    <row r="24" customFormat="false" ht="15" hidden="false" customHeight="true" outlineLevel="0" collapsed="false">
      <c r="A24" s="8" t="s">
        <v>192</v>
      </c>
      <c r="B24" s="9" t="n">
        <v>13500000</v>
      </c>
      <c r="D24" s="10"/>
    </row>
    <row r="25" customFormat="false" ht="15" hidden="false" customHeight="true" outlineLevel="0" collapsed="false">
      <c r="A25" s="19" t="s">
        <v>193</v>
      </c>
      <c r="B25" s="27" t="n">
        <f aca="false">(B23+B24)/B22</f>
        <v>1.5</v>
      </c>
    </row>
  </sheetData>
  <mergeCells count="1">
    <mergeCell ref="D5:D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
    <col collapsed="false" customWidth="true" hidden="false" outlineLevel="0" max="2" min="2" style="0" width="92"/>
    <col collapsed="false" customWidth="true" hidden="false" outlineLevel="0" max="3" min="3" style="0" width="16"/>
  </cols>
  <sheetData>
    <row r="2" customFormat="false" ht="15" hidden="false" customHeight="false" outlineLevel="0" collapsed="false">
      <c r="B2" s="35" t="s">
        <v>194</v>
      </c>
    </row>
    <row r="4" customFormat="false" ht="15" hidden="false" customHeight="false" outlineLevel="0" collapsed="false">
      <c r="B4" s="36" t="s">
        <v>195</v>
      </c>
      <c r="C4" s="37" t="str">
        <f aca="false">IF(ABS('Your capital account'!B33-(13592200))&lt;=0.5,"OK","CHECK")</f>
        <v>OK</v>
      </c>
    </row>
    <row r="5" customFormat="false" ht="15" hidden="false" customHeight="false" outlineLevel="0" collapsed="false">
      <c r="B5" s="36" t="s">
        <v>196</v>
      </c>
      <c r="C5" s="37" t="str">
        <f aca="false">IF(ABS('Your capital account'!B44)&lt;0.5,"OK","CHECK")</f>
        <v>OK</v>
      </c>
    </row>
    <row r="6" customFormat="false" ht="15" hidden="false" customHeight="false" outlineLevel="0" collapsed="false">
      <c r="B6" s="36" t="s">
        <v>197</v>
      </c>
      <c r="C6" s="37" t="str">
        <f aca="false">IF(ABS('Your capital account'!B33-SUM('Your capital account'!B25:B32))&lt;0.5,"OK","CHECK")</f>
        <v>OK</v>
      </c>
    </row>
    <row r="7" customFormat="false" ht="15" hidden="false" customHeight="false" outlineLevel="0" collapsed="false">
      <c r="B7" s="36" t="s">
        <v>198</v>
      </c>
      <c r="C7" s="37" t="str">
        <f aca="false">IF(AND(ABS('Your return'!B28-9000000)&lt;0.5,ABS('Your return'!B32-1.2333333)&lt;0.0001),"OK","CHECK")</f>
        <v>OK</v>
      </c>
    </row>
    <row r="8" customFormat="false" ht="15" hidden="false" customHeight="false" outlineLevel="0" collapsed="false">
      <c r="B8" s="36" t="s">
        <v>199</v>
      </c>
      <c r="C8" s="37" t="str">
        <f aca="false">IF(AND(ABS('Your return'!B36-0.0738)&lt;0.00006,ABS('Your return'!B37-0.075)&lt;0.00006),"OK","CHECK")</f>
        <v>OK</v>
      </c>
    </row>
    <row r="9" customFormat="false" ht="15" hidden="false" customHeight="false" outlineLevel="0" collapsed="false">
      <c r="B9" s="36" t="s">
        <v>200</v>
      </c>
      <c r="C9" s="37" t="str">
        <f aca="false">IF(AND(ABS('Your return'!C51-0.2138)&lt;0.00006,ABS('Your return'!C52-0.1484)&lt;0.00006,ABS('Your return'!C53-0.1666)&lt;0.00006),"OK","CHECK")</f>
        <v>OK</v>
      </c>
    </row>
    <row r="10" customFormat="false" ht="15" hidden="false" customHeight="false" outlineLevel="0" collapsed="false">
      <c r="B10" s="36" t="s">
        <v>201</v>
      </c>
      <c r="C10" s="37" t="str">
        <f aca="false">IF(ABS('Your return'!B54-(654))&lt;=0.5,"OK","CHECK")</f>
        <v>OK</v>
      </c>
    </row>
    <row r="11" customFormat="false" ht="15" hidden="false" customHeight="false" outlineLevel="0" collapsed="false">
      <c r="B11" s="36" t="s">
        <v>202</v>
      </c>
      <c r="C11" s="37" t="str">
        <f aca="false">IF(AND(ABS('Fees and offsets'!D15-10000000)&lt;0.5,ABS('Fees and offsets'!D16-3762500)&lt;0.5,ABS('Fees and offsets'!B20+0.62)&lt;0.005),"OK","CHECK")</f>
        <v>OK</v>
      </c>
    </row>
    <row r="12" customFormat="false" ht="15" hidden="false" customHeight="false" outlineLevel="0" collapsed="false">
      <c r="B12" s="36" t="s">
        <v>203</v>
      </c>
      <c r="C12" s="37" t="str">
        <f aca="false">IF(AND(ABS('Fees and offsets'!B31-620000)&lt;0.5,ABS('Fees and offsets'!B34-3680000)&lt;0.5),"OK","CHECK")</f>
        <v>OK</v>
      </c>
    </row>
    <row r="13" customFormat="false" ht="15" hidden="false" customHeight="false" outlineLevel="0" collapsed="false">
      <c r="B13" s="36" t="s">
        <v>204</v>
      </c>
      <c r="C13" s="37" t="str">
        <f aca="false">IF(ABS('Fees and offsets'!B34-'Fees and offsets'!B35-('Fees and offsets'!B24-'Fees and offsets'!B33))&lt;0.5,"OK","CHECK")</f>
        <v>OK</v>
      </c>
    </row>
    <row r="14" customFormat="false" ht="15" hidden="false" customHeight="false" outlineLevel="0" collapsed="false">
      <c r="B14" s="36" t="s">
        <v>205</v>
      </c>
      <c r="C14" s="37" t="str">
        <f aca="false">IF(AND(ABS('Accrued carry and clawback'!B22-36000000)&lt;0.5,ABS('Accrued carry and clawback'!B24-294000000)&lt;0.5),"OK","CHECK")</f>
        <v>OK</v>
      </c>
    </row>
    <row r="15" customFormat="false" ht="15" hidden="false" customHeight="false" outlineLevel="0" collapsed="false">
      <c r="B15" s="36" t="s">
        <v>206</v>
      </c>
      <c r="C15" s="37" t="str">
        <f aca="false">IF(AND(ABS('Accrued carry and clawback'!B37-3300000)&lt;0.5,ABS('Accrued carry and clawback'!B38-2700000)&lt;0.5),"OK","CHECK")</f>
        <v>OK</v>
      </c>
    </row>
    <row r="16" customFormat="false" ht="15" hidden="false" customHeight="false" outlineLevel="0" collapsed="false">
      <c r="B16" s="36" t="s">
        <v>207</v>
      </c>
      <c r="C16" s="37" t="str">
        <f aca="false">IF(AND(ABS('Exposure and ratios'!B10-6480000)&lt;0.5,ABS('Exposure and ratios'!B18-0.0186)&lt;0.00006,ABS('Exposure and ratios'!B25-1.5)&lt;0.0001),"OK","CHECK")</f>
        <v>OK</v>
      </c>
    </row>
    <row r="18" customFormat="false" ht="15" hidden="false" customHeight="false" outlineLevel="0" collapsed="false">
      <c r="B18" s="37" t="s">
        <v>208</v>
      </c>
      <c r="C18" s="37" t="str">
        <f aca="false">IF(COUNTIF(C4:C16,"OK")=13,"ALL OK",COUNTIF(C4:C16,"OK")&amp;" / 13 OK")</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2026-08-20T04:16:03Z</dcterms:created>
  <dc:creator>openpyxl</dc:creator>
  <dc:description/>
  <dc:language>en-US</dc:language>
  <cp:lastModifiedBy/>
  <dcterms:modified xsi:type="dcterms:W3CDTF">2026-09-23T22:08:33Z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