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chedule of investments" sheetId="2" state="visible" r:id="rId4"/>
    <sheet name="Balance sheet" sheetId="3" state="visible" r:id="rId5"/>
    <sheet name="Operations" sheetId="4" state="visible" r:id="rId6"/>
    <sheet name="Changes in net assets" sheetId="5" state="visible" r:id="rId7"/>
    <sheet name="Cash flows" sheetId="6" state="visible" r:id="rId8"/>
    <sheet name="Capital account" sheetId="7" state="visible" r:id="rId9"/>
    <sheet name="Notes and ratios" sheetId="8" state="visible" r:id="rId10"/>
    <sheet name="Reconciliations" sheetId="9" state="visible" r:id="rId11"/>
    <sheet name="Check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<sst xmlns="http://schemas.openxmlformats.org/spreadsheetml/2006/main" count="415" uniqueCount="305">
  <si>
    <t xml:space="preserve">How to Read a Private Fund's Financial Statements — Workbook 1 of 4</t>
  </si>
  <si>
    <t xml:space="preserve">Harbourgate Partners II — the complete reporting pack of Appendix A, live</t>
  </si>
  <si>
    <t xml:space="preserve">Julian R. Sterling · julianrsterling.com/statements</t>
  </si>
  <si>
    <t xml:space="preserve">What this is</t>
  </si>
  <si>
    <t xml:space="preserve">Appendix A prints a complete reporting pack for one fictional fund at one date, and says of it: every figure is invented, and every figure also ties. This workbook is that pack rebuilt so that the ties are formulas rather than assertions. Change a single position's fair value on the schedule of investments and watch the balance sheet, the concentration percentages, the reconciliations and the investor's capital account all move together.</t>
  </si>
  <si>
    <t xml:space="preserve">The sheet that matters most</t>
  </si>
  <si>
    <t xml:space="preserve">'Reconciliations' runs the twelve checks the appendix lists — schedule against balance sheet, assets less liabilities against net assets, the changes bridge, the cash flow closing balance, the capital account against five per cent of the limited partners' column, and the rest. Each returns 'ties' or the amount it is out by. Twelve checks, twenty minutes, and afterwards you know the pack is internally consistent — a different and lesser claim than knowing the marks are right, but the foundation for everything else.</t>
  </si>
  <si>
    <t xml:space="preserve">Break it on purpose</t>
  </si>
  <si>
    <t xml:space="preserve">The fastest way to learn what each reconciliation is for is to break one. Change Brackwell's fair value from 61,200 to 55,000: the schedule total falls, the balance sheet follows it, net assets fall, and every reconciliation that depends on net assets moves in step — but the changes statement no longer bridges, because the movement has to come from somewhere. That failure is the sheet telling you a mark cannot be edited in isolation.</t>
  </si>
  <si>
    <t xml:space="preserve">What is a formula and what is an input</t>
  </si>
  <si>
    <t xml:space="preserve">The pack's primary data — position costs and fair values, income and expense lines, cash movements, opening balances — are blue inputs, because in a real pack they are what the administrator gives you. Everything derived from them is a formula. The point of the exercise is that in a real pack the derived figures are also printed, and the whole discipline consists of recomputing them yourself.</t>
  </si>
  <si>
    <t xml:space="preserve">Conventions</t>
  </si>
  <si>
    <t xml:space="preserve">Blue is an input. Black is a formula. Green is a link to another sheet. Yellow fill marks the assumptions that carry the answer. Fund statements are in thousands; the capital account is in whole units, exactly as the appendix presents them.</t>
  </si>
  <si>
    <t xml:space="preserve">Provided for education. Not investment advice.</t>
  </si>
  <si>
    <t xml:space="preserve">Revised 23 September 2026</t>
  </si>
  <si>
    <t xml:space="preserve">Appendix A says three positions are below cost: there are two, Dunmore and Fernhill. The percentages of net assets pass 100 because of all the liabilities, the accrued carry of 12,930 first, not "simply the borrowing". The appendix concludes that the rest of the portfolio was marked down; the statements cannot show it, because part of the negative 4,600 is the reversal on the positions sold. The rest was marked down only if those positions were carried below 35,500 at the opening: 'Changes in net assets' rows 28 to 35 hold the threshold and a cell for the answer. The fee note charges 4,300 at 1.75 per cent: that implies a base of 245,714, not the cost of 215,000 (3,762.5), unless the step-down fell about 31 days into the year. The recallable 600,000 is in addition to the unfunded 5,880,000. The opening fair value of 284,800 is now an input. Thirteen checks added; the checks sheet ends ALL OK.</t>
  </si>
  <si>
    <t xml:space="preserve">Schedule of investments</t>
  </si>
  <si>
    <t xml:space="preserve">Appendix A. Amounts in thousands. The total is the first check to run against the balance sheet.</t>
  </si>
  <si>
    <t xml:space="preserve">What the dispersion says</t>
  </si>
  <si>
    <t xml:space="preserve">Position (sector)</t>
  </si>
  <si>
    <t xml:space="preserve">Cost</t>
  </si>
  <si>
    <t xml:space="preserve">Fair value</t>
  </si>
  <si>
    <t xml:space="preserve">Unrealised</t>
  </si>
  <si>
    <t xml:space="preserve">% of net assets</t>
  </si>
  <si>
    <t xml:space="preserve">The total ties to the balance sheet, and that is the first check. The percentages sum to more than 100, which alarms a reader who has not noticed the liabilities. It is not simply the borrowing: the excess of 10,350 is total liabilities of 20,600, of which 12,930 is the accrued carry and 6,000 the facility, less 10,250 of cash and other assets (rows 23 to 25). Without the carry accrual the investments would be 99.1 per cent of net assets (row 26).
The dispersion matters more than the total. Two positions are 46.75 per cent of net assets between them and carry 59,200 of the 72,800 of unrealised gain. If both marks are right the fund is doing well. If Alderton is twenty per cent optimistic, 4.9 per cent of net assets disappears; Brackwell, 4.4; both, 9.3 (rows 19 to 21, for whichever positions are currently largest).
Two positions are below cost, Dunmore and Fernhill (row 16; the appendix says three), and Fernhill — 6,300 against a cost of 18,000 — has lost two-thirds of its value. The interesting question about Fernhill is not the number but the sequence: a position written down this far is usually written down in stages, and the stages are visible if you keep four years of schedules.
Garrowby is a subordinated loan carried marginally above cost. Debt held near par tells you the mark is driven by contractual terms rather than by an equity valuation exercise — a different discipline, with different failure modes.</t>
  </si>
  <si>
    <t xml:space="preserve">Alderton Industrial Holdings (manufacturing)</t>
  </si>
  <si>
    <t xml:space="preserve">Brackwell Software (technology)</t>
  </si>
  <si>
    <t xml:space="preserve">Corville Health Services (healthcare)</t>
  </si>
  <si>
    <t xml:space="preserve">Dunmore Logistics (transport)</t>
  </si>
  <si>
    <t xml:space="preserve">Eastvale Specialty Chemicals (chemicals)</t>
  </si>
  <si>
    <t xml:space="preserve">Fernhill Retail Group (consumer)</t>
  </si>
  <si>
    <t xml:space="preserve">Garrowby Facilities, subordinated loan (services)</t>
  </si>
  <si>
    <t xml:space="preserve">Hallamshire Instruments (industrial technology)</t>
  </si>
  <si>
    <t xml:space="preserve">Total investments</t>
  </si>
  <si>
    <t xml:space="preserve">Positions carried below cost</t>
  </si>
  <si>
    <t xml:space="preserve">Two largest positions as a % of net assets</t>
  </si>
  <si>
    <t xml:space="preserve">and their share of the total unrealised gain</t>
  </si>
  <si>
    <t xml:space="preserve">If the largest mark were 20% optimistic, net assets would fall by</t>
  </si>
  <si>
    <t xml:space="preserve">If the second largest mark were 20% optimistic, net assets would fall by</t>
  </si>
  <si>
    <t xml:space="preserve">If both were, net assets would fall by</t>
  </si>
  <si>
    <t xml:space="preserve">Excess of the investments over net assets</t>
  </si>
  <si>
    <t xml:space="preserve">   of which total liabilities</t>
  </si>
  <si>
    <t xml:space="preserve">   less cash and the other assets</t>
  </si>
  <si>
    <t xml:space="preserve">Investments as a share of net assets before the carry accrual</t>
  </si>
  <si>
    <t xml:space="preserve">Opening fair value of the investments, from last year's schedule</t>
  </si>
  <si>
    <t xml:space="preserve">Statement of assets and liabilities</t>
  </si>
  <si>
    <t xml:space="preserve">Appendix A. Harbourgate Partners II, L.P., end of Year 5. Amounts in thousands.</t>
  </si>
  <si>
    <t xml:space="preserve">Three things to read before anything else</t>
  </si>
  <si>
    <t xml:space="preserve">ASSETS</t>
  </si>
  <si>
    <t xml:space="preserve">Investments at fair value are 287,800 against a cost of 215,000, so 72,800 of the fund's net assets — more than a quarter — is an opinion about assets nobody has sold.
The subscription facility is drawn at 6,000, which means the investments line exceeds net assets, and any concentration percentage computed against net assets will overstate. That is why the schedule's percentages sum to 103.73 rather than to something below 100.
The accrued carried interest of 12,930 has been recognised as a liability, so net assets are already net of the manager's performance entitlement as currently estimated. Not every fund presents it that way, which is why comparing two funds' net asset values without checking this line is unsafe. Workbook 3 quantifies the gap on your own holding.</t>
  </si>
  <si>
    <t xml:space="preserve">Investments at fair value</t>
  </si>
  <si>
    <t xml:space="preserve">   at cost</t>
  </si>
  <si>
    <t xml:space="preserve">Cash and cash equivalents</t>
  </si>
  <si>
    <t xml:space="preserve">Interest and dividends receivable</t>
  </si>
  <si>
    <t xml:space="preserve">Prepaid expenses and other assets</t>
  </si>
  <si>
    <t xml:space="preserve">Total assets</t>
  </si>
  <si>
    <t xml:space="preserve">LIABILITIES</t>
  </si>
  <si>
    <t xml:space="preserve">Management fee payable</t>
  </si>
  <si>
    <t xml:space="preserve">Accrued expenses and other payables</t>
  </si>
  <si>
    <t xml:space="preserve">Subscription facility borrowings</t>
  </si>
  <si>
    <t xml:space="preserve">Interest payable</t>
  </si>
  <si>
    <t xml:space="preserve">Accrued carried interest</t>
  </si>
  <si>
    <t xml:space="preserve">Total liabilities</t>
  </si>
  <si>
    <t xml:space="preserve">NET ASSETS</t>
  </si>
  <si>
    <t xml:space="preserve">Net assets</t>
  </si>
  <si>
    <t xml:space="preserve">Attributable to the general partner</t>
  </si>
  <si>
    <t xml:space="preserve">Attributable to the limited partners</t>
  </si>
  <si>
    <t xml:space="preserve">Sum of the two columns</t>
  </si>
  <si>
    <t xml:space="preserve">Statement of operations</t>
  </si>
  <si>
    <t xml:space="preserve">Appendix A. For the year ended at the end of Year 5. Amounts in thousands.</t>
  </si>
  <si>
    <t xml:space="preserve">The two lines that belong together</t>
  </si>
  <si>
    <t xml:space="preserve">INVESTMENT INCOME</t>
  </si>
  <si>
    <t xml:space="preserve">The net investment loss of 3,200 is unremarkable and says nothing about the portfolio. It is the arithmetic of a structure with running costs and no trading revenue. A reader who reacts to it has misread the statement.
The two lines below it are the ones to think about, and they belong together. The fund realised 21,400 of gain while recording a negative change in unrealised of 4,600. That combination almost always means a profitable exit: the gain crystallises on sale, and the unrealised appreciation previously recognised on the same asset reverses out in the same period. The two lines are one event seen twice, and reading either in isolation produces the wrong conclusion.
How much of the 4,600 is reversal the statements do not say. The positions sold cost 30,900 (proceeds of 52,300 less the gain of 21,400). If they were carried at 35,500 or more at the opening, the reversal alone is at least 4,600 and the rest of the portfolio was marked up; only below 35,500 was it marked down. 'Changes in net assets', rows 28 to 35, holds the arithmetic and a cell for the administrator's answer. Workbook 2, Case 1, works the same mechanics on other numbers.</t>
  </si>
  <si>
    <t xml:space="preserve">Interest income</t>
  </si>
  <si>
    <t xml:space="preserve">Dividend income</t>
  </si>
  <si>
    <t xml:space="preserve">Other income</t>
  </si>
  <si>
    <t xml:space="preserve">Total investment income</t>
  </si>
  <si>
    <t xml:space="preserve">OPERATING EXPENSES</t>
  </si>
  <si>
    <t xml:space="preserve">Management fee, net of offsets</t>
  </si>
  <si>
    <t xml:space="preserve">Administration and accounting</t>
  </si>
  <si>
    <t xml:space="preserve">Audit and tax compliance</t>
  </si>
  <si>
    <t xml:space="preserve">Legal and professional</t>
  </si>
  <si>
    <t xml:space="preserve">Custody and bank charges</t>
  </si>
  <si>
    <t xml:space="preserve">Interest and financing costs</t>
  </si>
  <si>
    <t xml:space="preserve">Other operating expenses</t>
  </si>
  <si>
    <t xml:space="preserve">Total operating expenses</t>
  </si>
  <si>
    <t xml:space="preserve">Net investment income / (loss)</t>
  </si>
  <si>
    <t xml:space="preserve">REALISED AND UNREALISED</t>
  </si>
  <si>
    <t xml:space="preserve">Net realised gain on investments</t>
  </si>
  <si>
    <t xml:space="preserve">Net change in unrealised appreciation</t>
  </si>
  <si>
    <t xml:space="preserve">Net gain on investments</t>
  </si>
  <si>
    <t xml:space="preserve">Result before carried interest</t>
  </si>
  <si>
    <t xml:space="preserve">Carried interest accrual for the period</t>
  </si>
  <si>
    <t xml:space="preserve">Net increase in net assets from operations</t>
  </si>
  <si>
    <t xml:space="preserve">Statement of changes in net assets</t>
  </si>
  <si>
    <t xml:space="preserve">Appendix A. The most useful page in the pack, and the one most readers skip.</t>
  </si>
  <si>
    <t xml:space="preserve">GP interest in the fund</t>
  </si>
  <si>
    <t xml:space="preserve">Why the general partner's percentage drifts up</t>
  </si>
  <si>
    <t xml:space="preserve">This page answers the question the summary page cannot: how much of the movement in net assets was performance, and how much was money moving?
Net assets rose by 5,750. Operations contributed 10,750 and capital transactions took 5,000 out. Now decompose the operations figure. Of the 10,750, some 16,800 came from investments, of which 21,400 was realised and 4,600 was a reversal or a markdown. Whether the remaining portfolio was marked down is not in the statements: part of the 4,600 is the unrealised gain on the positions sold reversing out. The positions sold cost 30,900; carried at 35,500 or more at the opening, they reverse at least 4,600 and the rest of the portfolio was marked up. Rows 28 to 35 hold the threshold and a cell for the administrator's answer: ask for the split, as Chapter 4 says. (The appendix concludes a markdown from one subtraction; the subtraction cannot show it.)
The split between partners follows the same bridge. The general partner is allocated its two per cent of the pre-carry result, and the carried interest accrual is charged entirely to the limited partners, because the general partner does not pay carry on its own capital. That asymmetry is normal, and it is the reason the general partner's percentage of net assets drifts upward over a successful fund's life — rows 25 and 26 measure the drift for this year.</t>
  </si>
  <si>
    <t xml:space="preserve">General partner</t>
  </si>
  <si>
    <t xml:space="preserve">Limited partners</t>
  </si>
  <si>
    <t xml:space="preserve">Total</t>
  </si>
  <si>
    <t xml:space="preserve">Net assets at the beginning of the year</t>
  </si>
  <si>
    <t xml:space="preserve">Carried interest accrual</t>
  </si>
  <si>
    <t xml:space="preserve">Net increase from operations</t>
  </si>
  <si>
    <t xml:space="preserve">Capital contributions</t>
  </si>
  <si>
    <t xml:space="preserve">Distributions</t>
  </si>
  <si>
    <t xml:space="preserve">Net assets at the end of the year</t>
  </si>
  <si>
    <t xml:space="preserve">DECOMPOSING THE MOVEMENT</t>
  </si>
  <si>
    <t xml:space="preserve">Net assets rose by</t>
  </si>
  <si>
    <t xml:space="preserve">of which operations contributed</t>
  </si>
  <si>
    <t xml:space="preserve">and capital transactions took out</t>
  </si>
  <si>
    <t xml:space="preserve">Within operations, investments contributed</t>
  </si>
  <si>
    <t xml:space="preserve">of which realised</t>
  </si>
  <si>
    <t xml:space="preserve">and a reversal or markdown</t>
  </si>
  <si>
    <t xml:space="preserve">The rest was marked down only if the reversal on the positions sold was below</t>
  </si>
  <si>
    <t xml:space="preserve">GP share of net assets, opening</t>
  </si>
  <si>
    <t xml:space="preserve">GP share of net assets, closing</t>
  </si>
  <si>
    <t xml:space="preserve">THE SPLIT TO ASK FOR</t>
  </si>
  <si>
    <t xml:space="preserve">Cost of the positions sold: proceeds less the realised gain</t>
  </si>
  <si>
    <t xml:space="preserve">Opening carrying value of the positions sold (the administrator's answer; blank until you have it)</t>
  </si>
  <si>
    <t xml:space="preserve">Reversal of unrealised on the positions sold</t>
  </si>
  <si>
    <t xml:space="preserve">Movement on the positions still held</t>
  </si>
  <si>
    <t xml:space="preserve">Value created on the exits in the year: proceeds less their opening carrying value</t>
  </si>
  <si>
    <t xml:space="preserve">Opening carrying value of the positions sold below which the rest was marked down</t>
  </si>
  <si>
    <t xml:space="preserve">   that is, exits sold this far above their opening mark</t>
  </si>
  <si>
    <t xml:space="preserve">Statement of cash flows</t>
  </si>
  <si>
    <t xml:space="preserve">Appendix A. Dismissed as mechanical, and it is not: three facts appear here and nowhere else.</t>
  </si>
  <si>
    <t xml:space="preserve">What only this statement tells you</t>
  </si>
  <si>
    <t xml:space="preserve">OPERATING ACTIVITIES</t>
  </si>
  <si>
    <t xml:space="preserve">The fund deployed 38,500 and received 52,300, so it was a net seller. The transition from investing to harvesting is visible in these two lines years before it appears in any commentary.
The facility was drawn 6,000 and repaid 9,000 — gross activity of 15,000 against a closing balance of 6,000, which tells you the facility is in continuous working use rather than sitting idle.
And the two adjustment lines for realised gain and unrealised change, taken together, remove 16,800 of result that never touched cash. That is the honest measure of how much of the year's reported performance was an estimate. Row 32 states it as a percentage of the pre-carry result; on these numbers it is more than the whole of it.</t>
  </si>
  <si>
    <t xml:space="preserve">Purchases of investments</t>
  </si>
  <si>
    <t xml:space="preserve">Proceeds from sales and repayments</t>
  </si>
  <si>
    <t xml:space="preserve">Increase in receivables and other assets</t>
  </si>
  <si>
    <t xml:space="preserve">Increase in accrued expenses and payables</t>
  </si>
  <si>
    <t xml:space="preserve">Increase in accrued carried interest</t>
  </si>
  <si>
    <t xml:space="preserve">Net cash from operating activities</t>
  </si>
  <si>
    <t xml:space="preserve">FINANCING ACTIVITIES</t>
  </si>
  <si>
    <t xml:space="preserve">Capital contributions received</t>
  </si>
  <si>
    <t xml:space="preserve">Distributions paid</t>
  </si>
  <si>
    <t xml:space="preserve">Drawdown on subscription facility</t>
  </si>
  <si>
    <t xml:space="preserve">Repayment of subscription facility</t>
  </si>
  <si>
    <t xml:space="preserve">Net cash used in financing activities</t>
  </si>
  <si>
    <t xml:space="preserve">Net increase in cash</t>
  </si>
  <si>
    <t xml:space="preserve">Cash at the beginning of the year</t>
  </si>
  <si>
    <t xml:space="preserve">Cash at the end of the year</t>
  </si>
  <si>
    <t xml:space="preserve">THE THREE FACTS</t>
  </si>
  <si>
    <t xml:space="preserve">Net deployment: purchases less proceeds</t>
  </si>
  <si>
    <t xml:space="preserve">Gross facility activity in the year</t>
  </si>
  <si>
    <t xml:space="preserve">against a closing facility balance of</t>
  </si>
  <si>
    <t xml:space="preserve">Result that never touched cash (realised + unrealised)</t>
  </si>
  <si>
    <t xml:space="preserve">as a share of the result before carried interest</t>
  </si>
  <si>
    <t xml:space="preserve">Capital account statement — one limited partner</t>
  </si>
  <si>
    <t xml:space="preserve">Appendix A. Stated in whole currency units, not thousands. This investor is exactly 5% of the limited partners' column.</t>
  </si>
  <si>
    <t xml:space="preserve">Investor commitment</t>
  </si>
  <si>
    <t xml:space="preserve">The line that is not on the balance sheet</t>
  </si>
  <si>
    <t xml:space="preserve">Total limited partner commitments</t>
  </si>
  <si>
    <t xml:space="preserve">Two observations close the appendix, and both are worth carrying.
The investor's four allocation lines sum to 523,900, and 523,900 divided by five per cent is 10,478,000 — the limited partners' share of the year's result in the changes statement. Rows 20 to 22 run that proof live. It is the single most useful check an investor can run on a capital account, because it ties a page issued to one investor back to a page issued to everyone.
And the unfunded commitment of 5,880,000 is not a liability anywhere in the fund's balance sheet, yet the investor may be called for it at ten business days' notice — and for the recallable 600,000 on top: row 28 is in addition to row 27, not part of it. Row 29 adds them: remaining exposure of 6,480,000. Treating the unfunded figure as a maximum is the common error, and recallable distributions sit outside it.
This investor's account is exactly five per cent of the limited partners' column, which is unusual and is used here so the reconciliation is visible. Workbook 2, Case 2, works the more common case where it is not exact — a fee discount and an equalisation payment, and every unit of divergence accounted for.</t>
  </si>
  <si>
    <t xml:space="preserve">Investor share of the limited partners' column</t>
  </si>
  <si>
    <t xml:space="preserve">No fee discount, no excused investment, no side-letter economics.</t>
  </si>
  <si>
    <t xml:space="preserve">THE YEAR</t>
  </si>
  <si>
    <t xml:space="preserve">Line</t>
  </si>
  <si>
    <t xml:space="preserve">Amount</t>
  </si>
  <si>
    <t xml:space="preserve">Derivation</t>
  </si>
  <si>
    <t xml:space="preserve">Capital account, beginning of year</t>
  </si>
  <si>
    <t xml:space="preserve">5% of the LP opening column</t>
  </si>
  <si>
    <t xml:space="preserve">pro rata to commitments</t>
  </si>
  <si>
    <t xml:space="preserve">Share of net investment loss</t>
  </si>
  <si>
    <t xml:space="preserve">5% of the LP share</t>
  </si>
  <si>
    <t xml:space="preserve">Share of net realised gain</t>
  </si>
  <si>
    <t xml:space="preserve">Share of net change in unrealised</t>
  </si>
  <si>
    <t xml:space="preserve">Carried interest allocated</t>
  </si>
  <si>
    <t xml:space="preserve">charged only to the limited partners</t>
  </si>
  <si>
    <t xml:space="preserve">Capital account, end of year</t>
  </si>
  <si>
    <t xml:space="preserve">The four allocation lines sum to</t>
  </si>
  <si>
    <t xml:space="preserve">divided by the investor's share gives</t>
  </si>
  <si>
    <t xml:space="preserve">which is the LP share of the year's result</t>
  </si>
  <si>
    <t xml:space="preserve">SINCE INCEPTION</t>
  </si>
  <si>
    <t xml:space="preserve">Total commitment</t>
  </si>
  <si>
    <t xml:space="preserve">Capital contributed to date</t>
  </si>
  <si>
    <t xml:space="preserve">Unfunded commitment</t>
  </si>
  <si>
    <t xml:space="preserve">Recallable distributions received, in addition to the unfunded</t>
  </si>
  <si>
    <t xml:space="preserve">Remaining exposure</t>
  </si>
  <si>
    <t xml:space="preserve">Distributions received to date</t>
  </si>
  <si>
    <t xml:space="preserve">Distributions to paid-in</t>
  </si>
  <si>
    <t xml:space="preserve">Residual value to paid-in</t>
  </si>
  <si>
    <t xml:space="preserve">Total value to paid-in</t>
  </si>
  <si>
    <t xml:space="preserve">Extracts from the notes, and the ratios they support</t>
  </si>
  <si>
    <t xml:space="preserve">Appendix A. The fee note, the commitments note, the subsequent event, and the expense ratio.</t>
  </si>
  <si>
    <t xml:space="preserve">THE MANAGEMENT FEE</t>
  </si>
  <si>
    <t xml:space="preserve">The paragraph worth more than five pages of commentary</t>
  </si>
  <si>
    <t xml:space="preserve">Gross management fee for the period</t>
  </si>
  <si>
    <t xml:space="preserve">Eastvale is carried at 44,900 and is being sold for 51,000 — a 13.6 per cent uplift agreed shortly after a date at which the position was marked lower. That is not necessarily an error, but it is a data point about the calibration of this manager's marks, and three such data points across three years constitute evidence. Keep a file.
On the fee: check whether broken-deal costs have been netted against the offsettable fees before the sharing percentage is applied. Netting first reduces the investor's credit, and the agreement usually says whether it is permitted. Row 6 is the figure to interrogate, not row 5.
On the base: 4,300 at 1.75 per cent implies a base of 245,714, while the schedule's cost is 215,000, on which a full year is 3,762.5 (rows 11 to 15, Appendix D's own figure). The note says "following the step-down"; the gap of 537.5 is what about 31 days at 2 per cent on commitments would add (row 17). Either the step-down fell a month into the year, or the base is not the cost of the investments: that is the question to ask. The common error is assuming it changes on the anniversary of the final close. It usually changes on the earlier of a stated date and the formation of a successor fund — and the successor date can arrive without announcement.
On the expense ratio: state the basis every time you quote it. Including carried interest in the numerator makes the ratio jump in good years and mask the cost base in bad ones. Carry is a profit share, not an expense of running the fund.</t>
  </si>
  <si>
    <t xml:space="preserve">Transaction and monitoring fees received by the manager</t>
  </si>
  <si>
    <t xml:space="preserve">Sharing percentage</t>
  </si>
  <si>
    <t xml:space="preserve">Offset credit</t>
  </si>
  <si>
    <t xml:space="preserve">Management fee payable, net of offsets</t>
  </si>
  <si>
    <t xml:space="preserve">Base the charged fee implies at the post-step-down rate</t>
  </si>
  <si>
    <t xml:space="preserve">For reference — the post-step-down rate applied to invested capital</t>
  </si>
  <si>
    <t xml:space="preserve">Rate after the step-down</t>
  </si>
  <si>
    <t xml:space="preserve">Invested capital at cost</t>
  </si>
  <si>
    <t xml:space="preserve">A full year at that base and rate would be</t>
  </si>
  <si>
    <t xml:space="preserve">Charged above a full year at that base</t>
  </si>
  <si>
    <t xml:space="preserve">Days at the pre-step-down rate (C17, Appendix D) on commitments that close the gap</t>
  </si>
  <si>
    <t xml:space="preserve">COMMITMENTS</t>
  </si>
  <si>
    <t xml:space="preserve">Total commitments to the fund</t>
  </si>
  <si>
    <t xml:space="preserve">Drawn to date</t>
  </si>
  <si>
    <t xml:space="preserve">Undrawn commitments</t>
  </si>
  <si>
    <t xml:space="preserve">Distributions subject to recall</t>
  </si>
  <si>
    <t xml:space="preserve">Subscription facility limit</t>
  </si>
  <si>
    <t xml:space="preserve">Facility drawn at the reporting date</t>
  </si>
  <si>
    <t xml:space="preserve">Facility headroom</t>
  </si>
  <si>
    <t xml:space="preserve">THE RATIO</t>
  </si>
  <si>
    <t xml:space="preserve">Net assets, opening</t>
  </si>
  <si>
    <t xml:space="preserve">Net assets, closing</t>
  </si>
  <si>
    <t xml:space="preserve">Average net assets</t>
  </si>
  <si>
    <t xml:space="preserve">Expense ratio</t>
  </si>
  <si>
    <t xml:space="preserve">Carried interest is deliberately excluded from the numerator.</t>
  </si>
  <si>
    <t xml:space="preserve">THE SUBSEQUENT EVENT</t>
  </si>
  <si>
    <t xml:space="preserve">Eastvale Specialty Chemicals, carried at</t>
  </si>
  <si>
    <t xml:space="preserve">Agreed sale price after the reporting date</t>
  </si>
  <si>
    <t xml:space="preserve">Uplift over the carrying value</t>
  </si>
  <si>
    <t xml:space="preserve">Positions measured using unobservable inputs, % of fair value</t>
  </si>
  <si>
    <t xml:space="preserve">which is, of net assets</t>
  </si>
  <si>
    <t xml:space="preserve">The twelve reconciliations to run on this pack</t>
  </si>
  <si>
    <t xml:space="preserve">Appendix A. Any one of these failing is a question for the administrator, not a rounding curiosity.</t>
  </si>
  <si>
    <t xml:space="preserve">#</t>
  </si>
  <si>
    <t xml:space="preserve">Reconciliation</t>
  </si>
  <si>
    <t xml:space="preserve">This side</t>
  </si>
  <si>
    <t xml:space="preserve">Against</t>
  </si>
  <si>
    <t xml:space="preserve">Difference</t>
  </si>
  <si>
    <t xml:space="preserve">Status</t>
  </si>
  <si>
    <t xml:space="preserve">Twelve checks, twenty minutes</t>
  </si>
  <si>
    <t xml:space="preserve">Schedule of investments total against the balance sheet</t>
  </si>
  <si>
    <t xml:space="preserve">Run these on a real pack and afterwards you know it is internally consistent. That is a different and lesser claim than knowing the marks are right — but it is the foundation for everything else, and it is the part you can do alone, without access to a single portfolio company.
Two of the twelve are the ones administrators most often cannot answer on the first attempt. Number 7 and number 8 tie a page issued to one investor back to a page issued to everyone; where an investor has a fee discount or paid equalisation, they will not tie exactly, and the divergence has to be explained line by line rather than waved at. Workbook 2, Case 2, does exactly that.
Number 10 is the roll-forward, and it is the one that catches a schedule quietly restated between periods. Opening fair value, plus purchases, less proceeds, plus realised gain, plus the change in unrealised, equals closing fair value. If it does not, something moved that nobody mentioned.
Break a figure on any statement and come back here. The count at the bottom is the fastest way to see what a single edit propagates into.</t>
  </si>
  <si>
    <t xml:space="preserve">Total assets less total liabilities against net assets</t>
  </si>
  <si>
    <t xml:space="preserve">General partner plus limited partner columns against net assets</t>
  </si>
  <si>
    <t xml:space="preserve">Changes statement: opening plus movements against closing</t>
  </si>
  <si>
    <t xml:space="preserve">Operations statement result against the changes statement</t>
  </si>
  <si>
    <t xml:space="preserve">Cash flow closing cash against the balance sheet</t>
  </si>
  <si>
    <t xml:space="preserve">Capital account movements against the investor's share of the LP result</t>
  </si>
  <si>
    <t xml:space="preserve">Capital account closing against the same share of the LP closing column</t>
  </si>
  <si>
    <t xml:space="preserve">Cost column of the schedule against the balance sheet caption</t>
  </si>
  <si>
    <t xml:space="preserve">Investments roll-forward from opening fair value</t>
  </si>
  <si>
    <t xml:space="preserve">Fee note against the operations statement</t>
  </si>
  <si>
    <t xml:space="preserve">Undrawn commitments against commitments less drawn</t>
  </si>
  <si>
    <t xml:space="preserve">Reconciliations that tie</t>
  </si>
  <si>
    <t xml:space="preserve">Reconciliations that do not</t>
  </si>
  <si>
    <t xml:space="preserve">Every figure Appendix A prints, against what this workbook computes</t>
  </si>
  <si>
    <t xml:space="preserve">Column D links into the model. Change a mark on the schedule and this page moves with it.</t>
  </si>
  <si>
    <t xml:space="preserve">Statement</t>
  </si>
  <si>
    <t xml:space="preserve">Figure as the appendix prints it</t>
  </si>
  <si>
    <t xml:space="preserve">Printed</t>
  </si>
  <si>
    <t xml:space="preserve">Computed</t>
  </si>
  <si>
    <t xml:space="preserve">Variance</t>
  </si>
  <si>
    <t xml:space="preserve">What this page is for</t>
  </si>
  <si>
    <t xml:space="preserve">Balance sheet</t>
  </si>
  <si>
    <t xml:space="preserve">Column D is not a number typed in beside the appendix's. It is a link into the model. Edit a single fair value on the schedule of investments and roughly half this page moves — which is the point. A pack is a system, not a stack of pages.
The percentages are checked to the hundredth of a point rather than to the appendix's two printed decimals, so a line marked 'rounding' means the appendix rounded and this workbook did not. Nothing here is smoothed until it passes.</t>
  </si>
  <si>
    <t xml:space="preserve">Investments at cost</t>
  </si>
  <si>
    <t xml:space="preserve">Schedule</t>
  </si>
  <si>
    <t xml:space="preserve">Total fair value</t>
  </si>
  <si>
    <t xml:space="preserve">Total unrealised gain</t>
  </si>
  <si>
    <t xml:space="preserve">Total as a % of net assets</t>
  </si>
  <si>
    <t xml:space="preserve">Alderton as a % of net assets</t>
  </si>
  <si>
    <t xml:space="preserve">Brackwell as a % of net assets</t>
  </si>
  <si>
    <t xml:space="preserve">Operations</t>
  </si>
  <si>
    <t xml:space="preserve">Net investment loss</t>
  </si>
  <si>
    <t xml:space="preserve">Changes</t>
  </si>
  <si>
    <t xml:space="preserve">Opening net assets</t>
  </si>
  <si>
    <t xml:space="preserve">GP result before carried interest</t>
  </si>
  <si>
    <t xml:space="preserve">LP result before carried interest</t>
  </si>
  <si>
    <t xml:space="preserve">GP contributions</t>
  </si>
  <si>
    <t xml:space="preserve">LP contributions</t>
  </si>
  <si>
    <t xml:space="preserve">GP distributions</t>
  </si>
  <si>
    <t xml:space="preserve">LP distributions</t>
  </si>
  <si>
    <t xml:space="preserve">GP closing net assets</t>
  </si>
  <si>
    <t xml:space="preserve">LP closing net assets</t>
  </si>
  <si>
    <t xml:space="preserve">Cash flows</t>
  </si>
  <si>
    <t xml:space="preserve">Capital account</t>
  </si>
  <si>
    <t xml:space="preserve">Opening balance</t>
  </si>
  <si>
    <t xml:space="preserve">Closing balance</t>
  </si>
  <si>
    <t xml:space="preserve">divided by 5%, the LP share of the result</t>
  </si>
  <si>
    <t xml:space="preserve">Notes</t>
  </si>
  <si>
    <t xml:space="preserve">Offset credit at 80% of 775</t>
  </si>
  <si>
    <t xml:space="preserve">Fee payable net of offsets</t>
  </si>
  <si>
    <t xml:space="preserve">Eastvale uplift over the carrying value</t>
  </si>
  <si>
    <t xml:space="preserve">Positions carried below cost (the appendix says three)</t>
  </si>
  <si>
    <t xml:space="preserve">revised</t>
  </si>
  <si>
    <t xml:space="preserve">added</t>
  </si>
  <si>
    <t xml:space="preserve">   of which the accrued carry, not only the facility</t>
  </si>
  <si>
    <t xml:space="preserve">Investments over net assets before the carry accrual</t>
  </si>
  <si>
    <t xml:space="preserve">Alderton twenty per cent optimistic, share of net assets</t>
  </si>
  <si>
    <t xml:space="preserve">Brackwell twenty per cent optimistic (the appendix: roughly 4.7 for either)</t>
  </si>
  <si>
    <t xml:space="preserve">Reversal below which the rest was marked down</t>
  </si>
  <si>
    <t xml:space="preserve">Opening carrying value of the positions sold at that threshold</t>
  </si>
  <si>
    <t xml:space="preserve">Base implied by 4,300 at 1.75 per cent</t>
  </si>
  <si>
    <t xml:space="preserve">Full year after the step-down on the cost of 215,000 (Appendix D)</t>
  </si>
  <si>
    <t xml:space="preserve">Days at 2 per cent on commitments that close the gap</t>
  </si>
  <si>
    <t xml:space="preserve">Remaining exposure: unfunded plus recallable</t>
  </si>
  <si>
    <t xml:space="preserve">Reconciliations</t>
  </si>
  <si>
    <t xml:space="preserve">All twelve reconciliations tie</t>
  </si>
  <si>
    <t xml:space="preserve">Lines reproduced exactly</t>
  </si>
  <si>
    <t xml:space="preserve">Lines differing only by the appendix's own rounding</t>
  </si>
  <si>
    <t xml:space="preserve">Lines to check</t>
  </si>
  <si>
    <t xml:space="preserve">All checks</t>
  </si>
</sst>
</file>

<file path=xl/styles.xml><?xml version="1.0" encoding="utf-8"?>
<styleSheet xmlns="http://schemas.openxmlformats.org/spreadsheetml/2006/main">
  <numFmts count="10">
    <numFmt numFmtId="164" formatCode="General"/>
    <numFmt numFmtId="165" formatCode="#,##0;\(#,##0\);\-"/>
    <numFmt numFmtId="166" formatCode="0.00%"/>
    <numFmt numFmtId="167" formatCode="0"/>
    <numFmt numFmtId="168" formatCode="#,##0"/>
    <numFmt numFmtId="169" formatCode="0.0%"/>
    <numFmt numFmtId="170" formatCode="0.00\x"/>
    <numFmt numFmtId="171" formatCode="0.0"/>
    <numFmt numFmtId="172" formatCode="#,##0.0"/>
    <numFmt numFmtId="173" formatCode="General"/>
  </numFmts>
  <fonts count="19">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sz val="10"/>
      <color rgb="FF008000"/>
      <name val="Arial"/>
      <family val="0"/>
      <charset val="1"/>
    </font>
    <font>
      <sz val="9"/>
      <color rgb="FF8C5A00"/>
      <name val="Arial"/>
      <family val="0"/>
      <charset val="1"/>
    </font>
    <font>
      <sz val="9"/>
      <name val="Arial"/>
      <family val="0"/>
      <charset val="1"/>
    </font>
    <font>
      <sz val="9"/>
      <color rgb="FF008000"/>
      <name val="Arial"/>
      <family val="0"/>
      <charset val="1"/>
    </font>
    <font>
      <b val="true"/>
      <sz val="9"/>
      <name val="Arial"/>
      <family val="0"/>
      <charset val="1"/>
    </font>
    <font>
      <sz val="9"/>
      <color rgb="FF0000FF"/>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FFF00"/>
        <bgColor rgb="FFFFFF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5" fontId="11" fillId="3" borderId="0" xfId="0" applyFont="true" applyBorder="false" applyAlignment="true" applyProtection="false">
      <alignment horizontal="general" vertical="bottom" textRotation="0" wrapText="false" indent="0" shrinkToFit="false"/>
      <protection locked="true" hidden="false"/>
    </xf>
    <xf numFmtId="166" fontId="11" fillId="3" borderId="0" xfId="0" applyFont="true" applyBorder="false" applyAlignment="true" applyProtection="false">
      <alignment horizontal="general" vertical="bottom" textRotation="0" wrapText="false" indent="0" shrinkToFit="false"/>
      <protection locked="true" hidden="false"/>
    </xf>
    <xf numFmtId="168" fontId="11" fillId="3" borderId="0" xfId="0" applyFont="true" applyBorder="false" applyAlignment="true" applyProtection="false">
      <alignment horizontal="general" vertical="bottom" textRotation="0" wrapText="false" indent="0" shrinkToFit="false"/>
      <protection locked="true" hidden="false"/>
    </xf>
    <xf numFmtId="169" fontId="13" fillId="0"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70" fontId="12" fillId="0"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top" textRotation="0" wrapText="tru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5" fontId="18" fillId="0"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5" fontId="18" fillId="4" borderId="0" xfId="0" applyFont="true" applyBorder="false" applyAlignment="true" applyProtection="false">
      <alignment horizontal="general" vertical="bottom" textRotation="0" wrapText="false" indent="0" shrinkToFit="false"/>
      <protection locked="true" hidden="false"/>
    </xf>
    <xf numFmtId="166" fontId="18" fillId="4" borderId="0" xfId="0" applyFont="true" applyBorder="false" applyAlignment="true" applyProtection="false">
      <alignment horizontal="general" vertical="bottom" textRotation="0" wrapText="false" indent="0" shrinkToFit="false"/>
      <protection locked="true" hidden="false"/>
    </xf>
    <xf numFmtId="166" fontId="16" fillId="4" borderId="0" xfId="0" applyFont="true" applyBorder="false" applyAlignment="true" applyProtection="false">
      <alignment horizontal="general" vertical="bottom" textRotation="0" wrapText="false" indent="0" shrinkToFit="false"/>
      <protection locked="true" hidden="false"/>
    </xf>
    <xf numFmtId="166" fontId="15" fillId="4" borderId="0" xfId="0" applyFont="true" applyBorder="false" applyAlignment="true" applyProtection="false">
      <alignment horizontal="general" vertical="bottom" textRotation="0" wrapText="false" indent="0" shrinkToFit="false"/>
      <protection locked="true" hidden="false"/>
    </xf>
    <xf numFmtId="166" fontId="18" fillId="0" borderId="0" xfId="0" applyFont="true" applyBorder="false" applyAlignment="true" applyProtection="false">
      <alignment horizontal="general" vertical="bottom" textRotation="0" wrapText="false" indent="0" shrinkToFit="false"/>
      <protection locked="true" hidden="false"/>
    </xf>
    <xf numFmtId="166" fontId="16" fillId="0" borderId="0" xfId="0" applyFont="true" applyBorder="false" applyAlignment="tru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general" vertical="bottom" textRotation="0" wrapText="false" indent="0" shrinkToFit="false"/>
      <protection locked="true" hidden="false"/>
    </xf>
    <xf numFmtId="170" fontId="18" fillId="0" borderId="0" xfId="0" applyFont="true" applyBorder="false" applyAlignment="true" applyProtection="false">
      <alignment horizontal="general" vertical="bottom" textRotation="0" wrapText="false" indent="0" shrinkToFit="false"/>
      <protection locked="true" hidden="false"/>
    </xf>
    <xf numFmtId="170" fontId="16" fillId="0" borderId="0" xfId="0" applyFont="true" applyBorder="false" applyAlignment="true" applyProtection="false">
      <alignment horizontal="general" vertical="bottom" textRotation="0" wrapText="false" indent="0" shrinkToFit="false"/>
      <protection locked="true" hidden="false"/>
    </xf>
    <xf numFmtId="170" fontId="15" fillId="0" borderId="0" xfId="0" applyFont="true" applyBorder="false" applyAlignment="true" applyProtection="false">
      <alignment horizontal="general" vertical="bottom" textRotation="0" wrapText="false" indent="0" shrinkToFit="false"/>
      <protection locked="true" hidden="false"/>
    </xf>
    <xf numFmtId="170" fontId="18" fillId="4" borderId="0" xfId="0" applyFont="true" applyBorder="false" applyAlignment="true" applyProtection="false">
      <alignment horizontal="general" vertical="bottom" textRotation="0" wrapText="false" indent="0" shrinkToFit="false"/>
      <protection locked="true" hidden="false"/>
    </xf>
    <xf numFmtId="170" fontId="16" fillId="4" borderId="0" xfId="0" applyFont="true" applyBorder="false" applyAlignment="true" applyProtection="false">
      <alignment horizontal="general" vertical="bottom" textRotation="0" wrapText="false" indent="0" shrinkToFit="false"/>
      <protection locked="true" hidden="false"/>
    </xf>
    <xf numFmtId="170" fontId="15" fillId="4" borderId="0" xfId="0" applyFont="true" applyBorder="false" applyAlignment="true" applyProtection="false">
      <alignment horizontal="general" vertical="bottom" textRotation="0" wrapText="false" indent="0" shrinkToFit="false"/>
      <protection locked="true" hidden="false"/>
    </xf>
    <xf numFmtId="168" fontId="18" fillId="4" borderId="0" xfId="0" applyFont="true" applyBorder="false" applyAlignment="true" applyProtection="false">
      <alignment horizontal="general" vertical="bottom" textRotation="0" wrapText="false" indent="0" shrinkToFit="false"/>
      <protection locked="true" hidden="false"/>
    </xf>
    <xf numFmtId="168" fontId="16" fillId="4" borderId="0" xfId="0" applyFont="true" applyBorder="false" applyAlignment="true" applyProtection="false">
      <alignment horizontal="general" vertical="bottom" textRotation="0" wrapText="false" indent="0" shrinkToFit="false"/>
      <protection locked="true" hidden="false"/>
    </xf>
    <xf numFmtId="168" fontId="15" fillId="4" borderId="0" xfId="0" applyFont="true" applyBorder="false" applyAlignment="true" applyProtection="false">
      <alignment horizontal="general" vertical="bottom" textRotation="0" wrapText="false" indent="0" shrinkToFit="false"/>
      <protection locked="true" hidden="false"/>
    </xf>
    <xf numFmtId="172" fontId="18" fillId="4" borderId="0" xfId="0" applyFont="true" applyBorder="false" applyAlignment="true" applyProtection="false">
      <alignment horizontal="general" vertical="bottom" textRotation="0" wrapText="false" indent="0" shrinkToFit="false"/>
      <protection locked="true" hidden="false"/>
    </xf>
    <xf numFmtId="172" fontId="16" fillId="4" borderId="0" xfId="0" applyFont="true" applyBorder="false" applyAlignment="true" applyProtection="false">
      <alignment horizontal="general" vertical="bottom" textRotation="0" wrapText="false" indent="0" shrinkToFit="false"/>
      <protection locked="true" hidden="false"/>
    </xf>
    <xf numFmtId="172" fontId="15" fillId="4" borderId="0" xfId="0" applyFont="true" applyBorder="false" applyAlignment="true" applyProtection="false">
      <alignment horizontal="general" vertical="bottom" textRotation="0" wrapText="false" indent="0" shrinkToFit="false"/>
      <protection locked="true" hidden="false"/>
    </xf>
    <xf numFmtId="171" fontId="18" fillId="4" borderId="0" xfId="0" applyFont="true" applyBorder="false" applyAlignment="true" applyProtection="false">
      <alignment horizontal="general" vertical="bottom" textRotation="0" wrapText="false" indent="0" shrinkToFit="false"/>
      <protection locked="true" hidden="false"/>
    </xf>
    <xf numFmtId="171" fontId="16" fillId="4" borderId="0" xfId="0" applyFont="true" applyBorder="false" applyAlignment="true" applyProtection="false">
      <alignment horizontal="general" vertical="bottom" textRotation="0" wrapText="false" indent="0" shrinkToFit="false"/>
      <protection locked="true" hidden="false"/>
    </xf>
    <xf numFmtId="171" fontId="15" fillId="4" borderId="0" xfId="0" applyFont="true" applyBorder="false" applyAlignment="true" applyProtection="false">
      <alignment horizontal="general" vertical="bottom" textRotation="0" wrapText="false" indent="0" shrinkToFit="false"/>
      <protection locked="true" hidden="false"/>
    </xf>
    <xf numFmtId="167" fontId="18" fillId="4" borderId="0" xfId="0" applyFont="true" applyBorder="false" applyAlignment="true" applyProtection="false">
      <alignment horizontal="general" vertical="bottom" textRotation="0" wrapText="false" indent="0" shrinkToFit="false"/>
      <protection locked="true" hidden="false"/>
    </xf>
    <xf numFmtId="167" fontId="16" fillId="4" borderId="0" xfId="0" applyFont="true" applyBorder="false" applyAlignment="true" applyProtection="false">
      <alignment horizontal="general" vertical="bottom" textRotation="0" wrapText="false" indent="0" shrinkToFit="false"/>
      <protection locked="true" hidden="false"/>
    </xf>
    <xf numFmtId="167" fontId="15" fillId="4" borderId="0" xfId="0" applyFont="true" applyBorder="false" applyAlignment="true" applyProtection="false">
      <alignment horizontal="general" vertical="bottom" textRotation="0" wrapText="false" indent="0" shrinkToFit="false"/>
      <protection locked="true" hidden="false"/>
    </xf>
    <xf numFmtId="173"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88.5" hidden="false" customHeight="true" outlineLevel="0" collapsed="false">
      <c r="B7" s="6" t="s">
        <v>4</v>
      </c>
    </row>
    <row r="9" customFormat="false" ht="15" hidden="false" customHeight="true" outlineLevel="0" collapsed="false">
      <c r="B9" s="5" t="s">
        <v>5</v>
      </c>
    </row>
    <row r="10" customFormat="false" ht="103.5" hidden="false" customHeight="true" outlineLevel="0" collapsed="false">
      <c r="B10" s="6" t="s">
        <v>6</v>
      </c>
    </row>
    <row r="12" customFormat="false" ht="15" hidden="false" customHeight="true" outlineLevel="0" collapsed="false">
      <c r="B12" s="5" t="s">
        <v>7</v>
      </c>
    </row>
    <row r="13" customFormat="false" ht="88.5" hidden="false" customHeight="true" outlineLevel="0" collapsed="false">
      <c r="B13" s="6" t="s">
        <v>8</v>
      </c>
    </row>
    <row r="15" customFormat="false" ht="15" hidden="false" customHeight="true" outlineLevel="0" collapsed="false">
      <c r="B15" s="5" t="s">
        <v>9</v>
      </c>
    </row>
    <row r="16" customFormat="false" ht="73.5" hidden="false" customHeight="true" outlineLevel="0" collapsed="false">
      <c r="B16" s="6" t="s">
        <v>10</v>
      </c>
    </row>
    <row r="18" customFormat="false" ht="15" hidden="false" customHeight="true" outlineLevel="0" collapsed="false">
      <c r="B18" s="5" t="s">
        <v>11</v>
      </c>
    </row>
    <row r="19" customFormat="false" ht="58.5" hidden="false" customHeight="true" outlineLevel="0" collapsed="false">
      <c r="B19" s="6" t="s">
        <v>12</v>
      </c>
    </row>
    <row r="22" customFormat="false" ht="15" hidden="false" customHeight="true" outlineLevel="0" collapsed="false">
      <c r="B22" s="4" t="s">
        <v>13</v>
      </c>
    </row>
    <row r="24" customFormat="false" ht="15" hidden="false" customHeight="false" outlineLevel="0" collapsed="false">
      <c r="B24" s="5" t="s">
        <v>14</v>
      </c>
    </row>
    <row r="25" customFormat="false" ht="150" hidden="false" customHeight="true" outlineLevel="0" collapsed="false">
      <c r="B25" s="6"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3" min="2" style="1" width="14"/>
    <col collapsed="false" customWidth="true" hidden="false" outlineLevel="0" max="5" min="4" style="1" width="16"/>
    <col collapsed="false" customWidth="true" hidden="false" outlineLevel="0" max="6" min="6" style="1" width="3"/>
    <col collapsed="false" customWidth="true" hidden="false" outlineLevel="0" max="7" min="7" style="1" width="50"/>
  </cols>
  <sheetData>
    <row r="1" customFormat="false" ht="17.25" hidden="false" customHeight="true" outlineLevel="0" collapsed="false">
      <c r="A1" s="7" t="s">
        <v>16</v>
      </c>
    </row>
    <row r="2" customFormat="false" ht="15" hidden="false" customHeight="true" outlineLevel="0" collapsed="false">
      <c r="A2" s="4" t="s">
        <v>17</v>
      </c>
    </row>
    <row r="4" customFormat="false" ht="15" hidden="false" customHeight="true" outlineLevel="0" collapsed="false">
      <c r="G4" s="5" t="s">
        <v>18</v>
      </c>
    </row>
    <row r="5" customFormat="false" ht="27.75" hidden="false" customHeight="true" outlineLevel="0" collapsed="false">
      <c r="A5" s="8" t="s">
        <v>19</v>
      </c>
      <c r="B5" s="9" t="s">
        <v>20</v>
      </c>
      <c r="C5" s="9" t="s">
        <v>21</v>
      </c>
      <c r="D5" s="9" t="s">
        <v>22</v>
      </c>
      <c r="E5" s="9" t="s">
        <v>23</v>
      </c>
      <c r="G5" s="10" t="s">
        <v>24</v>
      </c>
    </row>
    <row r="6" customFormat="false" ht="15" hidden="false" customHeight="true" outlineLevel="0" collapsed="false">
      <c r="A6" s="11" t="s">
        <v>25</v>
      </c>
      <c r="B6" s="12" t="n">
        <v>42000</v>
      </c>
      <c r="C6" s="12" t="n">
        <v>68500</v>
      </c>
      <c r="D6" s="13" t="n">
        <f aca="false">C6-B6</f>
        <v>26500</v>
      </c>
      <c r="E6" s="14" t="n">
        <f aca="false">C6/'Balance sheet'!$B$22</f>
        <v>0.24689133177149</v>
      </c>
      <c r="G6" s="10"/>
    </row>
    <row r="7" customFormat="false" ht="15" hidden="false" customHeight="true" outlineLevel="0" collapsed="false">
      <c r="A7" s="11" t="s">
        <v>26</v>
      </c>
      <c r="B7" s="12" t="n">
        <v>28500</v>
      </c>
      <c r="C7" s="12" t="n">
        <v>61200</v>
      </c>
      <c r="D7" s="13" t="n">
        <f aca="false">C7-B7</f>
        <v>32700</v>
      </c>
      <c r="E7" s="14" t="n">
        <f aca="false">C7/'Balance sheet'!$B$22</f>
        <v>0.220580284735988</v>
      </c>
      <c r="G7" s="10"/>
    </row>
    <row r="8" customFormat="false" ht="15" hidden="false" customHeight="true" outlineLevel="0" collapsed="false">
      <c r="A8" s="11" t="s">
        <v>27</v>
      </c>
      <c r="B8" s="12" t="n">
        <v>35000</v>
      </c>
      <c r="C8" s="12" t="n">
        <v>39800</v>
      </c>
      <c r="D8" s="13" t="n">
        <f aca="false">C8-B8</f>
        <v>4800</v>
      </c>
      <c r="E8" s="14" t="n">
        <f aca="false">C8/'Balance sheet'!$B$22</f>
        <v>0.143449270138764</v>
      </c>
      <c r="G8" s="10"/>
    </row>
    <row r="9" customFormat="false" ht="15" hidden="false" customHeight="true" outlineLevel="0" collapsed="false">
      <c r="A9" s="11" t="s">
        <v>28</v>
      </c>
      <c r="B9" s="12" t="n">
        <v>26000</v>
      </c>
      <c r="C9" s="12" t="n">
        <v>24100</v>
      </c>
      <c r="D9" s="13" t="n">
        <f aca="false">C9-B9</f>
        <v>-1900</v>
      </c>
      <c r="E9" s="14" t="n">
        <f aca="false">C9/'Balance sheet'!$B$22</f>
        <v>0.0868624977473419</v>
      </c>
      <c r="G9" s="10"/>
    </row>
    <row r="10" customFormat="false" ht="15" hidden="false" customHeight="true" outlineLevel="0" collapsed="false">
      <c r="A10" s="11" t="s">
        <v>29</v>
      </c>
      <c r="B10" s="12" t="n">
        <v>31500</v>
      </c>
      <c r="C10" s="12" t="n">
        <v>44900</v>
      </c>
      <c r="D10" s="13" t="n">
        <f aca="false">C10-B10</f>
        <v>13400</v>
      </c>
      <c r="E10" s="14" t="n">
        <f aca="false">C10/'Balance sheet'!$B$22</f>
        <v>0.161830960533429</v>
      </c>
      <c r="G10" s="10"/>
    </row>
    <row r="11" customFormat="false" ht="15" hidden="false" customHeight="true" outlineLevel="0" collapsed="false">
      <c r="A11" s="11" t="s">
        <v>30</v>
      </c>
      <c r="B11" s="12" t="n">
        <v>18000</v>
      </c>
      <c r="C11" s="12" t="n">
        <v>6300</v>
      </c>
      <c r="D11" s="13" t="n">
        <f aca="false">C11-B11</f>
        <v>-11700</v>
      </c>
      <c r="E11" s="14" t="n">
        <f aca="false">C11/'Balance sheet'!$B$22</f>
        <v>0.02270679401694</v>
      </c>
      <c r="G11" s="10"/>
    </row>
    <row r="12" customFormat="false" ht="15" hidden="false" customHeight="true" outlineLevel="0" collapsed="false">
      <c r="A12" s="11" t="s">
        <v>31</v>
      </c>
      <c r="B12" s="12" t="n">
        <v>12000</v>
      </c>
      <c r="C12" s="12" t="n">
        <v>12600</v>
      </c>
      <c r="D12" s="13" t="n">
        <f aca="false">C12-B12</f>
        <v>600</v>
      </c>
      <c r="E12" s="14" t="n">
        <f aca="false">C12/'Balance sheet'!$B$22</f>
        <v>0.04541358803388</v>
      </c>
      <c r="G12" s="10"/>
    </row>
    <row r="13" customFormat="false" ht="15" hidden="false" customHeight="true" outlineLevel="0" collapsed="false">
      <c r="A13" s="11" t="s">
        <v>32</v>
      </c>
      <c r="B13" s="12" t="n">
        <v>22000</v>
      </c>
      <c r="C13" s="12" t="n">
        <v>30400</v>
      </c>
      <c r="D13" s="13" t="n">
        <f aca="false">C13-B13</f>
        <v>8400</v>
      </c>
      <c r="E13" s="14" t="n">
        <f aca="false">C13/'Balance sheet'!$B$22</f>
        <v>0.109569291764282</v>
      </c>
      <c r="G13" s="10"/>
    </row>
    <row r="14" customFormat="false" ht="15" hidden="false" customHeight="true" outlineLevel="0" collapsed="false">
      <c r="A14" s="15" t="s">
        <v>33</v>
      </c>
      <c r="B14" s="16" t="n">
        <f aca="false">SUM(B6:B13)</f>
        <v>215000</v>
      </c>
      <c r="C14" s="16" t="n">
        <f aca="false">SUM(C6:C13)</f>
        <v>287800</v>
      </c>
      <c r="D14" s="16" t="n">
        <f aca="false">SUM(D6:D13)</f>
        <v>72800</v>
      </c>
      <c r="E14" s="17" t="n">
        <f aca="false">C14/'Balance sheet'!$B$22</f>
        <v>1.03730401874212</v>
      </c>
      <c r="G14" s="10"/>
    </row>
    <row r="15" customFormat="false" ht="15" hidden="false" customHeight="true" outlineLevel="0" collapsed="false">
      <c r="G15" s="10"/>
    </row>
    <row r="16" customFormat="false" ht="15" hidden="false" customHeight="true" outlineLevel="0" collapsed="false">
      <c r="A16" s="11" t="s">
        <v>34</v>
      </c>
      <c r="B16" s="18" t="n">
        <f aca="false">COUNTIF(D6:D13,"&lt;0")</f>
        <v>2</v>
      </c>
      <c r="G16" s="10"/>
    </row>
    <row r="17" customFormat="false" ht="15" hidden="false" customHeight="true" outlineLevel="0" collapsed="false">
      <c r="A17" s="11" t="s">
        <v>35</v>
      </c>
      <c r="B17" s="14" t="n">
        <f aca="false">(LARGE(C6:C13,1)+LARGE(C6:C13,2))/'Balance sheet'!$B$22</f>
        <v>0.467471616507479</v>
      </c>
      <c r="G17" s="10"/>
    </row>
    <row r="18" customFormat="false" ht="15" hidden="false" customHeight="true" outlineLevel="0" collapsed="false">
      <c r="A18" s="11" t="s">
        <v>36</v>
      </c>
      <c r="B18" s="14" t="n">
        <f aca="false">(LARGE(D6:D13,1)+LARGE(D6:D13,2))/D14</f>
        <v>0.813186813186813</v>
      </c>
      <c r="G18" s="10"/>
    </row>
    <row r="19" customFormat="false" ht="15" hidden="false" customHeight="true" outlineLevel="0" collapsed="false">
      <c r="A19" s="11" t="s">
        <v>37</v>
      </c>
      <c r="B19" s="14" t="n">
        <f aca="false">LARGE(C6:C13,1)*0.2/'Balance sheet'!$B$22</f>
        <v>0.0493782663542981</v>
      </c>
      <c r="G19" s="10"/>
    </row>
    <row r="20" customFormat="false" ht="15" hidden="false" customHeight="true" outlineLevel="0" collapsed="false">
      <c r="A20" s="11" t="s">
        <v>38</v>
      </c>
      <c r="B20" s="14" t="n">
        <f aca="false">LARGE(C6:C13,2)*0.2/'Balance sheet'!$B$22</f>
        <v>0.0441160569471977</v>
      </c>
      <c r="G20" s="10"/>
    </row>
    <row r="21" customFormat="false" ht="15" hidden="false" customHeight="true" outlineLevel="0" collapsed="false">
      <c r="A21" s="11" t="s">
        <v>39</v>
      </c>
      <c r="B21" s="14" t="n">
        <f aca="false">(LARGE(C6:C13,1)+LARGE(C6:C13,2))*0.2/'Balance sheet'!$B$22</f>
        <v>0.0934943233014958</v>
      </c>
      <c r="G21" s="10"/>
    </row>
    <row r="22" customFormat="false" ht="15" hidden="false" customHeight="true" outlineLevel="0" collapsed="false">
      <c r="G22" s="10"/>
    </row>
    <row r="23" customFormat="false" ht="15" hidden="false" customHeight="true" outlineLevel="0" collapsed="false">
      <c r="A23" s="11" t="s">
        <v>40</v>
      </c>
      <c r="B23" s="19" t="n">
        <f aca="false">C14-'Balance sheet'!B22</f>
        <v>10350</v>
      </c>
      <c r="G23" s="10"/>
    </row>
    <row r="24" customFormat="false" ht="15" hidden="false" customHeight="true" outlineLevel="0" collapsed="false">
      <c r="A24" s="11" t="s">
        <v>41</v>
      </c>
      <c r="B24" s="19" t="n">
        <f aca="false">'Balance sheet'!B19</f>
        <v>20600</v>
      </c>
      <c r="G24" s="10"/>
    </row>
    <row r="25" customFormat="false" ht="15" hidden="false" customHeight="true" outlineLevel="0" collapsed="false">
      <c r="A25" s="11" t="s">
        <v>42</v>
      </c>
      <c r="B25" s="19" t="n">
        <f aca="false">-('Balance sheet'!B8+'Balance sheet'!B9+'Balance sheet'!B10)</f>
        <v>-10250</v>
      </c>
      <c r="G25" s="10"/>
    </row>
    <row r="26" customFormat="false" ht="15" hidden="false" customHeight="true" outlineLevel="0" collapsed="false">
      <c r="A26" s="11" t="s">
        <v>43</v>
      </c>
      <c r="B26" s="14" t="n">
        <f aca="false">C14/('Balance sheet'!B22+'Balance sheet'!B18)</f>
        <v>0.991115090570976</v>
      </c>
      <c r="G26" s="10"/>
    </row>
    <row r="27" customFormat="false" ht="15" hidden="false" customHeight="true" outlineLevel="0" collapsed="false">
      <c r="G27" s="10"/>
    </row>
    <row r="28" customFormat="false" ht="15" hidden="false" customHeight="true" outlineLevel="0" collapsed="false">
      <c r="A28" s="11" t="s">
        <v>44</v>
      </c>
      <c r="B28" s="12" t="n">
        <v>284800</v>
      </c>
      <c r="G28" s="10"/>
    </row>
  </sheetData>
  <mergeCells count="1">
    <mergeCell ref="G5:G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16"/>
    <col collapsed="false" customWidth="true" hidden="false" outlineLevel="0" max="3" min="3" style="1" width="3"/>
    <col collapsed="false" customWidth="true" hidden="false" outlineLevel="0" max="4" min="4" style="1" width="50"/>
  </cols>
  <sheetData>
    <row r="1" customFormat="false" ht="17.25" hidden="false" customHeight="true" outlineLevel="0" collapsed="false">
      <c r="A1" s="7" t="s">
        <v>45</v>
      </c>
    </row>
    <row r="2" customFormat="false" ht="15" hidden="false" customHeight="true" outlineLevel="0" collapsed="false">
      <c r="A2" s="4" t="s">
        <v>46</v>
      </c>
    </row>
    <row r="4" customFormat="false" ht="15" hidden="false" customHeight="true" outlineLevel="0" collapsed="false">
      <c r="D4" s="5" t="s">
        <v>47</v>
      </c>
    </row>
    <row r="5" customFormat="false" ht="15" hidden="false" customHeight="true" outlineLevel="0" collapsed="false">
      <c r="A5" s="5" t="s">
        <v>48</v>
      </c>
      <c r="D5" s="10" t="s">
        <v>49</v>
      </c>
    </row>
    <row r="6" customFormat="false" ht="15" hidden="false" customHeight="true" outlineLevel="0" collapsed="false">
      <c r="A6" s="11" t="s">
        <v>50</v>
      </c>
      <c r="B6" s="20" t="n">
        <f aca="false">'Schedule of investments'!C14</f>
        <v>287800</v>
      </c>
      <c r="D6" s="10"/>
    </row>
    <row r="7" customFormat="false" ht="15" hidden="false" customHeight="true" outlineLevel="0" collapsed="false">
      <c r="A7" s="11" t="s">
        <v>51</v>
      </c>
      <c r="B7" s="20" t="n">
        <f aca="false">'Schedule of investments'!B14</f>
        <v>215000</v>
      </c>
      <c r="D7" s="10"/>
    </row>
    <row r="8" customFormat="false" ht="15" hidden="false" customHeight="true" outlineLevel="0" collapsed="false">
      <c r="A8" s="11" t="s">
        <v>52</v>
      </c>
      <c r="B8" s="12" t="n">
        <v>9450</v>
      </c>
      <c r="D8" s="10"/>
    </row>
    <row r="9" customFormat="false" ht="15" hidden="false" customHeight="true" outlineLevel="0" collapsed="false">
      <c r="A9" s="11" t="s">
        <v>53</v>
      </c>
      <c r="B9" s="12" t="n">
        <v>620</v>
      </c>
      <c r="D9" s="10"/>
    </row>
    <row r="10" customFormat="false" ht="15" hidden="false" customHeight="true" outlineLevel="0" collapsed="false">
      <c r="A10" s="11" t="s">
        <v>54</v>
      </c>
      <c r="B10" s="12" t="n">
        <v>180</v>
      </c>
      <c r="D10" s="10"/>
    </row>
    <row r="11" customFormat="false" ht="15" hidden="false" customHeight="true" outlineLevel="0" collapsed="false">
      <c r="A11" s="15" t="s">
        <v>55</v>
      </c>
      <c r="B11" s="16" t="n">
        <f aca="false">B6+B8+B9+B10</f>
        <v>298050</v>
      </c>
      <c r="D11" s="10"/>
    </row>
    <row r="12" customFormat="false" ht="15" hidden="false" customHeight="true" outlineLevel="0" collapsed="false">
      <c r="D12" s="10"/>
    </row>
    <row r="13" customFormat="false" ht="15" hidden="false" customHeight="true" outlineLevel="0" collapsed="false">
      <c r="A13" s="5" t="s">
        <v>56</v>
      </c>
      <c r="D13" s="10"/>
    </row>
    <row r="14" customFormat="false" ht="15" hidden="false" customHeight="true" outlineLevel="0" collapsed="false">
      <c r="A14" s="11" t="s">
        <v>57</v>
      </c>
      <c r="B14" s="12" t="n">
        <v>1240</v>
      </c>
      <c r="D14" s="10"/>
    </row>
    <row r="15" customFormat="false" ht="15" hidden="false" customHeight="true" outlineLevel="0" collapsed="false">
      <c r="A15" s="11" t="s">
        <v>58</v>
      </c>
      <c r="B15" s="12" t="n">
        <v>385</v>
      </c>
      <c r="D15" s="10"/>
    </row>
    <row r="16" customFormat="false" ht="15" hidden="false" customHeight="true" outlineLevel="0" collapsed="false">
      <c r="A16" s="11" t="s">
        <v>59</v>
      </c>
      <c r="B16" s="12" t="n">
        <v>6000</v>
      </c>
      <c r="D16" s="10"/>
    </row>
    <row r="17" customFormat="false" ht="15" hidden="false" customHeight="true" outlineLevel="0" collapsed="false">
      <c r="A17" s="11" t="s">
        <v>60</v>
      </c>
      <c r="B17" s="12" t="n">
        <v>45</v>
      </c>
      <c r="D17" s="10"/>
    </row>
    <row r="18" customFormat="false" ht="15" hidden="false" customHeight="true" outlineLevel="0" collapsed="false">
      <c r="A18" s="11" t="s">
        <v>61</v>
      </c>
      <c r="B18" s="12" t="n">
        <v>12930</v>
      </c>
      <c r="D18" s="10"/>
    </row>
    <row r="19" customFormat="false" ht="15" hidden="false" customHeight="true" outlineLevel="0" collapsed="false">
      <c r="A19" s="15" t="s">
        <v>62</v>
      </c>
      <c r="B19" s="16" t="n">
        <f aca="false">SUM(B14:B18)</f>
        <v>20600</v>
      </c>
      <c r="D19" s="10"/>
    </row>
    <row r="20" customFormat="false" ht="15" hidden="false" customHeight="true" outlineLevel="0" collapsed="false">
      <c r="D20" s="10"/>
    </row>
    <row r="21" customFormat="false" ht="15" hidden="false" customHeight="true" outlineLevel="0" collapsed="false">
      <c r="A21" s="5" t="s">
        <v>63</v>
      </c>
      <c r="D21" s="10"/>
    </row>
    <row r="22" customFormat="false" ht="15" hidden="false" customHeight="true" outlineLevel="0" collapsed="false">
      <c r="A22" s="21" t="s">
        <v>64</v>
      </c>
      <c r="B22" s="22" t="n">
        <f aca="false">B11-B19</f>
        <v>277450</v>
      </c>
      <c r="D22" s="10"/>
    </row>
    <row r="23" customFormat="false" ht="15" hidden="false" customHeight="true" outlineLevel="0" collapsed="false">
      <c r="A23" s="11" t="s">
        <v>65</v>
      </c>
      <c r="B23" s="20" t="n">
        <f aca="false">'Changes in net assets'!B14</f>
        <v>5606</v>
      </c>
    </row>
    <row r="24" customFormat="false" ht="15" hidden="false" customHeight="true" outlineLevel="0" collapsed="false">
      <c r="A24" s="11" t="s">
        <v>66</v>
      </c>
      <c r="B24" s="20" t="n">
        <f aca="false">'Changes in net assets'!C14</f>
        <v>271844</v>
      </c>
    </row>
    <row r="25" customFormat="false" ht="15" hidden="false" customHeight="true" outlineLevel="0" collapsed="false">
      <c r="A25" s="11" t="s">
        <v>67</v>
      </c>
      <c r="B25" s="13" t="n">
        <f aca="false">B23+B24</f>
        <v>277450</v>
      </c>
    </row>
  </sheetData>
  <mergeCells count="1">
    <mergeCell ref="D5:D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16"/>
    <col collapsed="false" customWidth="true" hidden="false" outlineLevel="0" max="3" min="3" style="1" width="3"/>
    <col collapsed="false" customWidth="true" hidden="false" outlineLevel="0" max="4" min="4" style="1" width="50"/>
  </cols>
  <sheetData>
    <row r="1" customFormat="false" ht="17.25" hidden="false" customHeight="true" outlineLevel="0" collapsed="false">
      <c r="A1" s="7" t="s">
        <v>68</v>
      </c>
    </row>
    <row r="2" customFormat="false" ht="15" hidden="false" customHeight="true" outlineLevel="0" collapsed="false">
      <c r="A2" s="4" t="s">
        <v>69</v>
      </c>
    </row>
    <row r="4" customFormat="false" ht="15" hidden="false" customHeight="true" outlineLevel="0" collapsed="false">
      <c r="D4" s="5" t="s">
        <v>70</v>
      </c>
    </row>
    <row r="5" customFormat="false" ht="15" hidden="false" customHeight="true" outlineLevel="0" collapsed="false">
      <c r="A5" s="5" t="s">
        <v>71</v>
      </c>
      <c r="D5" s="10" t="s">
        <v>72</v>
      </c>
    </row>
    <row r="6" customFormat="false" ht="15" hidden="false" customHeight="true" outlineLevel="0" collapsed="false">
      <c r="A6" s="11" t="s">
        <v>73</v>
      </c>
      <c r="B6" s="12" t="n">
        <v>1180</v>
      </c>
      <c r="D6" s="10"/>
    </row>
    <row r="7" customFormat="false" ht="15" hidden="false" customHeight="true" outlineLevel="0" collapsed="false">
      <c r="A7" s="11" t="s">
        <v>74</v>
      </c>
      <c r="B7" s="12" t="n">
        <v>640</v>
      </c>
      <c r="D7" s="10"/>
    </row>
    <row r="8" customFormat="false" ht="15" hidden="false" customHeight="true" outlineLevel="0" collapsed="false">
      <c r="A8" s="11" t="s">
        <v>75</v>
      </c>
      <c r="B8" s="12" t="n">
        <v>90</v>
      </c>
      <c r="D8" s="10"/>
    </row>
    <row r="9" customFormat="false" ht="15" hidden="false" customHeight="true" outlineLevel="0" collapsed="false">
      <c r="A9" s="15" t="s">
        <v>76</v>
      </c>
      <c r="B9" s="16" t="n">
        <f aca="false">SUM(B6:B8)</f>
        <v>1910</v>
      </c>
      <c r="D9" s="10"/>
    </row>
    <row r="10" customFormat="false" ht="15" hidden="false" customHeight="true" outlineLevel="0" collapsed="false">
      <c r="D10" s="10"/>
    </row>
    <row r="11" customFormat="false" ht="15" hidden="false" customHeight="true" outlineLevel="0" collapsed="false">
      <c r="A11" s="5" t="s">
        <v>77</v>
      </c>
      <c r="D11" s="10"/>
    </row>
    <row r="12" customFormat="false" ht="15" hidden="false" customHeight="true" outlineLevel="0" collapsed="false">
      <c r="A12" s="11" t="s">
        <v>78</v>
      </c>
      <c r="B12" s="20" t="n">
        <f aca="false">'Notes and ratios'!B9</f>
        <v>3680</v>
      </c>
      <c r="D12" s="10"/>
    </row>
    <row r="13" customFormat="false" ht="15" hidden="false" customHeight="true" outlineLevel="0" collapsed="false">
      <c r="A13" s="11" t="s">
        <v>79</v>
      </c>
      <c r="B13" s="12" t="n">
        <v>410</v>
      </c>
      <c r="D13" s="10"/>
    </row>
    <row r="14" customFormat="false" ht="15" hidden="false" customHeight="true" outlineLevel="0" collapsed="false">
      <c r="A14" s="11" t="s">
        <v>80</v>
      </c>
      <c r="B14" s="12" t="n">
        <v>265</v>
      </c>
      <c r="D14" s="10"/>
    </row>
    <row r="15" customFormat="false" ht="15" hidden="false" customHeight="true" outlineLevel="0" collapsed="false">
      <c r="A15" s="11" t="s">
        <v>81</v>
      </c>
      <c r="B15" s="12" t="n">
        <v>350</v>
      </c>
      <c r="D15" s="10"/>
    </row>
    <row r="16" customFormat="false" ht="15" hidden="false" customHeight="true" outlineLevel="0" collapsed="false">
      <c r="A16" s="11" t="s">
        <v>82</v>
      </c>
      <c r="B16" s="12" t="n">
        <v>55</v>
      </c>
      <c r="D16" s="10"/>
    </row>
    <row r="17" customFormat="false" ht="15" hidden="false" customHeight="true" outlineLevel="0" collapsed="false">
      <c r="A17" s="11" t="s">
        <v>83</v>
      </c>
      <c r="B17" s="12" t="n">
        <v>210</v>
      </c>
      <c r="D17" s="10"/>
    </row>
    <row r="18" customFormat="false" ht="15" hidden="false" customHeight="true" outlineLevel="0" collapsed="false">
      <c r="A18" s="11" t="s">
        <v>84</v>
      </c>
      <c r="B18" s="12" t="n">
        <v>140</v>
      </c>
      <c r="D18" s="10"/>
    </row>
    <row r="19" customFormat="false" ht="15" hidden="false" customHeight="true" outlineLevel="0" collapsed="false">
      <c r="A19" s="15" t="s">
        <v>85</v>
      </c>
      <c r="B19" s="16" t="n">
        <f aca="false">SUM(B12:B18)</f>
        <v>5110</v>
      </c>
      <c r="D19" s="10"/>
    </row>
    <row r="20" customFormat="false" ht="15" hidden="false" customHeight="true" outlineLevel="0" collapsed="false">
      <c r="D20" s="10"/>
    </row>
    <row r="21" customFormat="false" ht="15" hidden="false" customHeight="true" outlineLevel="0" collapsed="false">
      <c r="A21" s="21" t="s">
        <v>86</v>
      </c>
      <c r="B21" s="22" t="n">
        <f aca="false">B9-B19</f>
        <v>-3200</v>
      </c>
      <c r="D21" s="10"/>
    </row>
    <row r="22" customFormat="false" ht="15" hidden="false" customHeight="true" outlineLevel="0" collapsed="false">
      <c r="D22" s="10"/>
    </row>
    <row r="23" customFormat="false" ht="15" hidden="false" customHeight="true" outlineLevel="0" collapsed="false">
      <c r="A23" s="5" t="s">
        <v>87</v>
      </c>
      <c r="D23" s="10"/>
    </row>
    <row r="24" customFormat="false" ht="15" hidden="false" customHeight="true" outlineLevel="0" collapsed="false">
      <c r="A24" s="11" t="s">
        <v>88</v>
      </c>
      <c r="B24" s="23" t="n">
        <v>21400</v>
      </c>
      <c r="D24" s="10"/>
    </row>
    <row r="25" customFormat="false" ht="15" hidden="false" customHeight="true" outlineLevel="0" collapsed="false">
      <c r="A25" s="11" t="s">
        <v>89</v>
      </c>
      <c r="B25" s="23" t="n">
        <v>-4600</v>
      </c>
    </row>
    <row r="26" customFormat="false" ht="15" hidden="false" customHeight="true" outlineLevel="0" collapsed="false">
      <c r="A26" s="21" t="s">
        <v>90</v>
      </c>
      <c r="B26" s="22" t="n">
        <f aca="false">B24+B25</f>
        <v>16800</v>
      </c>
    </row>
    <row r="28" customFormat="false" ht="15" hidden="false" customHeight="true" outlineLevel="0" collapsed="false">
      <c r="A28" s="21" t="s">
        <v>91</v>
      </c>
      <c r="B28" s="22" t="n">
        <f aca="false">B21+B26</f>
        <v>13600</v>
      </c>
    </row>
    <row r="29" customFormat="false" ht="15" hidden="false" customHeight="true" outlineLevel="0" collapsed="false">
      <c r="A29" s="11" t="s">
        <v>92</v>
      </c>
      <c r="B29" s="23" t="n">
        <v>-2850</v>
      </c>
    </row>
    <row r="30" customFormat="false" ht="15" hidden="false" customHeight="true" outlineLevel="0" collapsed="false">
      <c r="A30" s="15" t="s">
        <v>93</v>
      </c>
      <c r="B30" s="16" t="n">
        <f aca="false">B28+B29</f>
        <v>10750</v>
      </c>
    </row>
  </sheetData>
  <mergeCells count="1">
    <mergeCell ref="D5:D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4" min="2" style="1" width="16"/>
    <col collapsed="false" customWidth="true" hidden="false" outlineLevel="0" max="5" min="5" style="1" width="3"/>
    <col collapsed="false" customWidth="true" hidden="false" outlineLevel="0" max="6" min="6" style="1" width="50"/>
  </cols>
  <sheetData>
    <row r="1" customFormat="false" ht="17.25" hidden="false" customHeight="true" outlineLevel="0" collapsed="false">
      <c r="A1" s="7" t="s">
        <v>94</v>
      </c>
    </row>
    <row r="2" customFormat="false" ht="15" hidden="false" customHeight="true" outlineLevel="0" collapsed="false">
      <c r="A2" s="4" t="s">
        <v>95</v>
      </c>
    </row>
    <row r="4" customFormat="false" ht="15" hidden="false" customHeight="true" outlineLevel="0" collapsed="false">
      <c r="A4" s="11" t="s">
        <v>96</v>
      </c>
      <c r="B4" s="24" t="n">
        <v>0.02</v>
      </c>
      <c r="F4" s="5" t="s">
        <v>97</v>
      </c>
    </row>
    <row r="5" customFormat="false" ht="15" hidden="false" customHeight="true" outlineLevel="0" collapsed="false">
      <c r="F5" s="10" t="s">
        <v>98</v>
      </c>
    </row>
    <row r="6" customFormat="false" ht="27.75" hidden="false" customHeight="true" outlineLevel="0" collapsed="false">
      <c r="A6" s="8"/>
      <c r="B6" s="9" t="s">
        <v>99</v>
      </c>
      <c r="C6" s="9" t="s">
        <v>100</v>
      </c>
      <c r="D6" s="9" t="s">
        <v>101</v>
      </c>
      <c r="F6" s="10"/>
    </row>
    <row r="7" customFormat="false" ht="15" hidden="false" customHeight="true" outlineLevel="0" collapsed="false">
      <c r="A7" s="11" t="s">
        <v>102</v>
      </c>
      <c r="B7" s="12" t="n">
        <v>5434</v>
      </c>
      <c r="C7" s="12" t="n">
        <v>266266</v>
      </c>
      <c r="D7" s="13" t="n">
        <f aca="false">B7+C7</f>
        <v>271700</v>
      </c>
      <c r="F7" s="10"/>
    </row>
    <row r="8" customFormat="false" ht="15" hidden="false" customHeight="true" outlineLevel="0" collapsed="false">
      <c r="A8" s="11" t="s">
        <v>91</v>
      </c>
      <c r="B8" s="20" t="n">
        <f aca="false">Operations!$B$28*$B$4</f>
        <v>272</v>
      </c>
      <c r="C8" s="20" t="n">
        <f aca="false">Operations!$B$28*(1-$B$4)</f>
        <v>13328</v>
      </c>
      <c r="D8" s="13" t="n">
        <f aca="false">B8+C8</f>
        <v>13600</v>
      </c>
      <c r="F8" s="10"/>
    </row>
    <row r="9" customFormat="false" ht="15" hidden="false" customHeight="true" outlineLevel="0" collapsed="false">
      <c r="A9" s="11" t="s">
        <v>103</v>
      </c>
      <c r="B9" s="13" t="n">
        <f aca="false">0</f>
        <v>0</v>
      </c>
      <c r="C9" s="20" t="n">
        <f aca="false">Operations!$B$29</f>
        <v>-2850</v>
      </c>
      <c r="D9" s="13" t="n">
        <f aca="false">B9+C9</f>
        <v>-2850</v>
      </c>
      <c r="F9" s="10"/>
    </row>
    <row r="10" customFormat="false" ht="15" hidden="false" customHeight="true" outlineLevel="0" collapsed="false">
      <c r="A10" s="21" t="s">
        <v>104</v>
      </c>
      <c r="B10" s="22" t="n">
        <f aca="false">B8+B9</f>
        <v>272</v>
      </c>
      <c r="C10" s="22" t="n">
        <f aca="false">C8+C9</f>
        <v>10478</v>
      </c>
      <c r="D10" s="22" t="n">
        <f aca="false">D8+D9</f>
        <v>10750</v>
      </c>
      <c r="F10" s="10"/>
    </row>
    <row r="11" customFormat="false" ht="15" hidden="false" customHeight="true" outlineLevel="0" collapsed="false">
      <c r="A11" s="11" t="s">
        <v>105</v>
      </c>
      <c r="B11" s="13" t="n">
        <f aca="false">D11*$B$4</f>
        <v>800</v>
      </c>
      <c r="C11" s="13" t="n">
        <f aca="false">D11*(1-$B$4)</f>
        <v>39200</v>
      </c>
      <c r="D11" s="23" t="n">
        <v>40000</v>
      </c>
      <c r="F11" s="10"/>
    </row>
    <row r="12" customFormat="false" ht="15" hidden="false" customHeight="true" outlineLevel="0" collapsed="false">
      <c r="A12" s="11" t="s">
        <v>106</v>
      </c>
      <c r="B12" s="13" t="n">
        <f aca="false">D12*$B$4</f>
        <v>-900</v>
      </c>
      <c r="C12" s="13" t="n">
        <f aca="false">D12*(1-$B$4)</f>
        <v>-44100</v>
      </c>
      <c r="D12" s="23" t="n">
        <v>-45000</v>
      </c>
      <c r="F12" s="10"/>
    </row>
    <row r="13" customFormat="false" ht="15" hidden="false" customHeight="true" outlineLevel="0" collapsed="false">
      <c r="F13" s="10"/>
    </row>
    <row r="14" customFormat="false" ht="15" hidden="false" customHeight="true" outlineLevel="0" collapsed="false">
      <c r="A14" s="15" t="s">
        <v>107</v>
      </c>
      <c r="B14" s="16" t="n">
        <f aca="false">B7+B10+B11+B12</f>
        <v>5606</v>
      </c>
      <c r="C14" s="16" t="n">
        <f aca="false">C7+C10+C11+C12</f>
        <v>271844</v>
      </c>
      <c r="D14" s="16" t="n">
        <f aca="false">D7+D10+D11+D12</f>
        <v>277450</v>
      </c>
      <c r="F14" s="10"/>
    </row>
    <row r="15" customFormat="false" ht="15" hidden="false" customHeight="true" outlineLevel="0" collapsed="false">
      <c r="F15" s="10"/>
    </row>
    <row r="16" customFormat="false" ht="15" hidden="false" customHeight="true" outlineLevel="0" collapsed="false">
      <c r="A16" s="5" t="s">
        <v>108</v>
      </c>
      <c r="F16" s="10"/>
    </row>
    <row r="17" customFormat="false" ht="15" hidden="false" customHeight="true" outlineLevel="0" collapsed="false">
      <c r="A17" s="11" t="s">
        <v>109</v>
      </c>
      <c r="B17" s="13" t="n">
        <f aca="false">D14-D7</f>
        <v>5750</v>
      </c>
      <c r="F17" s="10"/>
    </row>
    <row r="18" customFormat="false" ht="15" hidden="false" customHeight="true" outlineLevel="0" collapsed="false">
      <c r="A18" s="11" t="s">
        <v>110</v>
      </c>
      <c r="B18" s="13" t="n">
        <f aca="false">D10</f>
        <v>10750</v>
      </c>
      <c r="F18" s="10"/>
    </row>
    <row r="19" customFormat="false" ht="15" hidden="false" customHeight="true" outlineLevel="0" collapsed="false">
      <c r="A19" s="11" t="s">
        <v>111</v>
      </c>
      <c r="B19" s="13" t="n">
        <f aca="false">D11+D12</f>
        <v>-5000</v>
      </c>
      <c r="F19" s="10"/>
    </row>
    <row r="20" customFormat="false" ht="15" hidden="false" customHeight="true" outlineLevel="0" collapsed="false">
      <c r="A20" s="11" t="s">
        <v>112</v>
      </c>
      <c r="B20" s="20" t="n">
        <f aca="false">Operations!B26</f>
        <v>16800</v>
      </c>
      <c r="F20" s="10"/>
    </row>
    <row r="21" customFormat="false" ht="15" hidden="false" customHeight="true" outlineLevel="0" collapsed="false">
      <c r="A21" s="11" t="s">
        <v>113</v>
      </c>
      <c r="B21" s="20" t="n">
        <f aca="false">Operations!B24</f>
        <v>21400</v>
      </c>
      <c r="F21" s="10"/>
    </row>
    <row r="22" customFormat="false" ht="15" hidden="false" customHeight="true" outlineLevel="0" collapsed="false">
      <c r="A22" s="11" t="s">
        <v>114</v>
      </c>
      <c r="B22" s="20" t="n">
        <f aca="false">Operations!B25</f>
        <v>-4600</v>
      </c>
      <c r="F22" s="10"/>
    </row>
    <row r="23" customFormat="false" ht="15" hidden="false" customHeight="true" outlineLevel="0" collapsed="false">
      <c r="A23" s="11" t="s">
        <v>115</v>
      </c>
      <c r="B23" s="20" t="n">
        <f aca="false">-Operations!B25</f>
        <v>4600</v>
      </c>
      <c r="F23" s="10"/>
    </row>
    <row r="24" customFormat="false" ht="15" hidden="false" customHeight="true" outlineLevel="0" collapsed="false">
      <c r="F24" s="10"/>
    </row>
    <row r="25" customFormat="false" ht="15" hidden="false" customHeight="true" outlineLevel="0" collapsed="false">
      <c r="A25" s="11" t="s">
        <v>116</v>
      </c>
      <c r="B25" s="14" t="n">
        <f aca="false">B7/D7</f>
        <v>0.02</v>
      </c>
      <c r="F25" s="10"/>
    </row>
    <row r="26" customFormat="false" ht="15" hidden="false" customHeight="true" outlineLevel="0" collapsed="false">
      <c r="A26" s="11" t="s">
        <v>117</v>
      </c>
      <c r="B26" s="14" t="n">
        <f aca="false">B14/D14</f>
        <v>0.020205442422058</v>
      </c>
      <c r="F26" s="10"/>
    </row>
    <row r="27" customFormat="false" ht="15" hidden="false" customHeight="true" outlineLevel="0" collapsed="false">
      <c r="F27" s="10"/>
    </row>
    <row r="28" customFormat="false" ht="15" hidden="false" customHeight="true" outlineLevel="0" collapsed="false">
      <c r="A28" s="5" t="s">
        <v>118</v>
      </c>
      <c r="F28" s="10"/>
    </row>
    <row r="29" customFormat="false" ht="15" hidden="false" customHeight="false" outlineLevel="0" collapsed="false">
      <c r="A29" s="11" t="s">
        <v>119</v>
      </c>
      <c r="B29" s="20" t="n">
        <f aca="false">'Cash flows'!B8-Operations!B24</f>
        <v>30900</v>
      </c>
    </row>
    <row r="30" customFormat="false" ht="15" hidden="false" customHeight="false" outlineLevel="0" collapsed="false">
      <c r="A30" s="11" t="s">
        <v>120</v>
      </c>
      <c r="B30" s="25"/>
    </row>
    <row r="31" customFormat="false" ht="15" hidden="false" customHeight="false" outlineLevel="0" collapsed="false">
      <c r="A31" s="11" t="s">
        <v>121</v>
      </c>
      <c r="B31" s="20" t="str">
        <f aca="false">IF(B30="","ask for row 30",B30-B29)</f>
        <v>ask for row 30</v>
      </c>
    </row>
    <row r="32" customFormat="false" ht="15" hidden="false" customHeight="false" outlineLevel="0" collapsed="false">
      <c r="A32" s="11" t="s">
        <v>122</v>
      </c>
      <c r="B32" s="20" t="str">
        <f aca="false">IF(B30="","ask for row 30",Operations!B25+B31)</f>
        <v>ask for row 30</v>
      </c>
    </row>
    <row r="33" customFormat="false" ht="15" hidden="false" customHeight="false" outlineLevel="0" collapsed="false">
      <c r="A33" s="11" t="s">
        <v>123</v>
      </c>
      <c r="B33" s="20" t="str">
        <f aca="false">IF(B30="","ask for row 30",'Cash flows'!B8-B30)</f>
        <v>ask for row 30</v>
      </c>
    </row>
    <row r="34" customFormat="false" ht="15" hidden="false" customHeight="false" outlineLevel="0" collapsed="false">
      <c r="A34" s="11" t="s">
        <v>124</v>
      </c>
      <c r="B34" s="20" t="n">
        <f aca="false">B29-Operations!B25</f>
        <v>35500</v>
      </c>
    </row>
    <row r="35" customFormat="false" ht="15" hidden="false" customHeight="false" outlineLevel="0" collapsed="false">
      <c r="A35" s="11" t="s">
        <v>125</v>
      </c>
      <c r="B35" s="26" t="n">
        <f aca="false">'Cash flows'!B8/B34-1</f>
        <v>0.473239436619718</v>
      </c>
    </row>
  </sheetData>
  <mergeCells count="1">
    <mergeCell ref="F5:F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2" min="2" style="1" width="16"/>
    <col collapsed="false" customWidth="true" hidden="false" outlineLevel="0" max="3" min="3" style="1" width="3"/>
    <col collapsed="false" customWidth="true" hidden="false" outlineLevel="0" max="4" min="4" style="1" width="50"/>
  </cols>
  <sheetData>
    <row r="1" customFormat="false" ht="17.25" hidden="false" customHeight="true" outlineLevel="0" collapsed="false">
      <c r="A1" s="7" t="s">
        <v>126</v>
      </c>
    </row>
    <row r="2" customFormat="false" ht="15" hidden="false" customHeight="true" outlineLevel="0" collapsed="false">
      <c r="A2" s="4" t="s">
        <v>127</v>
      </c>
    </row>
    <row r="4" customFormat="false" ht="15" hidden="false" customHeight="true" outlineLevel="0" collapsed="false">
      <c r="D4" s="5" t="s">
        <v>128</v>
      </c>
    </row>
    <row r="5" customFormat="false" ht="15" hidden="false" customHeight="true" outlineLevel="0" collapsed="false">
      <c r="A5" s="5" t="s">
        <v>129</v>
      </c>
      <c r="D5" s="10" t="s">
        <v>130</v>
      </c>
    </row>
    <row r="6" customFormat="false" ht="15" hidden="false" customHeight="true" outlineLevel="0" collapsed="false">
      <c r="A6" s="11" t="s">
        <v>93</v>
      </c>
      <c r="B6" s="20" t="n">
        <f aca="false">Operations!B30</f>
        <v>10750</v>
      </c>
      <c r="D6" s="10"/>
    </row>
    <row r="7" customFormat="false" ht="15" hidden="false" customHeight="true" outlineLevel="0" collapsed="false">
      <c r="A7" s="11" t="s">
        <v>131</v>
      </c>
      <c r="B7" s="23" t="n">
        <v>-38500</v>
      </c>
      <c r="D7" s="10"/>
    </row>
    <row r="8" customFormat="false" ht="15" hidden="false" customHeight="true" outlineLevel="0" collapsed="false">
      <c r="A8" s="11" t="s">
        <v>132</v>
      </c>
      <c r="B8" s="23" t="n">
        <v>52300</v>
      </c>
      <c r="D8" s="10"/>
    </row>
    <row r="9" customFormat="false" ht="15" hidden="false" customHeight="true" outlineLevel="0" collapsed="false">
      <c r="A9" s="11" t="s">
        <v>88</v>
      </c>
      <c r="B9" s="20" t="n">
        <f aca="false">-Operations!B24</f>
        <v>-21400</v>
      </c>
      <c r="D9" s="10"/>
    </row>
    <row r="10" customFormat="false" ht="15" hidden="false" customHeight="true" outlineLevel="0" collapsed="false">
      <c r="A10" s="11" t="s">
        <v>89</v>
      </c>
      <c r="B10" s="20" t="n">
        <f aca="false">-Operations!B25</f>
        <v>4600</v>
      </c>
      <c r="D10" s="10"/>
    </row>
    <row r="11" customFormat="false" ht="15" hidden="false" customHeight="true" outlineLevel="0" collapsed="false">
      <c r="A11" s="11" t="s">
        <v>133</v>
      </c>
      <c r="B11" s="12" t="n">
        <v>-140</v>
      </c>
      <c r="D11" s="10"/>
    </row>
    <row r="12" customFormat="false" ht="15" hidden="false" customHeight="true" outlineLevel="0" collapsed="false">
      <c r="A12" s="11" t="s">
        <v>134</v>
      </c>
      <c r="B12" s="12" t="n">
        <v>165</v>
      </c>
      <c r="D12" s="10"/>
    </row>
    <row r="13" customFormat="false" ht="15" hidden="false" customHeight="true" outlineLevel="0" collapsed="false">
      <c r="A13" s="11" t="s">
        <v>135</v>
      </c>
      <c r="B13" s="20" t="n">
        <f aca="false">-Operations!B29</f>
        <v>2850</v>
      </c>
      <c r="D13" s="10"/>
    </row>
    <row r="14" customFormat="false" ht="15" hidden="false" customHeight="true" outlineLevel="0" collapsed="false">
      <c r="A14" s="15" t="s">
        <v>136</v>
      </c>
      <c r="B14" s="16" t="n">
        <f aca="false">SUM(B6:B13)</f>
        <v>10625</v>
      </c>
      <c r="D14" s="10"/>
    </row>
    <row r="15" customFormat="false" ht="15" hidden="false" customHeight="true" outlineLevel="0" collapsed="false">
      <c r="D15" s="10"/>
    </row>
    <row r="16" customFormat="false" ht="15" hidden="false" customHeight="true" outlineLevel="0" collapsed="false">
      <c r="A16" s="5" t="s">
        <v>137</v>
      </c>
      <c r="D16" s="10"/>
    </row>
    <row r="17" customFormat="false" ht="15" hidden="false" customHeight="true" outlineLevel="0" collapsed="false">
      <c r="A17" s="11" t="s">
        <v>138</v>
      </c>
      <c r="B17" s="20" t="n">
        <f aca="false">'Changes in net assets'!D11</f>
        <v>40000</v>
      </c>
      <c r="D17" s="10"/>
    </row>
    <row r="18" customFormat="false" ht="15" hidden="false" customHeight="true" outlineLevel="0" collapsed="false">
      <c r="A18" s="11" t="s">
        <v>139</v>
      </c>
      <c r="B18" s="20" t="n">
        <f aca="false">'Changes in net assets'!D12</f>
        <v>-45000</v>
      </c>
      <c r="D18" s="10"/>
    </row>
    <row r="19" customFormat="false" ht="15" hidden="false" customHeight="true" outlineLevel="0" collapsed="false">
      <c r="A19" s="11" t="s">
        <v>140</v>
      </c>
      <c r="B19" s="23" t="n">
        <v>6000</v>
      </c>
      <c r="D19" s="10"/>
    </row>
    <row r="20" customFormat="false" ht="15" hidden="false" customHeight="true" outlineLevel="0" collapsed="false">
      <c r="A20" s="11" t="s">
        <v>141</v>
      </c>
      <c r="B20" s="23" t="n">
        <v>-9000</v>
      </c>
      <c r="D20" s="10"/>
    </row>
    <row r="21" customFormat="false" ht="15" hidden="false" customHeight="true" outlineLevel="0" collapsed="false">
      <c r="A21" s="15" t="s">
        <v>142</v>
      </c>
      <c r="B21" s="16" t="n">
        <f aca="false">SUM(B17:B20)</f>
        <v>-8000</v>
      </c>
      <c r="D21" s="10"/>
    </row>
    <row r="22" customFormat="false" ht="15" hidden="false" customHeight="true" outlineLevel="0" collapsed="false">
      <c r="D22" s="10"/>
    </row>
    <row r="23" customFormat="false" ht="15" hidden="false" customHeight="true" outlineLevel="0" collapsed="false">
      <c r="A23" s="21" t="s">
        <v>143</v>
      </c>
      <c r="B23" s="22" t="n">
        <f aca="false">B14+B21</f>
        <v>2625</v>
      </c>
      <c r="D23" s="10"/>
    </row>
    <row r="24" customFormat="false" ht="15" hidden="false" customHeight="true" outlineLevel="0" collapsed="false">
      <c r="A24" s="11" t="s">
        <v>144</v>
      </c>
      <c r="B24" s="12" t="n">
        <v>6825</v>
      </c>
      <c r="D24" s="10"/>
    </row>
    <row r="25" customFormat="false" ht="15" hidden="false" customHeight="true" outlineLevel="0" collapsed="false">
      <c r="A25" s="15" t="s">
        <v>145</v>
      </c>
      <c r="B25" s="16" t="n">
        <f aca="false">B23+B24</f>
        <v>9450</v>
      </c>
    </row>
    <row r="27" customFormat="false" ht="15" hidden="false" customHeight="true" outlineLevel="0" collapsed="false">
      <c r="A27" s="5" t="s">
        <v>146</v>
      </c>
    </row>
    <row r="28" customFormat="false" ht="15" hidden="false" customHeight="true" outlineLevel="0" collapsed="false">
      <c r="A28" s="11" t="s">
        <v>147</v>
      </c>
      <c r="B28" s="13" t="n">
        <f aca="false">B7+B8</f>
        <v>13800</v>
      </c>
    </row>
    <row r="29" customFormat="false" ht="15" hidden="false" customHeight="true" outlineLevel="0" collapsed="false">
      <c r="A29" s="11" t="s">
        <v>148</v>
      </c>
      <c r="B29" s="13" t="n">
        <f aca="false">B19-B20</f>
        <v>15000</v>
      </c>
    </row>
    <row r="30" customFormat="false" ht="15" hidden="false" customHeight="true" outlineLevel="0" collapsed="false">
      <c r="A30" s="11" t="s">
        <v>149</v>
      </c>
      <c r="B30" s="20" t="n">
        <f aca="false">'Balance sheet'!B16</f>
        <v>6000</v>
      </c>
    </row>
    <row r="31" customFormat="false" ht="15" hidden="false" customHeight="true" outlineLevel="0" collapsed="false">
      <c r="A31" s="11" t="s">
        <v>150</v>
      </c>
      <c r="B31" s="20" t="n">
        <f aca="false">Operations!B26</f>
        <v>16800</v>
      </c>
    </row>
    <row r="32" customFormat="false" ht="15" hidden="false" customHeight="true" outlineLevel="0" collapsed="false">
      <c r="A32" s="11" t="s">
        <v>151</v>
      </c>
      <c r="B32" s="14" t="n">
        <f aca="false">Operations!B26/Operations!B28</f>
        <v>1.23529411764706</v>
      </c>
    </row>
  </sheetData>
  <mergeCells count="1">
    <mergeCell ref="D5:D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3" min="2" style="1" width="18"/>
    <col collapsed="false" customWidth="true" hidden="false" outlineLevel="0" max="4" min="4" style="1" width="3"/>
    <col collapsed="false" customWidth="true" hidden="false" outlineLevel="0" max="5" min="5" style="1" width="50"/>
  </cols>
  <sheetData>
    <row r="1" customFormat="false" ht="17.25" hidden="false" customHeight="true" outlineLevel="0" collapsed="false">
      <c r="A1" s="7" t="s">
        <v>152</v>
      </c>
    </row>
    <row r="2" customFormat="false" ht="15" hidden="false" customHeight="true" outlineLevel="0" collapsed="false">
      <c r="A2" s="4" t="s">
        <v>153</v>
      </c>
    </row>
    <row r="4" customFormat="false" ht="15" hidden="false" customHeight="true" outlineLevel="0" collapsed="false">
      <c r="A4" s="11" t="s">
        <v>154</v>
      </c>
      <c r="B4" s="23" t="n">
        <v>24500000</v>
      </c>
      <c r="E4" s="5" t="s">
        <v>155</v>
      </c>
    </row>
    <row r="5" customFormat="false" ht="15" hidden="false" customHeight="true" outlineLevel="0" collapsed="false">
      <c r="A5" s="11" t="s">
        <v>156</v>
      </c>
      <c r="B5" s="23" t="n">
        <v>490000000</v>
      </c>
      <c r="E5" s="10" t="s">
        <v>157</v>
      </c>
    </row>
    <row r="6" customFormat="false" ht="15" hidden="false" customHeight="true" outlineLevel="0" collapsed="false">
      <c r="A6" s="11" t="s">
        <v>158</v>
      </c>
      <c r="B6" s="14" t="n">
        <f aca="false">B4/B5</f>
        <v>0.05</v>
      </c>
      <c r="E6" s="10"/>
    </row>
    <row r="7" customFormat="false" ht="15" hidden="false" customHeight="true" outlineLevel="0" collapsed="false">
      <c r="A7" s="4" t="s">
        <v>159</v>
      </c>
      <c r="E7" s="10"/>
    </row>
    <row r="8" customFormat="false" ht="15" hidden="false" customHeight="true" outlineLevel="0" collapsed="false">
      <c r="E8" s="10"/>
    </row>
    <row r="9" customFormat="false" ht="15" hidden="false" customHeight="true" outlineLevel="0" collapsed="false">
      <c r="A9" s="5" t="s">
        <v>160</v>
      </c>
      <c r="E9" s="10"/>
    </row>
    <row r="10" customFormat="false" ht="27.75" hidden="false" customHeight="true" outlineLevel="0" collapsed="false">
      <c r="A10" s="8" t="s">
        <v>161</v>
      </c>
      <c r="B10" s="9" t="s">
        <v>162</v>
      </c>
      <c r="C10" s="9" t="s">
        <v>163</v>
      </c>
      <c r="E10" s="10"/>
    </row>
    <row r="11" customFormat="false" ht="15" hidden="false" customHeight="true" outlineLevel="0" collapsed="false">
      <c r="A11" s="11" t="s">
        <v>164</v>
      </c>
      <c r="B11" s="20" t="n">
        <f aca="false">'Changes in net assets'!C7*1000*$B$6</f>
        <v>13313300</v>
      </c>
      <c r="C11" s="4" t="s">
        <v>165</v>
      </c>
      <c r="E11" s="10"/>
    </row>
    <row r="12" customFormat="false" ht="15" hidden="false" customHeight="true" outlineLevel="0" collapsed="false">
      <c r="A12" s="11" t="s">
        <v>105</v>
      </c>
      <c r="B12" s="20" t="n">
        <f aca="false">'Changes in net assets'!C11*1000*$B$6</f>
        <v>1960000</v>
      </c>
      <c r="C12" s="4" t="s">
        <v>166</v>
      </c>
      <c r="E12" s="10"/>
    </row>
    <row r="13" customFormat="false" ht="15" hidden="false" customHeight="true" outlineLevel="0" collapsed="false">
      <c r="A13" s="11" t="s">
        <v>106</v>
      </c>
      <c r="B13" s="20" t="n">
        <f aca="false">'Changes in net assets'!C12*1000*$B$6</f>
        <v>-2205000</v>
      </c>
      <c r="C13" s="4" t="s">
        <v>166</v>
      </c>
      <c r="E13" s="10"/>
    </row>
    <row r="14" customFormat="false" ht="15" hidden="false" customHeight="true" outlineLevel="0" collapsed="false">
      <c r="A14" s="11" t="s">
        <v>167</v>
      </c>
      <c r="B14" s="20" t="n">
        <f aca="false">Operations!B21*1000*(1-'Changes in net assets'!$B$4)*$B$6</f>
        <v>-156800</v>
      </c>
      <c r="C14" s="4" t="s">
        <v>168</v>
      </c>
      <c r="E14" s="10"/>
    </row>
    <row r="15" customFormat="false" ht="15" hidden="false" customHeight="true" outlineLevel="0" collapsed="false">
      <c r="A15" s="11" t="s">
        <v>169</v>
      </c>
      <c r="B15" s="20" t="n">
        <f aca="false">Operations!B24*1000*(1-'Changes in net assets'!$B$4)*$B$6</f>
        <v>1048600</v>
      </c>
      <c r="C15" s="4" t="s">
        <v>168</v>
      </c>
      <c r="E15" s="10"/>
    </row>
    <row r="16" customFormat="false" ht="15" hidden="false" customHeight="true" outlineLevel="0" collapsed="false">
      <c r="A16" s="11" t="s">
        <v>170</v>
      </c>
      <c r="B16" s="20" t="n">
        <f aca="false">Operations!B25*1000*(1-'Changes in net assets'!$B$4)*$B$6</f>
        <v>-225400</v>
      </c>
      <c r="C16" s="4" t="s">
        <v>168</v>
      </c>
      <c r="E16" s="10"/>
    </row>
    <row r="17" customFormat="false" ht="15" hidden="false" customHeight="true" outlineLevel="0" collapsed="false">
      <c r="A17" s="11" t="s">
        <v>171</v>
      </c>
      <c r="B17" s="20" t="n">
        <f aca="false">Operations!B29*1000*$B$6</f>
        <v>-142500</v>
      </c>
      <c r="C17" s="4" t="s">
        <v>172</v>
      </c>
      <c r="E17" s="10"/>
    </row>
    <row r="18" customFormat="false" ht="15" hidden="false" customHeight="true" outlineLevel="0" collapsed="false">
      <c r="A18" s="15" t="s">
        <v>173</v>
      </c>
      <c r="B18" s="16" t="n">
        <f aca="false">SUM(B11:B17)</f>
        <v>13592200</v>
      </c>
      <c r="E18" s="10"/>
    </row>
    <row r="19" customFormat="false" ht="15" hidden="false" customHeight="true" outlineLevel="0" collapsed="false">
      <c r="E19" s="10"/>
    </row>
    <row r="20" customFormat="false" ht="15" hidden="false" customHeight="true" outlineLevel="0" collapsed="false">
      <c r="A20" s="11" t="s">
        <v>174</v>
      </c>
      <c r="B20" s="13" t="n">
        <f aca="false">SUM(B14:B17)</f>
        <v>523900</v>
      </c>
      <c r="E20" s="10"/>
    </row>
    <row r="21" customFormat="false" ht="15" hidden="false" customHeight="true" outlineLevel="0" collapsed="false">
      <c r="A21" s="11" t="s">
        <v>175</v>
      </c>
      <c r="B21" s="13" t="n">
        <f aca="false">B20/B6</f>
        <v>10478000</v>
      </c>
      <c r="E21" s="10"/>
    </row>
    <row r="22" customFormat="false" ht="15" hidden="false" customHeight="true" outlineLevel="0" collapsed="false">
      <c r="A22" s="4" t="s">
        <v>176</v>
      </c>
      <c r="C22" s="20" t="n">
        <f aca="false">'Changes in net assets'!C10*1000</f>
        <v>10478000</v>
      </c>
      <c r="E22" s="10"/>
    </row>
    <row r="23" customFormat="false" ht="15" hidden="false" customHeight="true" outlineLevel="0" collapsed="false">
      <c r="E23" s="10"/>
    </row>
    <row r="24" customFormat="false" ht="15" hidden="false" customHeight="true" outlineLevel="0" collapsed="false">
      <c r="A24" s="5" t="s">
        <v>177</v>
      </c>
      <c r="E24" s="10"/>
    </row>
    <row r="25" customFormat="false" ht="15" hidden="false" customHeight="true" outlineLevel="0" collapsed="false">
      <c r="A25" s="11" t="s">
        <v>178</v>
      </c>
      <c r="B25" s="13" t="n">
        <f aca="false">B4</f>
        <v>24500000</v>
      </c>
      <c r="E25" s="10"/>
    </row>
    <row r="26" customFormat="false" ht="15" hidden="false" customHeight="true" outlineLevel="0" collapsed="false">
      <c r="A26" s="11" t="s">
        <v>179</v>
      </c>
      <c r="B26" s="12" t="n">
        <v>18620000</v>
      </c>
      <c r="E26" s="10"/>
    </row>
    <row r="27" customFormat="false" ht="15" hidden="false" customHeight="true" outlineLevel="0" collapsed="false">
      <c r="A27" s="11" t="s">
        <v>180</v>
      </c>
      <c r="B27" s="13" t="n">
        <f aca="false">B25-B26</f>
        <v>5880000</v>
      </c>
      <c r="E27" s="10"/>
    </row>
    <row r="28" customFormat="false" ht="15" hidden="false" customHeight="true" outlineLevel="0" collapsed="false">
      <c r="A28" s="11" t="s">
        <v>181</v>
      </c>
      <c r="B28" s="12" t="n">
        <v>600000</v>
      </c>
      <c r="E28" s="10"/>
    </row>
    <row r="29" customFormat="false" ht="15" hidden="false" customHeight="true" outlineLevel="0" collapsed="false">
      <c r="A29" s="11" t="s">
        <v>182</v>
      </c>
      <c r="B29" s="13" t="n">
        <f aca="false">B27+B28</f>
        <v>6480000</v>
      </c>
      <c r="E29" s="10"/>
    </row>
    <row r="30" customFormat="false" ht="15" hidden="false" customHeight="true" outlineLevel="0" collapsed="false">
      <c r="A30" s="11" t="s">
        <v>183</v>
      </c>
      <c r="B30" s="12" t="n">
        <v>7400000</v>
      </c>
      <c r="E30" s="10"/>
    </row>
    <row r="31" customFormat="false" ht="15" hidden="false" customHeight="true" outlineLevel="0" collapsed="false">
      <c r="A31" s="11" t="s">
        <v>184</v>
      </c>
      <c r="B31" s="27" t="n">
        <f aca="false">B30/B26</f>
        <v>0.397422126745435</v>
      </c>
    </row>
    <row r="32" customFormat="false" ht="15" hidden="false" customHeight="true" outlineLevel="0" collapsed="false">
      <c r="A32" s="11" t="s">
        <v>185</v>
      </c>
      <c r="B32" s="27" t="n">
        <f aca="false">B18/B26</f>
        <v>0.729978517722879</v>
      </c>
    </row>
    <row r="33" customFormat="false" ht="15" hidden="false" customHeight="true" outlineLevel="0" collapsed="false">
      <c r="A33" s="21" t="s">
        <v>186</v>
      </c>
      <c r="B33" s="28" t="n">
        <f aca="false">B31+B32</f>
        <v>1.12740064446831</v>
      </c>
    </row>
  </sheetData>
  <mergeCells count="1">
    <mergeCell ref="E5:E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2" min="2" style="1" width="16"/>
    <col collapsed="false" customWidth="true" hidden="false" outlineLevel="0" max="3" min="3" style="1" width="3"/>
    <col collapsed="false" customWidth="true" hidden="false" outlineLevel="0" max="4" min="4" style="1" width="50"/>
  </cols>
  <sheetData>
    <row r="1" customFormat="false" ht="17.25" hidden="false" customHeight="true" outlineLevel="0" collapsed="false">
      <c r="A1" s="7" t="s">
        <v>187</v>
      </c>
    </row>
    <row r="2" customFormat="false" ht="15" hidden="false" customHeight="true" outlineLevel="0" collapsed="false">
      <c r="A2" s="4" t="s">
        <v>188</v>
      </c>
    </row>
    <row r="4" customFormat="false" ht="15" hidden="false" customHeight="true" outlineLevel="0" collapsed="false">
      <c r="A4" s="5" t="s">
        <v>189</v>
      </c>
      <c r="D4" s="5" t="s">
        <v>190</v>
      </c>
    </row>
    <row r="5" customFormat="false" ht="15" hidden="false" customHeight="true" outlineLevel="0" collapsed="false">
      <c r="A5" s="11" t="s">
        <v>191</v>
      </c>
      <c r="B5" s="23" t="n">
        <v>4300</v>
      </c>
      <c r="D5" s="10" t="s">
        <v>192</v>
      </c>
    </row>
    <row r="6" customFormat="false" ht="15" hidden="false" customHeight="true" outlineLevel="0" collapsed="false">
      <c r="A6" s="11" t="s">
        <v>193</v>
      </c>
      <c r="B6" s="23" t="n">
        <v>775</v>
      </c>
      <c r="D6" s="10"/>
    </row>
    <row r="7" customFormat="false" ht="15" hidden="false" customHeight="true" outlineLevel="0" collapsed="false">
      <c r="A7" s="11" t="s">
        <v>194</v>
      </c>
      <c r="B7" s="24" t="n">
        <v>0.8</v>
      </c>
      <c r="D7" s="10"/>
    </row>
    <row r="8" customFormat="false" ht="15" hidden="false" customHeight="true" outlineLevel="0" collapsed="false">
      <c r="A8" s="11" t="s">
        <v>195</v>
      </c>
      <c r="B8" s="13" t="n">
        <f aca="false">B6*B7</f>
        <v>620</v>
      </c>
      <c r="D8" s="10"/>
    </row>
    <row r="9" customFormat="false" ht="15" hidden="false" customHeight="true" outlineLevel="0" collapsed="false">
      <c r="A9" s="15" t="s">
        <v>196</v>
      </c>
      <c r="B9" s="16" t="n">
        <f aca="false">MAX(0,B5-B8)</f>
        <v>3680</v>
      </c>
      <c r="D9" s="10"/>
    </row>
    <row r="10" customFormat="false" ht="15" hidden="false" customHeight="true" outlineLevel="0" collapsed="false">
      <c r="D10" s="10"/>
    </row>
    <row r="11" customFormat="false" ht="15" hidden="false" customHeight="true" outlineLevel="0" collapsed="false">
      <c r="A11" s="11" t="s">
        <v>197</v>
      </c>
      <c r="B11" s="19" t="n">
        <f aca="false">B5/B13</f>
        <v>245714.285714286</v>
      </c>
      <c r="D11" s="10"/>
    </row>
    <row r="12" customFormat="false" ht="15" hidden="false" customHeight="true" outlineLevel="0" collapsed="false">
      <c r="A12" s="4" t="s">
        <v>198</v>
      </c>
      <c r="D12" s="10"/>
    </row>
    <row r="13" customFormat="false" ht="15" hidden="false" customHeight="true" outlineLevel="0" collapsed="false">
      <c r="A13" s="11" t="s">
        <v>199</v>
      </c>
      <c r="B13" s="29" t="n">
        <v>0.0175</v>
      </c>
      <c r="D13" s="10"/>
    </row>
    <row r="14" customFormat="false" ht="15" hidden="false" customHeight="true" outlineLevel="0" collapsed="false">
      <c r="A14" s="11" t="s">
        <v>200</v>
      </c>
      <c r="B14" s="20" t="n">
        <f aca="false">'Schedule of investments'!B14</f>
        <v>215000</v>
      </c>
      <c r="D14" s="10"/>
    </row>
    <row r="15" customFormat="false" ht="15" hidden="false" customHeight="true" outlineLevel="0" collapsed="false">
      <c r="A15" s="11" t="s">
        <v>201</v>
      </c>
      <c r="B15" s="13" t="n">
        <f aca="false">B13*B14</f>
        <v>3762.5</v>
      </c>
      <c r="D15" s="10"/>
    </row>
    <row r="16" customFormat="false" ht="15" hidden="false" customHeight="true" outlineLevel="0" collapsed="false">
      <c r="A16" s="4" t="s">
        <v>202</v>
      </c>
      <c r="B16" s="30" t="n">
        <f aca="false">B5-B15</f>
        <v>537.5</v>
      </c>
      <c r="D16" s="10"/>
    </row>
    <row r="17" customFormat="false" ht="15" hidden="false" customHeight="true" outlineLevel="0" collapsed="false">
      <c r="A17" s="11" t="s">
        <v>203</v>
      </c>
      <c r="B17" s="31" t="n">
        <f aca="false">B16/(C17*B19-B15)*365</f>
        <v>31.4529058116232</v>
      </c>
      <c r="C17" s="29" t="n">
        <v>0.02</v>
      </c>
      <c r="D17" s="10"/>
    </row>
    <row r="18" customFormat="false" ht="15" hidden="false" customHeight="true" outlineLevel="0" collapsed="false">
      <c r="A18" s="5" t="s">
        <v>204</v>
      </c>
      <c r="D18" s="10"/>
    </row>
    <row r="19" customFormat="false" ht="15" hidden="false" customHeight="true" outlineLevel="0" collapsed="false">
      <c r="A19" s="11" t="s">
        <v>205</v>
      </c>
      <c r="B19" s="12" t="n">
        <v>500000</v>
      </c>
      <c r="D19" s="10"/>
    </row>
    <row r="20" customFormat="false" ht="15" hidden="false" customHeight="true" outlineLevel="0" collapsed="false">
      <c r="A20" s="11" t="s">
        <v>206</v>
      </c>
      <c r="B20" s="12" t="n">
        <v>380000</v>
      </c>
      <c r="D20" s="10"/>
    </row>
    <row r="21" customFormat="false" ht="15" hidden="false" customHeight="true" outlineLevel="0" collapsed="false">
      <c r="A21" s="11" t="s">
        <v>207</v>
      </c>
      <c r="B21" s="13" t="n">
        <f aca="false">B19-B20</f>
        <v>120000</v>
      </c>
      <c r="D21" s="10"/>
    </row>
    <row r="22" customFormat="false" ht="15" hidden="false" customHeight="true" outlineLevel="0" collapsed="false">
      <c r="A22" s="11" t="s">
        <v>208</v>
      </c>
      <c r="B22" s="12" t="n">
        <v>12000</v>
      </c>
      <c r="D22" s="10"/>
    </row>
    <row r="23" customFormat="false" ht="15" hidden="false" customHeight="true" outlineLevel="0" collapsed="false">
      <c r="A23" s="11" t="s">
        <v>209</v>
      </c>
      <c r="B23" s="12" t="n">
        <v>40000</v>
      </c>
      <c r="D23" s="10"/>
    </row>
    <row r="24" customFormat="false" ht="15" hidden="false" customHeight="true" outlineLevel="0" collapsed="false">
      <c r="A24" s="11" t="s">
        <v>210</v>
      </c>
      <c r="B24" s="20" t="n">
        <f aca="false">'Balance sheet'!B16</f>
        <v>6000</v>
      </c>
      <c r="D24" s="10"/>
    </row>
    <row r="25" customFormat="false" ht="15" hidden="false" customHeight="true" outlineLevel="0" collapsed="false">
      <c r="D25" s="10"/>
    </row>
    <row r="26" customFormat="false" ht="15" hidden="false" customHeight="true" outlineLevel="0" collapsed="false">
      <c r="A26" s="11" t="s">
        <v>211</v>
      </c>
      <c r="B26" s="13" t="n">
        <f aca="false">B23-B24</f>
        <v>34000</v>
      </c>
      <c r="D26" s="10"/>
    </row>
    <row r="28" customFormat="false" ht="15" hidden="false" customHeight="true" outlineLevel="0" collapsed="false">
      <c r="A28" s="5" t="s">
        <v>212</v>
      </c>
    </row>
    <row r="29" customFormat="false" ht="15" hidden="false" customHeight="true" outlineLevel="0" collapsed="false">
      <c r="A29" s="11" t="s">
        <v>85</v>
      </c>
      <c r="B29" s="20" t="n">
        <f aca="false">Operations!B19</f>
        <v>5110</v>
      </c>
    </row>
    <row r="30" customFormat="false" ht="15" hidden="false" customHeight="true" outlineLevel="0" collapsed="false">
      <c r="A30" s="11" t="s">
        <v>213</v>
      </c>
      <c r="B30" s="20" t="n">
        <f aca="false">'Changes in net assets'!D7</f>
        <v>271700</v>
      </c>
    </row>
    <row r="31" customFormat="false" ht="15" hidden="false" customHeight="true" outlineLevel="0" collapsed="false">
      <c r="A31" s="11" t="s">
        <v>214</v>
      </c>
      <c r="B31" s="20" t="n">
        <f aca="false">'Changes in net assets'!D14</f>
        <v>277450</v>
      </c>
    </row>
    <row r="32" customFormat="false" ht="15" hidden="false" customHeight="true" outlineLevel="0" collapsed="false">
      <c r="A32" s="11" t="s">
        <v>215</v>
      </c>
      <c r="B32" s="13" t="n">
        <f aca="false">(B30+B31)/2</f>
        <v>274575</v>
      </c>
    </row>
    <row r="33" customFormat="false" ht="15" hidden="false" customHeight="true" outlineLevel="0" collapsed="false">
      <c r="A33" s="21" t="s">
        <v>216</v>
      </c>
      <c r="B33" s="32" t="n">
        <f aca="false">B29/B32</f>
        <v>0.018610579987253</v>
      </c>
    </row>
    <row r="34" customFormat="false" ht="15" hidden="false" customHeight="true" outlineLevel="0" collapsed="false">
      <c r="A34" s="4" t="s">
        <v>217</v>
      </c>
    </row>
    <row r="36" customFormat="false" ht="15" hidden="false" customHeight="true" outlineLevel="0" collapsed="false">
      <c r="A36" s="5" t="s">
        <v>218</v>
      </c>
    </row>
    <row r="37" customFormat="false" ht="15" hidden="false" customHeight="true" outlineLevel="0" collapsed="false">
      <c r="A37" s="11" t="s">
        <v>219</v>
      </c>
      <c r="B37" s="20" t="n">
        <f aca="false">'Schedule of investments'!C10</f>
        <v>44900</v>
      </c>
    </row>
    <row r="38" customFormat="false" ht="15" hidden="false" customHeight="true" outlineLevel="0" collapsed="false">
      <c r="A38" s="11" t="s">
        <v>220</v>
      </c>
      <c r="B38" s="23" t="n">
        <v>51000</v>
      </c>
    </row>
    <row r="39" customFormat="false" ht="15" hidden="false" customHeight="true" outlineLevel="0" collapsed="false">
      <c r="A39" s="21" t="s">
        <v>221</v>
      </c>
      <c r="B39" s="32" t="n">
        <f aca="false">B38/B37-1</f>
        <v>0.135857461024499</v>
      </c>
    </row>
    <row r="41" customFormat="false" ht="15" hidden="false" customHeight="true" outlineLevel="0" collapsed="false">
      <c r="A41" s="11" t="s">
        <v>222</v>
      </c>
      <c r="B41" s="24" t="n">
        <v>0.96</v>
      </c>
    </row>
    <row r="42" customFormat="false" ht="15" hidden="false" customHeight="true" outlineLevel="0" collapsed="false">
      <c r="A42" s="11" t="s">
        <v>223</v>
      </c>
      <c r="B42" s="14" t="n">
        <f aca="false">B41*'Schedule of investments'!C14/'Changes in net assets'!D14</f>
        <v>0.995811857992431</v>
      </c>
    </row>
  </sheetData>
  <mergeCells count="1">
    <mergeCell ref="D5:D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58"/>
    <col collapsed="false" customWidth="true" hidden="false" outlineLevel="0" max="4" min="3" style="1" width="18"/>
    <col collapsed="false" customWidth="true" hidden="false" outlineLevel="0" max="5" min="5" style="1" width="14"/>
    <col collapsed="false" customWidth="true" hidden="false" outlineLevel="0" max="6" min="6" style="1" width="12"/>
    <col collapsed="false" customWidth="true" hidden="false" outlineLevel="0" max="7" min="7" style="1" width="3"/>
    <col collapsed="false" customWidth="true" hidden="false" outlineLevel="0" max="8" min="8" style="1" width="48"/>
  </cols>
  <sheetData>
    <row r="1" customFormat="false" ht="17.25" hidden="false" customHeight="true" outlineLevel="0" collapsed="false">
      <c r="A1" s="7" t="s">
        <v>224</v>
      </c>
    </row>
    <row r="2" customFormat="false" ht="15" hidden="false" customHeight="true" outlineLevel="0" collapsed="false">
      <c r="A2" s="4" t="s">
        <v>225</v>
      </c>
    </row>
    <row r="4" customFormat="false" ht="27.75" hidden="false" customHeight="true" outlineLevel="0" collapsed="false">
      <c r="A4" s="8" t="s">
        <v>226</v>
      </c>
      <c r="B4" s="9" t="s">
        <v>227</v>
      </c>
      <c r="C4" s="9" t="s">
        <v>228</v>
      </c>
      <c r="D4" s="9" t="s">
        <v>229</v>
      </c>
      <c r="E4" s="9" t="s">
        <v>230</v>
      </c>
      <c r="F4" s="9" t="s">
        <v>231</v>
      </c>
      <c r="H4" s="5" t="s">
        <v>232</v>
      </c>
    </row>
    <row r="5" customFormat="false" ht="25.5" hidden="false" customHeight="true" outlineLevel="0" collapsed="false">
      <c r="A5" s="33" t="n">
        <v>1</v>
      </c>
      <c r="B5" s="34" t="s">
        <v>233</v>
      </c>
      <c r="C5" s="35" t="n">
        <f aca="false">'Schedule of investments'!C14</f>
        <v>287800</v>
      </c>
      <c r="D5" s="35" t="n">
        <f aca="false">'Balance sheet'!B6</f>
        <v>287800</v>
      </c>
      <c r="E5" s="36" t="n">
        <f aca="false">C5-D5</f>
        <v>0</v>
      </c>
      <c r="F5" s="37" t="str">
        <f aca="false">IF(ABS(E5)&lt;0.5,"ties","OUT BY "&amp;TEXT(E5,"#,##0"))</f>
        <v>ties</v>
      </c>
      <c r="H5" s="10" t="s">
        <v>234</v>
      </c>
    </row>
    <row r="6" customFormat="false" ht="25.5" hidden="false" customHeight="true" outlineLevel="0" collapsed="false">
      <c r="A6" s="38" t="n">
        <v>2</v>
      </c>
      <c r="B6" s="39" t="s">
        <v>235</v>
      </c>
      <c r="C6" s="40" t="n">
        <f aca="false">'Balance sheet'!B11-'Balance sheet'!B19</f>
        <v>277450</v>
      </c>
      <c r="D6" s="40" t="n">
        <f aca="false">'Balance sheet'!B22</f>
        <v>277450</v>
      </c>
      <c r="E6" s="41" t="n">
        <f aca="false">C6-D6</f>
        <v>0</v>
      </c>
      <c r="F6" s="42" t="str">
        <f aca="false">IF(ABS(E6)&lt;0.5,"ties","OUT BY "&amp;TEXT(E6,"#,##0"))</f>
        <v>ties</v>
      </c>
      <c r="H6" s="10"/>
    </row>
    <row r="7" customFormat="false" ht="25.5" hidden="false" customHeight="true" outlineLevel="0" collapsed="false">
      <c r="A7" s="33" t="n">
        <v>3</v>
      </c>
      <c r="B7" s="34" t="s">
        <v>236</v>
      </c>
      <c r="C7" s="35" t="n">
        <f aca="false">'Balance sheet'!B23+'Balance sheet'!B24</f>
        <v>277450</v>
      </c>
      <c r="D7" s="35" t="n">
        <f aca="false">'Balance sheet'!B22</f>
        <v>277450</v>
      </c>
      <c r="E7" s="36" t="n">
        <f aca="false">C7-D7</f>
        <v>0</v>
      </c>
      <c r="F7" s="37" t="str">
        <f aca="false">IF(ABS(E7)&lt;0.5,"ties","OUT BY "&amp;TEXT(E7,"#,##0"))</f>
        <v>ties</v>
      </c>
      <c r="H7" s="10"/>
    </row>
    <row r="8" customFormat="false" ht="25.5" hidden="false" customHeight="true" outlineLevel="0" collapsed="false">
      <c r="A8" s="38" t="n">
        <v>4</v>
      </c>
      <c r="B8" s="39" t="s">
        <v>237</v>
      </c>
      <c r="C8" s="40" t="n">
        <f aca="false">'Changes in net assets'!D7+'Changes in net assets'!D10+'Changes in net assets'!D11+'Changes in net assets'!D12</f>
        <v>277450</v>
      </c>
      <c r="D8" s="40" t="n">
        <f aca="false">'Changes in net assets'!D14</f>
        <v>277450</v>
      </c>
      <c r="E8" s="41" t="n">
        <f aca="false">C8-D8</f>
        <v>0</v>
      </c>
      <c r="F8" s="42" t="str">
        <f aca="false">IF(ABS(E8)&lt;0.5,"ties","OUT BY "&amp;TEXT(E8,"#,##0"))</f>
        <v>ties</v>
      </c>
      <c r="H8" s="10"/>
    </row>
    <row r="9" customFormat="false" ht="25.5" hidden="false" customHeight="true" outlineLevel="0" collapsed="false">
      <c r="A9" s="33" t="n">
        <v>5</v>
      </c>
      <c r="B9" s="34" t="s">
        <v>238</v>
      </c>
      <c r="C9" s="35" t="n">
        <f aca="false">Operations!B30</f>
        <v>10750</v>
      </c>
      <c r="D9" s="35" t="n">
        <f aca="false">'Changes in net assets'!D10</f>
        <v>10750</v>
      </c>
      <c r="E9" s="36" t="n">
        <f aca="false">C9-D9</f>
        <v>0</v>
      </c>
      <c r="F9" s="37" t="str">
        <f aca="false">IF(ABS(E9)&lt;0.5,"ties","OUT BY "&amp;TEXT(E9,"#,##0"))</f>
        <v>ties</v>
      </c>
      <c r="H9" s="10"/>
    </row>
    <row r="10" customFormat="false" ht="25.5" hidden="false" customHeight="true" outlineLevel="0" collapsed="false">
      <c r="A10" s="38" t="n">
        <v>6</v>
      </c>
      <c r="B10" s="39" t="s">
        <v>239</v>
      </c>
      <c r="C10" s="40" t="n">
        <f aca="false">'Cash flows'!B25</f>
        <v>9450</v>
      </c>
      <c r="D10" s="40" t="n">
        <f aca="false">'Balance sheet'!B8</f>
        <v>9450</v>
      </c>
      <c r="E10" s="41" t="n">
        <f aca="false">C10-D10</f>
        <v>0</v>
      </c>
      <c r="F10" s="42" t="str">
        <f aca="false">IF(ABS(E10)&lt;0.5,"ties","OUT BY "&amp;TEXT(E10,"#,##0"))</f>
        <v>ties</v>
      </c>
      <c r="H10" s="10"/>
    </row>
    <row r="11" customFormat="false" ht="25.5" hidden="false" customHeight="true" outlineLevel="0" collapsed="false">
      <c r="A11" s="33" t="n">
        <v>7</v>
      </c>
      <c r="B11" s="34" t="s">
        <v>240</v>
      </c>
      <c r="C11" s="35" t="n">
        <f aca="false">'Capital account'!B20</f>
        <v>523900</v>
      </c>
      <c r="D11" s="35" t="n">
        <f aca="false">'Changes in net assets'!C10*1000*'Capital account'!B6</f>
        <v>523900</v>
      </c>
      <c r="E11" s="36" t="n">
        <f aca="false">C11-D11</f>
        <v>0</v>
      </c>
      <c r="F11" s="37" t="str">
        <f aca="false">IF(ABS(E11)&lt;0.5,"ties","OUT BY "&amp;TEXT(E11,"#,##0"))</f>
        <v>ties</v>
      </c>
      <c r="H11" s="10"/>
    </row>
    <row r="12" customFormat="false" ht="25.5" hidden="false" customHeight="true" outlineLevel="0" collapsed="false">
      <c r="A12" s="38" t="n">
        <v>8</v>
      </c>
      <c r="B12" s="39" t="s">
        <v>241</v>
      </c>
      <c r="C12" s="40" t="n">
        <f aca="false">'Capital account'!B18</f>
        <v>13592200</v>
      </c>
      <c r="D12" s="40" t="n">
        <f aca="false">'Changes in net assets'!C14*1000*'Capital account'!B6</f>
        <v>13592200</v>
      </c>
      <c r="E12" s="41" t="n">
        <f aca="false">C12-D12</f>
        <v>0</v>
      </c>
      <c r="F12" s="42" t="str">
        <f aca="false">IF(ABS(E12)&lt;0.5,"ties","OUT BY "&amp;TEXT(E12,"#,##0"))</f>
        <v>ties</v>
      </c>
      <c r="H12" s="10"/>
    </row>
    <row r="13" customFormat="false" ht="25.5" hidden="false" customHeight="true" outlineLevel="0" collapsed="false">
      <c r="A13" s="33" t="n">
        <v>9</v>
      </c>
      <c r="B13" s="34" t="s">
        <v>242</v>
      </c>
      <c r="C13" s="35" t="n">
        <f aca="false">'Schedule of investments'!B14</f>
        <v>215000</v>
      </c>
      <c r="D13" s="35" t="n">
        <f aca="false">'Balance sheet'!B7</f>
        <v>215000</v>
      </c>
      <c r="E13" s="36" t="n">
        <f aca="false">C13-D13</f>
        <v>0</v>
      </c>
      <c r="F13" s="37" t="str">
        <f aca="false">IF(ABS(E13)&lt;0.5,"ties","OUT BY "&amp;TEXT(E13,"#,##0"))</f>
        <v>ties</v>
      </c>
      <c r="H13" s="10"/>
    </row>
    <row r="14" customFormat="false" ht="25.5" hidden="false" customHeight="true" outlineLevel="0" collapsed="false">
      <c r="A14" s="38" t="n">
        <v>10</v>
      </c>
      <c r="B14" s="39" t="s">
        <v>243</v>
      </c>
      <c r="C14" s="40" t="n">
        <f aca="false">'Schedule of investments'!B28-'Cash flows'!B7-'Cash flows'!B8+Operations!B24+Operations!B25</f>
        <v>287800</v>
      </c>
      <c r="D14" s="40" t="n">
        <f aca="false">'Schedule of investments'!C14</f>
        <v>287800</v>
      </c>
      <c r="E14" s="41" t="n">
        <f aca="false">C14-D14</f>
        <v>0</v>
      </c>
      <c r="F14" s="42" t="str">
        <f aca="false">IF(ABS(E14)&lt;0.5,"ties","OUT BY "&amp;TEXT(E14,"#,##0"))</f>
        <v>ties</v>
      </c>
      <c r="H14" s="10"/>
    </row>
    <row r="15" customFormat="false" ht="25.5" hidden="false" customHeight="true" outlineLevel="0" collapsed="false">
      <c r="A15" s="33" t="n">
        <v>11</v>
      </c>
      <c r="B15" s="34" t="s">
        <v>244</v>
      </c>
      <c r="C15" s="35" t="n">
        <f aca="false">'Notes and ratios'!B9</f>
        <v>3680</v>
      </c>
      <c r="D15" s="35" t="n">
        <f aca="false">Operations!B12</f>
        <v>3680</v>
      </c>
      <c r="E15" s="36" t="n">
        <f aca="false">C15-D15</f>
        <v>0</v>
      </c>
      <c r="F15" s="37" t="str">
        <f aca="false">IF(ABS(E15)&lt;0.5,"ties","OUT BY "&amp;TEXT(E15,"#,##0"))</f>
        <v>ties</v>
      </c>
      <c r="H15" s="10"/>
    </row>
    <row r="16" customFormat="false" ht="25.5" hidden="false" customHeight="true" outlineLevel="0" collapsed="false">
      <c r="A16" s="38" t="n">
        <v>12</v>
      </c>
      <c r="B16" s="39" t="s">
        <v>245</v>
      </c>
      <c r="C16" s="40" t="n">
        <f aca="false">'Notes and ratios'!B21</f>
        <v>120000</v>
      </c>
      <c r="D16" s="40" t="n">
        <f aca="false">'Notes and ratios'!B19-'Notes and ratios'!B20</f>
        <v>120000</v>
      </c>
      <c r="E16" s="41" t="n">
        <f aca="false">C16-D16</f>
        <v>0</v>
      </c>
      <c r="F16" s="42" t="str">
        <f aca="false">IF(ABS(E16)&lt;0.5,"ties","OUT BY "&amp;TEXT(E16,"#,##0"))</f>
        <v>ties</v>
      </c>
      <c r="H16" s="10"/>
    </row>
    <row r="17" customFormat="false" ht="15" hidden="false" customHeight="true" outlineLevel="0" collapsed="false">
      <c r="H17" s="10"/>
    </row>
    <row r="18" customFormat="false" ht="15" hidden="false" customHeight="true" outlineLevel="0" collapsed="false">
      <c r="B18" s="21" t="s">
        <v>246</v>
      </c>
      <c r="C18" s="43" t="n">
        <f aca="false">COUNTIF(F5:F16,"ties")</f>
        <v>12</v>
      </c>
      <c r="H18" s="10"/>
    </row>
    <row r="19" customFormat="false" ht="15" hidden="false" customHeight="true" outlineLevel="0" collapsed="false">
      <c r="B19" s="21" t="s">
        <v>247</v>
      </c>
      <c r="C19" s="43" t="n">
        <f aca="false">12-C18</f>
        <v>0</v>
      </c>
      <c r="H19" s="10"/>
    </row>
    <row r="20" customFormat="false" ht="15" hidden="false" customHeight="true" outlineLevel="0" collapsed="false">
      <c r="H20" s="10"/>
    </row>
    <row r="21" customFormat="false" ht="15" hidden="false" customHeight="true" outlineLevel="0" collapsed="false">
      <c r="H21" s="10"/>
    </row>
    <row r="22" customFormat="false" ht="15" hidden="false" customHeight="true" outlineLevel="0" collapsed="false">
      <c r="H22" s="10"/>
    </row>
    <row r="23" customFormat="false" ht="15" hidden="false" customHeight="true" outlineLevel="0" collapsed="false">
      <c r="H23" s="10"/>
    </row>
    <row r="24" customFormat="false" ht="15" hidden="false" customHeight="true" outlineLevel="0" collapsed="false">
      <c r="H24" s="10"/>
    </row>
    <row r="25" customFormat="false" ht="15" hidden="false" customHeight="true" outlineLevel="0" collapsed="false">
      <c r="H25" s="10"/>
    </row>
    <row r="26" customFormat="false" ht="15" hidden="false" customHeight="true" outlineLevel="0" collapsed="false">
      <c r="H26" s="10"/>
    </row>
    <row r="27" customFormat="false" ht="15" hidden="false" customHeight="true" outlineLevel="0" collapsed="false">
      <c r="H27" s="10"/>
    </row>
    <row r="28" customFormat="false" ht="15" hidden="false" customHeight="true" outlineLevel="0" collapsed="false">
      <c r="H28" s="10"/>
    </row>
    <row r="29" customFormat="false" ht="15" hidden="false" customHeight="true" outlineLevel="0" collapsed="false">
      <c r="H29" s="10"/>
    </row>
    <row r="30" customFormat="false" ht="15" hidden="false" customHeight="true" outlineLevel="0" collapsed="false">
      <c r="H30" s="10"/>
    </row>
  </sheetData>
  <mergeCells count="1">
    <mergeCell ref="H5:H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52"/>
    <col collapsed="false" customWidth="true" hidden="false" outlineLevel="0" max="4" min="3" style="1" width="16"/>
    <col collapsed="false" customWidth="true" hidden="false" outlineLevel="0" max="6" min="5"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248</v>
      </c>
    </row>
    <row r="2" customFormat="false" ht="15" hidden="false" customHeight="true" outlineLevel="0" collapsed="false">
      <c r="A2" s="4" t="s">
        <v>249</v>
      </c>
    </row>
    <row r="4" customFormat="false" ht="27.75" hidden="false" customHeight="true" outlineLevel="0" collapsed="false">
      <c r="A4" s="8" t="s">
        <v>250</v>
      </c>
      <c r="B4" s="9" t="s">
        <v>251</v>
      </c>
      <c r="C4" s="9" t="s">
        <v>252</v>
      </c>
      <c r="D4" s="9" t="s">
        <v>253</v>
      </c>
      <c r="E4" s="9" t="s">
        <v>254</v>
      </c>
      <c r="F4" s="9" t="s">
        <v>231</v>
      </c>
      <c r="H4" s="5" t="s">
        <v>255</v>
      </c>
    </row>
    <row r="5" customFormat="false" ht="15" hidden="false" customHeight="true" outlineLevel="0" collapsed="false">
      <c r="A5" s="33" t="s">
        <v>256</v>
      </c>
      <c r="B5" s="44" t="s">
        <v>50</v>
      </c>
      <c r="C5" s="45" t="n">
        <v>287800</v>
      </c>
      <c r="D5" s="35" t="n">
        <f aca="false">'Balance sheet'!B6</f>
        <v>287800</v>
      </c>
      <c r="E5" s="36" t="n">
        <f aca="false">D5-C5</f>
        <v>0</v>
      </c>
      <c r="F5" s="37" t="str">
        <f aca="false">IF(ABS(E5)&lt;0.5,"reproduced",IF(ABS(E5)&lt;0.5*3,"rounding","CHECK"))</f>
        <v>reproduced</v>
      </c>
      <c r="H5" s="10" t="s">
        <v>257</v>
      </c>
    </row>
    <row r="6" customFormat="false" ht="15" hidden="false" customHeight="true" outlineLevel="0" collapsed="false">
      <c r="A6" s="38" t="s">
        <v>256</v>
      </c>
      <c r="B6" s="46" t="s">
        <v>258</v>
      </c>
      <c r="C6" s="47" t="n">
        <v>215000</v>
      </c>
      <c r="D6" s="40" t="n">
        <f aca="false">'Balance sheet'!B7</f>
        <v>215000</v>
      </c>
      <c r="E6" s="41" t="n">
        <f aca="false">D6-C6</f>
        <v>0</v>
      </c>
      <c r="F6" s="42" t="str">
        <f aca="false">IF(ABS(E6)&lt;0.5,"reproduced",IF(ABS(E6)&lt;0.5*3,"rounding","CHECK"))</f>
        <v>reproduced</v>
      </c>
      <c r="H6" s="10"/>
    </row>
    <row r="7" customFormat="false" ht="15" hidden="false" customHeight="true" outlineLevel="0" collapsed="false">
      <c r="A7" s="33" t="s">
        <v>256</v>
      </c>
      <c r="B7" s="44" t="s">
        <v>55</v>
      </c>
      <c r="C7" s="45" t="n">
        <v>298050</v>
      </c>
      <c r="D7" s="35" t="n">
        <f aca="false">'Balance sheet'!B11</f>
        <v>298050</v>
      </c>
      <c r="E7" s="36" t="n">
        <f aca="false">D7-C7</f>
        <v>0</v>
      </c>
      <c r="F7" s="37" t="str">
        <f aca="false">IF(ABS(E7)&lt;0.5,"reproduced",IF(ABS(E7)&lt;0.5*3,"rounding","CHECK"))</f>
        <v>reproduced</v>
      </c>
      <c r="H7" s="10"/>
    </row>
    <row r="8" customFormat="false" ht="15" hidden="false" customHeight="true" outlineLevel="0" collapsed="false">
      <c r="A8" s="38" t="s">
        <v>256</v>
      </c>
      <c r="B8" s="46" t="s">
        <v>62</v>
      </c>
      <c r="C8" s="47" t="n">
        <v>20600</v>
      </c>
      <c r="D8" s="40" t="n">
        <f aca="false">'Balance sheet'!B19</f>
        <v>20600</v>
      </c>
      <c r="E8" s="41" t="n">
        <f aca="false">D8-C8</f>
        <v>0</v>
      </c>
      <c r="F8" s="42" t="str">
        <f aca="false">IF(ABS(E8)&lt;0.5,"reproduced",IF(ABS(E8)&lt;0.5*3,"rounding","CHECK"))</f>
        <v>reproduced</v>
      </c>
      <c r="H8" s="10"/>
    </row>
    <row r="9" customFormat="false" ht="15" hidden="false" customHeight="true" outlineLevel="0" collapsed="false">
      <c r="A9" s="33" t="s">
        <v>256</v>
      </c>
      <c r="B9" s="44" t="s">
        <v>64</v>
      </c>
      <c r="C9" s="45" t="n">
        <v>277450</v>
      </c>
      <c r="D9" s="35" t="n">
        <f aca="false">'Balance sheet'!B22</f>
        <v>277450</v>
      </c>
      <c r="E9" s="36" t="n">
        <f aca="false">D9-C9</f>
        <v>0</v>
      </c>
      <c r="F9" s="37" t="str">
        <f aca="false">IF(ABS(E9)&lt;0.5,"reproduced",IF(ABS(E9)&lt;0.5*3,"rounding","CHECK"))</f>
        <v>reproduced</v>
      </c>
      <c r="H9" s="10"/>
    </row>
    <row r="10" customFormat="false" ht="15" hidden="false" customHeight="true" outlineLevel="0" collapsed="false">
      <c r="A10" s="38" t="s">
        <v>256</v>
      </c>
      <c r="B10" s="46" t="s">
        <v>65</v>
      </c>
      <c r="C10" s="47" t="n">
        <v>5606</v>
      </c>
      <c r="D10" s="40" t="n">
        <f aca="false">'Balance sheet'!B23</f>
        <v>5606</v>
      </c>
      <c r="E10" s="41" t="n">
        <f aca="false">D10-C10</f>
        <v>0</v>
      </c>
      <c r="F10" s="42" t="str">
        <f aca="false">IF(ABS(E10)&lt;0.5,"reproduced",IF(ABS(E10)&lt;0.5*3,"rounding","CHECK"))</f>
        <v>reproduced</v>
      </c>
      <c r="H10" s="10"/>
    </row>
    <row r="11" customFormat="false" ht="15" hidden="false" customHeight="true" outlineLevel="0" collapsed="false">
      <c r="A11" s="33" t="s">
        <v>256</v>
      </c>
      <c r="B11" s="44" t="s">
        <v>66</v>
      </c>
      <c r="C11" s="45" t="n">
        <v>271844</v>
      </c>
      <c r="D11" s="35" t="n">
        <f aca="false">'Balance sheet'!B24</f>
        <v>271844</v>
      </c>
      <c r="E11" s="36" t="n">
        <f aca="false">D11-C11</f>
        <v>0</v>
      </c>
      <c r="F11" s="37" t="str">
        <f aca="false">IF(ABS(E11)&lt;0.5,"reproduced",IF(ABS(E11)&lt;0.5*3,"rounding","CHECK"))</f>
        <v>reproduced</v>
      </c>
      <c r="H11" s="10"/>
    </row>
    <row r="12" customFormat="false" ht="15" hidden="false" customHeight="true" outlineLevel="0" collapsed="false">
      <c r="A12" s="38" t="s">
        <v>259</v>
      </c>
      <c r="B12" s="46" t="s">
        <v>260</v>
      </c>
      <c r="C12" s="47" t="n">
        <v>287800</v>
      </c>
      <c r="D12" s="40" t="n">
        <f aca="false">'Schedule of investments'!C14</f>
        <v>287800</v>
      </c>
      <c r="E12" s="41" t="n">
        <f aca="false">D12-C12</f>
        <v>0</v>
      </c>
      <c r="F12" s="42" t="str">
        <f aca="false">IF(ABS(E12)&lt;0.5,"reproduced",IF(ABS(E12)&lt;0.5*3,"rounding","CHECK"))</f>
        <v>reproduced</v>
      </c>
      <c r="H12" s="10"/>
    </row>
    <row r="13" customFormat="false" ht="15" hidden="false" customHeight="true" outlineLevel="0" collapsed="false">
      <c r="A13" s="33" t="s">
        <v>259</v>
      </c>
      <c r="B13" s="44" t="s">
        <v>261</v>
      </c>
      <c r="C13" s="45" t="n">
        <v>72800</v>
      </c>
      <c r="D13" s="35" t="n">
        <f aca="false">'Schedule of investments'!D14</f>
        <v>72800</v>
      </c>
      <c r="E13" s="36" t="n">
        <f aca="false">D13-C13</f>
        <v>0</v>
      </c>
      <c r="F13" s="37" t="str">
        <f aca="false">IF(ABS(E13)&lt;0.5,"reproduced",IF(ABS(E13)&lt;0.5*3,"rounding","CHECK"))</f>
        <v>reproduced</v>
      </c>
      <c r="H13" s="10"/>
    </row>
    <row r="14" customFormat="false" ht="15" hidden="false" customHeight="true" outlineLevel="0" collapsed="false">
      <c r="A14" s="38" t="s">
        <v>259</v>
      </c>
      <c r="B14" s="46" t="s">
        <v>262</v>
      </c>
      <c r="C14" s="48" t="n">
        <v>1.0373</v>
      </c>
      <c r="D14" s="49" t="n">
        <f aca="false">'Schedule of investments'!E14</f>
        <v>1.03730401874212</v>
      </c>
      <c r="E14" s="50" t="n">
        <f aca="false">D14-C14</f>
        <v>4.01874211553022E-006</v>
      </c>
      <c r="F14" s="42" t="str">
        <f aca="false">IF(ABS(E14)&lt;0.00006,"reproduced",IF(ABS(E14)&lt;0.00006*3,"rounding","CHECK"))</f>
        <v>reproduced</v>
      </c>
      <c r="H14" s="10"/>
    </row>
    <row r="15" customFormat="false" ht="15" hidden="false" customHeight="true" outlineLevel="0" collapsed="false">
      <c r="A15" s="33" t="s">
        <v>259</v>
      </c>
      <c r="B15" s="44" t="s">
        <v>263</v>
      </c>
      <c r="C15" s="51" t="n">
        <v>0.2469</v>
      </c>
      <c r="D15" s="52" t="n">
        <f aca="false">'Schedule of investments'!E6</f>
        <v>0.24689133177149</v>
      </c>
      <c r="E15" s="53" t="n">
        <f aca="false">D15-C15</f>
        <v>-8.6682285096451E-006</v>
      </c>
      <c r="F15" s="37" t="str">
        <f aca="false">IF(ABS(E15)&lt;0.00006,"reproduced",IF(ABS(E15)&lt;0.00006*3,"rounding","CHECK"))</f>
        <v>reproduced</v>
      </c>
      <c r="H15" s="10"/>
    </row>
    <row r="16" customFormat="false" ht="15" hidden="false" customHeight="true" outlineLevel="0" collapsed="false">
      <c r="A16" s="38" t="s">
        <v>259</v>
      </c>
      <c r="B16" s="46" t="s">
        <v>264</v>
      </c>
      <c r="C16" s="48" t="n">
        <v>0.2206</v>
      </c>
      <c r="D16" s="49" t="n">
        <f aca="false">'Schedule of investments'!E7</f>
        <v>0.220580284735988</v>
      </c>
      <c r="E16" s="50" t="n">
        <f aca="false">D16-C16</f>
        <v>-1.97152640115106E-005</v>
      </c>
      <c r="F16" s="42" t="str">
        <f aca="false">IF(ABS(E16)&lt;0.00006,"reproduced",IF(ABS(E16)&lt;0.00006*3,"rounding","CHECK"))</f>
        <v>reproduced</v>
      </c>
      <c r="H16" s="10"/>
    </row>
    <row r="17" customFormat="false" ht="15" hidden="false" customHeight="true" outlineLevel="0" collapsed="false">
      <c r="A17" s="33" t="s">
        <v>259</v>
      </c>
      <c r="B17" s="44" t="s">
        <v>35</v>
      </c>
      <c r="C17" s="51" t="n">
        <v>0.4675</v>
      </c>
      <c r="D17" s="52" t="n">
        <f aca="false">'Schedule of investments'!B17</f>
        <v>0.467471616507479</v>
      </c>
      <c r="E17" s="53" t="n">
        <f aca="false">D17-C17</f>
        <v>-2.83834925212112E-005</v>
      </c>
      <c r="F17" s="37" t="str">
        <f aca="false">IF(ABS(E17)&lt;0.00006,"reproduced",IF(ABS(E17)&lt;0.00006*3,"rounding","CHECK"))</f>
        <v>reproduced</v>
      </c>
      <c r="H17" s="10"/>
    </row>
    <row r="18" customFormat="false" ht="15" hidden="false" customHeight="true" outlineLevel="0" collapsed="false">
      <c r="A18" s="38" t="s">
        <v>265</v>
      </c>
      <c r="B18" s="46" t="s">
        <v>76</v>
      </c>
      <c r="C18" s="47" t="n">
        <v>1910</v>
      </c>
      <c r="D18" s="40" t="n">
        <f aca="false">Operations!B9</f>
        <v>1910</v>
      </c>
      <c r="E18" s="41" t="n">
        <f aca="false">D18-C18</f>
        <v>0</v>
      </c>
      <c r="F18" s="42" t="str">
        <f aca="false">IF(ABS(E18)&lt;0.5,"reproduced",IF(ABS(E18)&lt;0.5*3,"rounding","CHECK"))</f>
        <v>reproduced</v>
      </c>
      <c r="H18" s="10"/>
    </row>
    <row r="19" customFormat="false" ht="15" hidden="false" customHeight="true" outlineLevel="0" collapsed="false">
      <c r="A19" s="33" t="s">
        <v>265</v>
      </c>
      <c r="B19" s="44" t="s">
        <v>78</v>
      </c>
      <c r="C19" s="45" t="n">
        <v>3680</v>
      </c>
      <c r="D19" s="35" t="n">
        <f aca="false">Operations!B12</f>
        <v>3680</v>
      </c>
      <c r="E19" s="36" t="n">
        <f aca="false">D19-C19</f>
        <v>0</v>
      </c>
      <c r="F19" s="37" t="str">
        <f aca="false">IF(ABS(E19)&lt;0.5,"reproduced",IF(ABS(E19)&lt;0.5*3,"rounding","CHECK"))</f>
        <v>reproduced</v>
      </c>
      <c r="H19" s="10"/>
    </row>
    <row r="20" customFormat="false" ht="15" hidden="false" customHeight="true" outlineLevel="0" collapsed="false">
      <c r="A20" s="38" t="s">
        <v>265</v>
      </c>
      <c r="B20" s="46" t="s">
        <v>85</v>
      </c>
      <c r="C20" s="47" t="n">
        <v>5110</v>
      </c>
      <c r="D20" s="40" t="n">
        <f aca="false">Operations!B19</f>
        <v>5110</v>
      </c>
      <c r="E20" s="41" t="n">
        <f aca="false">D20-C20</f>
        <v>0</v>
      </c>
      <c r="F20" s="42" t="str">
        <f aca="false">IF(ABS(E20)&lt;0.5,"reproduced",IF(ABS(E20)&lt;0.5*3,"rounding","CHECK"))</f>
        <v>reproduced</v>
      </c>
      <c r="H20" s="10"/>
    </row>
    <row r="21" customFormat="false" ht="15" hidden="false" customHeight="true" outlineLevel="0" collapsed="false">
      <c r="A21" s="33" t="s">
        <v>265</v>
      </c>
      <c r="B21" s="44" t="s">
        <v>266</v>
      </c>
      <c r="C21" s="45" t="n">
        <v>-3200</v>
      </c>
      <c r="D21" s="35" t="n">
        <f aca="false">Operations!B21</f>
        <v>-3200</v>
      </c>
      <c r="E21" s="36" t="n">
        <f aca="false">D21-C21</f>
        <v>0</v>
      </c>
      <c r="F21" s="37" t="str">
        <f aca="false">IF(ABS(E21)&lt;0.5,"reproduced",IF(ABS(E21)&lt;0.5*3,"rounding","CHECK"))</f>
        <v>reproduced</v>
      </c>
    </row>
    <row r="22" customFormat="false" ht="15" hidden="false" customHeight="true" outlineLevel="0" collapsed="false">
      <c r="A22" s="38" t="s">
        <v>265</v>
      </c>
      <c r="B22" s="46" t="s">
        <v>90</v>
      </c>
      <c r="C22" s="47" t="n">
        <v>16800</v>
      </c>
      <c r="D22" s="40" t="n">
        <f aca="false">Operations!B26</f>
        <v>16800</v>
      </c>
      <c r="E22" s="41" t="n">
        <f aca="false">D22-C22</f>
        <v>0</v>
      </c>
      <c r="F22" s="42" t="str">
        <f aca="false">IF(ABS(E22)&lt;0.5,"reproduced",IF(ABS(E22)&lt;0.5*3,"rounding","CHECK"))</f>
        <v>reproduced</v>
      </c>
    </row>
    <row r="23" customFormat="false" ht="15" hidden="false" customHeight="true" outlineLevel="0" collapsed="false">
      <c r="A23" s="33" t="s">
        <v>265</v>
      </c>
      <c r="B23" s="44" t="s">
        <v>91</v>
      </c>
      <c r="C23" s="45" t="n">
        <v>13600</v>
      </c>
      <c r="D23" s="35" t="n">
        <f aca="false">Operations!B28</f>
        <v>13600</v>
      </c>
      <c r="E23" s="36" t="n">
        <f aca="false">D23-C23</f>
        <v>0</v>
      </c>
      <c r="F23" s="37" t="str">
        <f aca="false">IF(ABS(E23)&lt;0.5,"reproduced",IF(ABS(E23)&lt;0.5*3,"rounding","CHECK"))</f>
        <v>reproduced</v>
      </c>
    </row>
    <row r="24" customFormat="false" ht="15" hidden="false" customHeight="true" outlineLevel="0" collapsed="false">
      <c r="A24" s="38" t="s">
        <v>265</v>
      </c>
      <c r="B24" s="46" t="s">
        <v>104</v>
      </c>
      <c r="C24" s="47" t="n">
        <v>10750</v>
      </c>
      <c r="D24" s="40" t="n">
        <f aca="false">Operations!B30</f>
        <v>10750</v>
      </c>
      <c r="E24" s="41" t="n">
        <f aca="false">D24-C24</f>
        <v>0</v>
      </c>
      <c r="F24" s="42" t="str">
        <f aca="false">IF(ABS(E24)&lt;0.5,"reproduced",IF(ABS(E24)&lt;0.5*3,"rounding","CHECK"))</f>
        <v>reproduced</v>
      </c>
    </row>
    <row r="25" customFormat="false" ht="15" hidden="false" customHeight="true" outlineLevel="0" collapsed="false">
      <c r="A25" s="33" t="s">
        <v>267</v>
      </c>
      <c r="B25" s="44" t="s">
        <v>268</v>
      </c>
      <c r="C25" s="45" t="n">
        <v>271700</v>
      </c>
      <c r="D25" s="35" t="n">
        <f aca="false">'Changes in net assets'!D7</f>
        <v>271700</v>
      </c>
      <c r="E25" s="36" t="n">
        <f aca="false">D25-C25</f>
        <v>0</v>
      </c>
      <c r="F25" s="37" t="str">
        <f aca="false">IF(ABS(E25)&lt;0.5,"reproduced",IF(ABS(E25)&lt;0.5*3,"rounding","CHECK"))</f>
        <v>reproduced</v>
      </c>
    </row>
    <row r="26" customFormat="false" ht="15" hidden="false" customHeight="true" outlineLevel="0" collapsed="false">
      <c r="A26" s="38" t="s">
        <v>267</v>
      </c>
      <c r="B26" s="46" t="s">
        <v>269</v>
      </c>
      <c r="C26" s="47" t="n">
        <v>272</v>
      </c>
      <c r="D26" s="40" t="n">
        <f aca="false">'Changes in net assets'!B8</f>
        <v>272</v>
      </c>
      <c r="E26" s="41" t="n">
        <f aca="false">D26-C26</f>
        <v>0</v>
      </c>
      <c r="F26" s="42" t="str">
        <f aca="false">IF(ABS(E26)&lt;0.5,"reproduced",IF(ABS(E26)&lt;0.5*3,"rounding","CHECK"))</f>
        <v>reproduced</v>
      </c>
    </row>
    <row r="27" customFormat="false" ht="15" hidden="false" customHeight="true" outlineLevel="0" collapsed="false">
      <c r="A27" s="33" t="s">
        <v>267</v>
      </c>
      <c r="B27" s="44" t="s">
        <v>270</v>
      </c>
      <c r="C27" s="45" t="n">
        <v>13328</v>
      </c>
      <c r="D27" s="35" t="n">
        <f aca="false">'Changes in net assets'!C8</f>
        <v>13328</v>
      </c>
      <c r="E27" s="36" t="n">
        <f aca="false">D27-C27</f>
        <v>0</v>
      </c>
      <c r="F27" s="37" t="str">
        <f aca="false">IF(ABS(E27)&lt;0.5,"reproduced",IF(ABS(E27)&lt;0.5*3,"rounding","CHECK"))</f>
        <v>reproduced</v>
      </c>
    </row>
    <row r="28" customFormat="false" ht="15" hidden="false" customHeight="true" outlineLevel="0" collapsed="false">
      <c r="A28" s="38" t="s">
        <v>267</v>
      </c>
      <c r="B28" s="46" t="s">
        <v>271</v>
      </c>
      <c r="C28" s="47" t="n">
        <v>800</v>
      </c>
      <c r="D28" s="40" t="n">
        <f aca="false">'Changes in net assets'!B11</f>
        <v>800</v>
      </c>
      <c r="E28" s="41" t="n">
        <f aca="false">D28-C28</f>
        <v>0</v>
      </c>
      <c r="F28" s="42" t="str">
        <f aca="false">IF(ABS(E28)&lt;0.5,"reproduced",IF(ABS(E28)&lt;0.5*3,"rounding","CHECK"))</f>
        <v>reproduced</v>
      </c>
    </row>
    <row r="29" customFormat="false" ht="15" hidden="false" customHeight="true" outlineLevel="0" collapsed="false">
      <c r="A29" s="33" t="s">
        <v>267</v>
      </c>
      <c r="B29" s="44" t="s">
        <v>272</v>
      </c>
      <c r="C29" s="45" t="n">
        <v>39200</v>
      </c>
      <c r="D29" s="35" t="n">
        <f aca="false">'Changes in net assets'!C11</f>
        <v>39200</v>
      </c>
      <c r="E29" s="36" t="n">
        <f aca="false">D29-C29</f>
        <v>0</v>
      </c>
      <c r="F29" s="37" t="str">
        <f aca="false">IF(ABS(E29)&lt;0.5,"reproduced",IF(ABS(E29)&lt;0.5*3,"rounding","CHECK"))</f>
        <v>reproduced</v>
      </c>
    </row>
    <row r="30" customFormat="false" ht="15" hidden="false" customHeight="true" outlineLevel="0" collapsed="false">
      <c r="A30" s="38" t="s">
        <v>267</v>
      </c>
      <c r="B30" s="46" t="s">
        <v>273</v>
      </c>
      <c r="C30" s="47" t="n">
        <v>-900</v>
      </c>
      <c r="D30" s="40" t="n">
        <f aca="false">'Changes in net assets'!B12</f>
        <v>-900</v>
      </c>
      <c r="E30" s="41" t="n">
        <f aca="false">D30-C30</f>
        <v>0</v>
      </c>
      <c r="F30" s="42" t="str">
        <f aca="false">IF(ABS(E30)&lt;0.5,"reproduced",IF(ABS(E30)&lt;0.5*3,"rounding","CHECK"))</f>
        <v>reproduced</v>
      </c>
    </row>
    <row r="31" customFormat="false" ht="15" hidden="false" customHeight="true" outlineLevel="0" collapsed="false">
      <c r="A31" s="33" t="s">
        <v>267</v>
      </c>
      <c r="B31" s="44" t="s">
        <v>274</v>
      </c>
      <c r="C31" s="45" t="n">
        <v>-44100</v>
      </c>
      <c r="D31" s="35" t="n">
        <f aca="false">'Changes in net assets'!C12</f>
        <v>-44100</v>
      </c>
      <c r="E31" s="36" t="n">
        <f aca="false">D31-C31</f>
        <v>0</v>
      </c>
      <c r="F31" s="37" t="str">
        <f aca="false">IF(ABS(E31)&lt;0.5,"reproduced",IF(ABS(E31)&lt;0.5*3,"rounding","CHECK"))</f>
        <v>reproduced</v>
      </c>
    </row>
    <row r="32" customFormat="false" ht="15" hidden="false" customHeight="true" outlineLevel="0" collapsed="false">
      <c r="A32" s="38" t="s">
        <v>267</v>
      </c>
      <c r="B32" s="46" t="s">
        <v>275</v>
      </c>
      <c r="C32" s="47" t="n">
        <v>5606</v>
      </c>
      <c r="D32" s="40" t="n">
        <f aca="false">'Changes in net assets'!B14</f>
        <v>5606</v>
      </c>
      <c r="E32" s="41" t="n">
        <f aca="false">D32-C32</f>
        <v>0</v>
      </c>
      <c r="F32" s="42" t="str">
        <f aca="false">IF(ABS(E32)&lt;0.5,"reproduced",IF(ABS(E32)&lt;0.5*3,"rounding","CHECK"))</f>
        <v>reproduced</v>
      </c>
    </row>
    <row r="33" customFormat="false" ht="15" hidden="false" customHeight="true" outlineLevel="0" collapsed="false">
      <c r="A33" s="33" t="s">
        <v>267</v>
      </c>
      <c r="B33" s="44" t="s">
        <v>276</v>
      </c>
      <c r="C33" s="45" t="n">
        <v>271844</v>
      </c>
      <c r="D33" s="35" t="n">
        <f aca="false">'Changes in net assets'!C14</f>
        <v>271844</v>
      </c>
      <c r="E33" s="36" t="n">
        <f aca="false">D33-C33</f>
        <v>0</v>
      </c>
      <c r="F33" s="37" t="str">
        <f aca="false">IF(ABS(E33)&lt;0.5,"reproduced",IF(ABS(E33)&lt;0.5*3,"rounding","CHECK"))</f>
        <v>reproduced</v>
      </c>
    </row>
    <row r="34" customFormat="false" ht="15" hidden="false" customHeight="true" outlineLevel="0" collapsed="false">
      <c r="A34" s="38" t="s">
        <v>277</v>
      </c>
      <c r="B34" s="46" t="s">
        <v>136</v>
      </c>
      <c r="C34" s="47" t="n">
        <v>10625</v>
      </c>
      <c r="D34" s="40" t="n">
        <f aca="false">'Cash flows'!B14</f>
        <v>10625</v>
      </c>
      <c r="E34" s="41" t="n">
        <f aca="false">D34-C34</f>
        <v>0</v>
      </c>
      <c r="F34" s="42" t="str">
        <f aca="false">IF(ABS(E34)&lt;0.5,"reproduced",IF(ABS(E34)&lt;0.5*3,"rounding","CHECK"))</f>
        <v>reproduced</v>
      </c>
    </row>
    <row r="35" customFormat="false" ht="15" hidden="false" customHeight="true" outlineLevel="0" collapsed="false">
      <c r="A35" s="33" t="s">
        <v>277</v>
      </c>
      <c r="B35" s="44" t="s">
        <v>142</v>
      </c>
      <c r="C35" s="45" t="n">
        <v>-8000</v>
      </c>
      <c r="D35" s="35" t="n">
        <f aca="false">'Cash flows'!B21</f>
        <v>-8000</v>
      </c>
      <c r="E35" s="36" t="n">
        <f aca="false">D35-C35</f>
        <v>0</v>
      </c>
      <c r="F35" s="37" t="str">
        <f aca="false">IF(ABS(E35)&lt;0.5,"reproduced",IF(ABS(E35)&lt;0.5*3,"rounding","CHECK"))</f>
        <v>reproduced</v>
      </c>
    </row>
    <row r="36" customFormat="false" ht="15" hidden="false" customHeight="true" outlineLevel="0" collapsed="false">
      <c r="A36" s="38" t="s">
        <v>277</v>
      </c>
      <c r="B36" s="46" t="s">
        <v>143</v>
      </c>
      <c r="C36" s="47" t="n">
        <v>2625</v>
      </c>
      <c r="D36" s="40" t="n">
        <f aca="false">'Cash flows'!B23</f>
        <v>2625</v>
      </c>
      <c r="E36" s="41" t="n">
        <f aca="false">D36-C36</f>
        <v>0</v>
      </c>
      <c r="F36" s="42" t="str">
        <f aca="false">IF(ABS(E36)&lt;0.5,"reproduced",IF(ABS(E36)&lt;0.5*3,"rounding","CHECK"))</f>
        <v>reproduced</v>
      </c>
    </row>
    <row r="37" customFormat="false" ht="15" hidden="false" customHeight="true" outlineLevel="0" collapsed="false">
      <c r="A37" s="33" t="s">
        <v>277</v>
      </c>
      <c r="B37" s="44" t="s">
        <v>145</v>
      </c>
      <c r="C37" s="45" t="n">
        <v>9450</v>
      </c>
      <c r="D37" s="35" t="n">
        <f aca="false">'Cash flows'!B25</f>
        <v>9450</v>
      </c>
      <c r="E37" s="36" t="n">
        <f aca="false">D37-C37</f>
        <v>0</v>
      </c>
      <c r="F37" s="37" t="str">
        <f aca="false">IF(ABS(E37)&lt;0.5,"reproduced",IF(ABS(E37)&lt;0.5*3,"rounding","CHECK"))</f>
        <v>reproduced</v>
      </c>
    </row>
    <row r="38" customFormat="false" ht="15" hidden="false" customHeight="true" outlineLevel="0" collapsed="false">
      <c r="A38" s="38" t="s">
        <v>278</v>
      </c>
      <c r="B38" s="46" t="s">
        <v>279</v>
      </c>
      <c r="C38" s="47" t="n">
        <v>13313300</v>
      </c>
      <c r="D38" s="40" t="n">
        <f aca="false">'Capital account'!B11</f>
        <v>13313300</v>
      </c>
      <c r="E38" s="41" t="n">
        <f aca="false">D38-C38</f>
        <v>0</v>
      </c>
      <c r="F38" s="42" t="str">
        <f aca="false">IF(ABS(E38)&lt;0.5,"reproduced",IF(ABS(E38)&lt;0.5*3,"rounding","CHECK"))</f>
        <v>reproduced</v>
      </c>
    </row>
    <row r="39" customFormat="false" ht="15" hidden="false" customHeight="true" outlineLevel="0" collapsed="false">
      <c r="A39" s="33" t="s">
        <v>278</v>
      </c>
      <c r="B39" s="44" t="s">
        <v>105</v>
      </c>
      <c r="C39" s="45" t="n">
        <v>1960000</v>
      </c>
      <c r="D39" s="35" t="n">
        <f aca="false">'Capital account'!B12</f>
        <v>1960000</v>
      </c>
      <c r="E39" s="36" t="n">
        <f aca="false">D39-C39</f>
        <v>0</v>
      </c>
      <c r="F39" s="37" t="str">
        <f aca="false">IF(ABS(E39)&lt;0.5,"reproduced",IF(ABS(E39)&lt;0.5*3,"rounding","CHECK"))</f>
        <v>reproduced</v>
      </c>
    </row>
    <row r="40" customFormat="false" ht="15" hidden="false" customHeight="true" outlineLevel="0" collapsed="false">
      <c r="A40" s="38" t="s">
        <v>278</v>
      </c>
      <c r="B40" s="46" t="s">
        <v>106</v>
      </c>
      <c r="C40" s="47" t="n">
        <v>-2205000</v>
      </c>
      <c r="D40" s="40" t="n">
        <f aca="false">'Capital account'!B13</f>
        <v>-2205000</v>
      </c>
      <c r="E40" s="41" t="n">
        <f aca="false">D40-C40</f>
        <v>0</v>
      </c>
      <c r="F40" s="42" t="str">
        <f aca="false">IF(ABS(E40)&lt;0.5,"reproduced",IF(ABS(E40)&lt;0.5*3,"rounding","CHECK"))</f>
        <v>reproduced</v>
      </c>
    </row>
    <row r="41" customFormat="false" ht="15" hidden="false" customHeight="true" outlineLevel="0" collapsed="false">
      <c r="A41" s="33" t="s">
        <v>278</v>
      </c>
      <c r="B41" s="44" t="s">
        <v>167</v>
      </c>
      <c r="C41" s="45" t="n">
        <v>-156800</v>
      </c>
      <c r="D41" s="35" t="n">
        <f aca="false">'Capital account'!B14</f>
        <v>-156800</v>
      </c>
      <c r="E41" s="36" t="n">
        <f aca="false">D41-C41</f>
        <v>0</v>
      </c>
      <c r="F41" s="37" t="str">
        <f aca="false">IF(ABS(E41)&lt;0.5,"reproduced",IF(ABS(E41)&lt;0.5*3,"rounding","CHECK"))</f>
        <v>reproduced</v>
      </c>
    </row>
    <row r="42" customFormat="false" ht="15" hidden="false" customHeight="true" outlineLevel="0" collapsed="false">
      <c r="A42" s="38" t="s">
        <v>278</v>
      </c>
      <c r="B42" s="46" t="s">
        <v>169</v>
      </c>
      <c r="C42" s="47" t="n">
        <v>1048600</v>
      </c>
      <c r="D42" s="40" t="n">
        <f aca="false">'Capital account'!B15</f>
        <v>1048600</v>
      </c>
      <c r="E42" s="41" t="n">
        <f aca="false">D42-C42</f>
        <v>0</v>
      </c>
      <c r="F42" s="42" t="str">
        <f aca="false">IF(ABS(E42)&lt;0.5,"reproduced",IF(ABS(E42)&lt;0.5*3,"rounding","CHECK"))</f>
        <v>reproduced</v>
      </c>
    </row>
    <row r="43" customFormat="false" ht="15" hidden="false" customHeight="true" outlineLevel="0" collapsed="false">
      <c r="A43" s="33" t="s">
        <v>278</v>
      </c>
      <c r="B43" s="44" t="s">
        <v>170</v>
      </c>
      <c r="C43" s="45" t="n">
        <v>-225400</v>
      </c>
      <c r="D43" s="35" t="n">
        <f aca="false">'Capital account'!B16</f>
        <v>-225400</v>
      </c>
      <c r="E43" s="36" t="n">
        <f aca="false">D43-C43</f>
        <v>0</v>
      </c>
      <c r="F43" s="37" t="str">
        <f aca="false">IF(ABS(E43)&lt;0.5,"reproduced",IF(ABS(E43)&lt;0.5*3,"rounding","CHECK"))</f>
        <v>reproduced</v>
      </c>
    </row>
    <row r="44" customFormat="false" ht="15" hidden="false" customHeight="true" outlineLevel="0" collapsed="false">
      <c r="A44" s="38" t="s">
        <v>278</v>
      </c>
      <c r="B44" s="46" t="s">
        <v>171</v>
      </c>
      <c r="C44" s="47" t="n">
        <v>-142500</v>
      </c>
      <c r="D44" s="40" t="n">
        <f aca="false">'Capital account'!B17</f>
        <v>-142500</v>
      </c>
      <c r="E44" s="41" t="n">
        <f aca="false">D44-C44</f>
        <v>0</v>
      </c>
      <c r="F44" s="42" t="str">
        <f aca="false">IF(ABS(E44)&lt;0.5,"reproduced",IF(ABS(E44)&lt;0.5*3,"rounding","CHECK"))</f>
        <v>reproduced</v>
      </c>
    </row>
    <row r="45" customFormat="false" ht="15" hidden="false" customHeight="true" outlineLevel="0" collapsed="false">
      <c r="A45" s="33" t="s">
        <v>278</v>
      </c>
      <c r="B45" s="44" t="s">
        <v>280</v>
      </c>
      <c r="C45" s="45" t="n">
        <v>13592200</v>
      </c>
      <c r="D45" s="35" t="n">
        <f aca="false">'Capital account'!B18</f>
        <v>13592200</v>
      </c>
      <c r="E45" s="36" t="n">
        <f aca="false">D45-C45</f>
        <v>0</v>
      </c>
      <c r="F45" s="37" t="str">
        <f aca="false">IF(ABS(E45)&lt;0.5,"reproduced",IF(ABS(E45)&lt;0.5*3,"rounding","CHECK"))</f>
        <v>reproduced</v>
      </c>
    </row>
    <row r="46" customFormat="false" ht="15" hidden="false" customHeight="true" outlineLevel="0" collapsed="false">
      <c r="A46" s="38" t="s">
        <v>278</v>
      </c>
      <c r="B46" s="46" t="s">
        <v>174</v>
      </c>
      <c r="C46" s="47" t="n">
        <v>523900</v>
      </c>
      <c r="D46" s="40" t="n">
        <f aca="false">'Capital account'!B20</f>
        <v>523900</v>
      </c>
      <c r="E46" s="41" t="n">
        <f aca="false">D46-C46</f>
        <v>0</v>
      </c>
      <c r="F46" s="42" t="str">
        <f aca="false">IF(ABS(E46)&lt;0.5,"reproduced",IF(ABS(E46)&lt;0.5*3,"rounding","CHECK"))</f>
        <v>reproduced</v>
      </c>
    </row>
    <row r="47" customFormat="false" ht="15" hidden="false" customHeight="true" outlineLevel="0" collapsed="false">
      <c r="A47" s="33" t="s">
        <v>278</v>
      </c>
      <c r="B47" s="44" t="s">
        <v>281</v>
      </c>
      <c r="C47" s="45" t="n">
        <v>10478000</v>
      </c>
      <c r="D47" s="35" t="n">
        <f aca="false">'Capital account'!B21</f>
        <v>10478000</v>
      </c>
      <c r="E47" s="36" t="n">
        <f aca="false">D47-C47</f>
        <v>0</v>
      </c>
      <c r="F47" s="37" t="str">
        <f aca="false">IF(ABS(E47)&lt;0.5,"reproduced",IF(ABS(E47)&lt;0.5*3,"rounding","CHECK"))</f>
        <v>reproduced</v>
      </c>
    </row>
    <row r="48" customFormat="false" ht="15" hidden="false" customHeight="true" outlineLevel="0" collapsed="false">
      <c r="A48" s="38" t="s">
        <v>278</v>
      </c>
      <c r="B48" s="46" t="s">
        <v>180</v>
      </c>
      <c r="C48" s="47" t="n">
        <v>5880000</v>
      </c>
      <c r="D48" s="40" t="n">
        <f aca="false">'Capital account'!B27</f>
        <v>5880000</v>
      </c>
      <c r="E48" s="41" t="n">
        <f aca="false">D48-C48</f>
        <v>0</v>
      </c>
      <c r="F48" s="42" t="str">
        <f aca="false">IF(ABS(E48)&lt;0.5,"reproduced",IF(ABS(E48)&lt;0.5*3,"rounding","CHECK"))</f>
        <v>reproduced</v>
      </c>
    </row>
    <row r="49" customFormat="false" ht="15" hidden="false" customHeight="true" outlineLevel="0" collapsed="false">
      <c r="A49" s="33" t="s">
        <v>278</v>
      </c>
      <c r="B49" s="44" t="s">
        <v>184</v>
      </c>
      <c r="C49" s="54" t="n">
        <v>0.4</v>
      </c>
      <c r="D49" s="55" t="n">
        <f aca="false">'Capital account'!B31</f>
        <v>0.397422126745435</v>
      </c>
      <c r="E49" s="56" t="n">
        <f aca="false">D49-C49</f>
        <v>-0.00257787325456499</v>
      </c>
      <c r="F49" s="37" t="str">
        <f aca="false">IF(ABS(E49)&lt;0.006,"reproduced",IF(ABS(E49)&lt;0.006*3,"rounding","CHECK"))</f>
        <v>reproduced</v>
      </c>
    </row>
    <row r="50" customFormat="false" ht="15" hidden="false" customHeight="true" outlineLevel="0" collapsed="false">
      <c r="A50" s="38" t="s">
        <v>278</v>
      </c>
      <c r="B50" s="46" t="s">
        <v>185</v>
      </c>
      <c r="C50" s="57" t="n">
        <v>0.73</v>
      </c>
      <c r="D50" s="58" t="n">
        <f aca="false">'Capital account'!B32</f>
        <v>0.729978517722879</v>
      </c>
      <c r="E50" s="59" t="n">
        <f aca="false">D50-C50</f>
        <v>-2.14822771213985E-005</v>
      </c>
      <c r="F50" s="42" t="str">
        <f aca="false">IF(ABS(E50)&lt;0.006,"reproduced",IF(ABS(E50)&lt;0.006*3,"rounding","CHECK"))</f>
        <v>reproduced</v>
      </c>
    </row>
    <row r="51" customFormat="false" ht="15" hidden="false" customHeight="true" outlineLevel="0" collapsed="false">
      <c r="A51" s="33" t="s">
        <v>278</v>
      </c>
      <c r="B51" s="44" t="s">
        <v>186</v>
      </c>
      <c r="C51" s="54" t="n">
        <v>1.13</v>
      </c>
      <c r="D51" s="55" t="n">
        <f aca="false">'Capital account'!B33</f>
        <v>1.12740064446831</v>
      </c>
      <c r="E51" s="56" t="n">
        <f aca="false">D51-C51</f>
        <v>-0.00259935553168633</v>
      </c>
      <c r="F51" s="37" t="str">
        <f aca="false">IF(ABS(E51)&lt;0.006,"reproduced",IF(ABS(E51)&lt;0.006*3,"rounding","CHECK"))</f>
        <v>reproduced</v>
      </c>
    </row>
    <row r="52" customFormat="false" ht="15" hidden="false" customHeight="true" outlineLevel="0" collapsed="false">
      <c r="A52" s="38" t="s">
        <v>282</v>
      </c>
      <c r="B52" s="46" t="s">
        <v>283</v>
      </c>
      <c r="C52" s="47" t="n">
        <v>620</v>
      </c>
      <c r="D52" s="40" t="n">
        <f aca="false">'Notes and ratios'!B8</f>
        <v>620</v>
      </c>
      <c r="E52" s="41" t="n">
        <f aca="false">D52-C52</f>
        <v>0</v>
      </c>
      <c r="F52" s="42" t="str">
        <f aca="false">IF(ABS(E52)&lt;0.5,"reproduced",IF(ABS(E52)&lt;0.5*3,"rounding","CHECK"))</f>
        <v>reproduced</v>
      </c>
    </row>
    <row r="53" customFormat="false" ht="15" hidden="false" customHeight="true" outlineLevel="0" collapsed="false">
      <c r="A53" s="33" t="s">
        <v>282</v>
      </c>
      <c r="B53" s="44" t="s">
        <v>284</v>
      </c>
      <c r="C53" s="45" t="n">
        <v>3680</v>
      </c>
      <c r="D53" s="35" t="n">
        <f aca="false">'Notes and ratios'!B9</f>
        <v>3680</v>
      </c>
      <c r="E53" s="36" t="n">
        <f aca="false">D53-C53</f>
        <v>0</v>
      </c>
      <c r="F53" s="37" t="str">
        <f aca="false">IF(ABS(E53)&lt;0.5,"reproduced",IF(ABS(E53)&lt;0.5*3,"rounding","CHECK"))</f>
        <v>reproduced</v>
      </c>
    </row>
    <row r="54" customFormat="false" ht="15" hidden="false" customHeight="true" outlineLevel="0" collapsed="false">
      <c r="A54" s="38" t="s">
        <v>282</v>
      </c>
      <c r="B54" s="46" t="s">
        <v>207</v>
      </c>
      <c r="C54" s="47" t="n">
        <v>120000</v>
      </c>
      <c r="D54" s="40" t="n">
        <f aca="false">'Notes and ratios'!B21</f>
        <v>120000</v>
      </c>
      <c r="E54" s="41" t="n">
        <f aca="false">D54-C54</f>
        <v>0</v>
      </c>
      <c r="F54" s="42" t="str">
        <f aca="false">IF(ABS(E54)&lt;0.5,"reproduced",IF(ABS(E54)&lt;0.5*3,"rounding","CHECK"))</f>
        <v>reproduced</v>
      </c>
    </row>
    <row r="55" customFormat="false" ht="15" hidden="false" customHeight="true" outlineLevel="0" collapsed="false">
      <c r="A55" s="33" t="s">
        <v>282</v>
      </c>
      <c r="B55" s="44" t="s">
        <v>216</v>
      </c>
      <c r="C55" s="51" t="n">
        <v>0.0186</v>
      </c>
      <c r="D55" s="52" t="n">
        <f aca="false">'Notes and ratios'!B33</f>
        <v>0.018610579987253</v>
      </c>
      <c r="E55" s="53" t="n">
        <f aca="false">D55-C55</f>
        <v>1.05799872530295E-005</v>
      </c>
      <c r="F55" s="37" t="str">
        <f aca="false">IF(ABS(E55)&lt;0.00006,"reproduced",IF(ABS(E55)&lt;0.00006*3,"rounding","CHECK"))</f>
        <v>reproduced</v>
      </c>
    </row>
    <row r="56" customFormat="false" ht="15" hidden="false" customHeight="true" outlineLevel="0" collapsed="false">
      <c r="A56" s="38" t="s">
        <v>282</v>
      </c>
      <c r="B56" s="46" t="s">
        <v>285</v>
      </c>
      <c r="C56" s="48" t="n">
        <v>0.136</v>
      </c>
      <c r="D56" s="49" t="n">
        <f aca="false">'Notes and ratios'!B39</f>
        <v>0.135857461024499</v>
      </c>
      <c r="E56" s="50" t="n">
        <f aca="false">D56-C56</f>
        <v>-0.000142538975501094</v>
      </c>
      <c r="F56" s="42" t="str">
        <f aca="false">IF(ABS(E56)&lt;0.00006,"reproduced",IF(ABS(E56)&lt;0.00006*3,"rounding","CHECK"))</f>
        <v>rounding</v>
      </c>
    </row>
    <row r="57" customFormat="false" ht="15" hidden="false" customHeight="false" outlineLevel="0" collapsed="false">
      <c r="A57" s="38" t="s">
        <v>259</v>
      </c>
      <c r="B57" s="46" t="s">
        <v>286</v>
      </c>
      <c r="C57" s="60" t="n">
        <v>2</v>
      </c>
      <c r="D57" s="61" t="n">
        <f aca="false">'Schedule of investments'!B16</f>
        <v>2</v>
      </c>
      <c r="E57" s="62" t="n">
        <f aca="false">D57-C57</f>
        <v>0</v>
      </c>
      <c r="F57" s="42" t="str">
        <f aca="false">IF(ABS(E57)&lt;0.5,"reproduced",IF(ABS(E57)&lt;0.5*3,"rounding","CHECK"))</f>
        <v>reproduced</v>
      </c>
      <c r="G57" s="1" t="s">
        <v>287</v>
      </c>
    </row>
    <row r="58" customFormat="false" ht="15" hidden="false" customHeight="true" outlineLevel="0" collapsed="false">
      <c r="A58" s="38" t="s">
        <v>259</v>
      </c>
      <c r="B58" s="46" t="s">
        <v>40</v>
      </c>
      <c r="C58" s="60" t="n">
        <v>10350</v>
      </c>
      <c r="D58" s="61" t="n">
        <f aca="false">'Schedule of investments'!B23</f>
        <v>10350</v>
      </c>
      <c r="E58" s="62" t="n">
        <f aca="false">D58-C58</f>
        <v>0</v>
      </c>
      <c r="F58" s="42" t="str">
        <f aca="false">IF(ABS(E58)&lt;0.5,"reproduced",IF(ABS(E58)&lt;0.5*3,"rounding","CHECK"))</f>
        <v>reproduced</v>
      </c>
      <c r="G58" s="1" t="s">
        <v>288</v>
      </c>
    </row>
    <row r="59" customFormat="false" ht="15" hidden="false" customHeight="true" outlineLevel="0" collapsed="false">
      <c r="A59" s="38" t="s">
        <v>259</v>
      </c>
      <c r="B59" s="46" t="s">
        <v>289</v>
      </c>
      <c r="C59" s="60" t="n">
        <v>12930</v>
      </c>
      <c r="D59" s="61" t="n">
        <f aca="false">'Balance sheet'!B18</f>
        <v>12930</v>
      </c>
      <c r="E59" s="62" t="n">
        <f aca="false">D59-C59</f>
        <v>0</v>
      </c>
      <c r="F59" s="42" t="str">
        <f aca="false">IF(ABS(E59)&lt;0.5,"reproduced",IF(ABS(E59)&lt;0.5*3,"rounding","CHECK"))</f>
        <v>reproduced</v>
      </c>
      <c r="G59" s="1" t="s">
        <v>288</v>
      </c>
    </row>
    <row r="60" customFormat="false" ht="15" hidden="false" customHeight="true" outlineLevel="0" collapsed="false">
      <c r="A60" s="38" t="s">
        <v>259</v>
      </c>
      <c r="B60" s="46" t="s">
        <v>290</v>
      </c>
      <c r="C60" s="48" t="n">
        <v>0.9911</v>
      </c>
      <c r="D60" s="49" t="n">
        <f aca="false">'Schedule of investments'!B26</f>
        <v>0.991115090570976</v>
      </c>
      <c r="E60" s="50" t="n">
        <f aca="false">D60-C60</f>
        <v>1.50905709759286E-005</v>
      </c>
      <c r="F60" s="42" t="str">
        <f aca="false">IF(ABS(E60)&lt;0.00006,"reproduced",IF(ABS(E60)&lt;0.00006*3,"rounding","CHECK"))</f>
        <v>reproduced</v>
      </c>
      <c r="G60" s="1" t="s">
        <v>288</v>
      </c>
    </row>
    <row r="61" customFormat="false" ht="15" hidden="false" customHeight="false" outlineLevel="0" collapsed="false">
      <c r="A61" s="38" t="s">
        <v>259</v>
      </c>
      <c r="B61" s="46" t="s">
        <v>291</v>
      </c>
      <c r="C61" s="48" t="n">
        <v>0.0494</v>
      </c>
      <c r="D61" s="49" t="n">
        <f aca="false">'Schedule of investments'!B19</f>
        <v>0.0493782663542981</v>
      </c>
      <c r="E61" s="50" t="n">
        <f aca="false">D61-C61</f>
        <v>-2.17336457019254E-005</v>
      </c>
      <c r="F61" s="42" t="str">
        <f aca="false">IF(ABS(E61)&lt;0.00006,"reproduced",IF(ABS(E61)&lt;0.00006*3,"rounding","CHECK"))</f>
        <v>reproduced</v>
      </c>
      <c r="G61" s="1" t="s">
        <v>288</v>
      </c>
    </row>
    <row r="62" customFormat="false" ht="15" hidden="false" customHeight="false" outlineLevel="0" collapsed="false">
      <c r="A62" s="38" t="s">
        <v>259</v>
      </c>
      <c r="B62" s="46" t="s">
        <v>292</v>
      </c>
      <c r="C62" s="48" t="n">
        <v>0.0441</v>
      </c>
      <c r="D62" s="49" t="n">
        <f aca="false">'Schedule of investments'!B20</f>
        <v>0.0441160569471977</v>
      </c>
      <c r="E62" s="50" t="n">
        <f aca="false">D62-C62</f>
        <v>1.60569471976957E-005</v>
      </c>
      <c r="F62" s="42" t="str">
        <f aca="false">IF(ABS(E62)&lt;0.00006,"reproduced",IF(ABS(E62)&lt;0.00006*3,"rounding","CHECK"))</f>
        <v>reproduced</v>
      </c>
      <c r="G62" s="1" t="s">
        <v>287</v>
      </c>
    </row>
    <row r="63" customFormat="false" ht="15" hidden="false" customHeight="false" outlineLevel="0" collapsed="false">
      <c r="A63" s="38" t="s">
        <v>267</v>
      </c>
      <c r="B63" s="46" t="s">
        <v>293</v>
      </c>
      <c r="C63" s="60" t="n">
        <v>4600</v>
      </c>
      <c r="D63" s="61" t="n">
        <f aca="false">'Changes in net assets'!B23</f>
        <v>4600</v>
      </c>
      <c r="E63" s="62" t="n">
        <f aca="false">D63-C63</f>
        <v>0</v>
      </c>
      <c r="F63" s="42" t="str">
        <f aca="false">IF(ABS(E63)&lt;0.5,"reproduced",IF(ABS(E63)&lt;0.5*3,"rounding","CHECK"))</f>
        <v>reproduced</v>
      </c>
      <c r="G63" s="1" t="s">
        <v>288</v>
      </c>
    </row>
    <row r="64" customFormat="false" ht="15" hidden="false" customHeight="false" outlineLevel="0" collapsed="false">
      <c r="A64" s="38" t="s">
        <v>267</v>
      </c>
      <c r="B64" s="46" t="s">
        <v>294</v>
      </c>
      <c r="C64" s="60" t="n">
        <v>35500</v>
      </c>
      <c r="D64" s="61" t="n">
        <f aca="false">'Changes in net assets'!B34</f>
        <v>35500</v>
      </c>
      <c r="E64" s="62" t="n">
        <f aca="false">D64-C64</f>
        <v>0</v>
      </c>
      <c r="F64" s="42" t="str">
        <f aca="false">IF(ABS(E64)&lt;0.5,"reproduced",IF(ABS(E64)&lt;0.5*3,"rounding","CHECK"))</f>
        <v>reproduced</v>
      </c>
      <c r="G64" s="1" t="s">
        <v>288</v>
      </c>
    </row>
    <row r="65" customFormat="false" ht="15" hidden="false" customHeight="false" outlineLevel="0" collapsed="false">
      <c r="A65" s="38" t="s">
        <v>282</v>
      </c>
      <c r="B65" s="46" t="s">
        <v>295</v>
      </c>
      <c r="C65" s="60" t="n">
        <v>245714</v>
      </c>
      <c r="D65" s="61" t="n">
        <f aca="false">'Notes and ratios'!B11</f>
        <v>245714.285714286</v>
      </c>
      <c r="E65" s="62" t="n">
        <f aca="false">D65-C65</f>
        <v>0.285714285681024</v>
      </c>
      <c r="F65" s="42" t="str">
        <f aca="false">IF(ABS(E65)&lt;0.5,"reproduced",IF(ABS(E65)&lt;0.5*3,"rounding","CHECK"))</f>
        <v>reproduced</v>
      </c>
      <c r="G65" s="1" t="s">
        <v>288</v>
      </c>
    </row>
    <row r="66" customFormat="false" ht="15" hidden="false" customHeight="false" outlineLevel="0" collapsed="false">
      <c r="A66" s="38" t="s">
        <v>282</v>
      </c>
      <c r="B66" s="46" t="s">
        <v>296</v>
      </c>
      <c r="C66" s="63" t="n">
        <v>3762.5</v>
      </c>
      <c r="D66" s="64" t="n">
        <f aca="false">'Notes and ratios'!B15</f>
        <v>3762.5</v>
      </c>
      <c r="E66" s="65" t="n">
        <f aca="false">D66-C66</f>
        <v>0</v>
      </c>
      <c r="F66" s="42" t="str">
        <f aca="false">IF(ABS(E66)&lt;0.5,"reproduced",IF(ABS(E66)&lt;0.5*3,"rounding","CHECK"))</f>
        <v>reproduced</v>
      </c>
      <c r="G66" s="1" t="s">
        <v>288</v>
      </c>
    </row>
    <row r="67" customFormat="false" ht="15" hidden="false" customHeight="false" outlineLevel="0" collapsed="false">
      <c r="A67" s="38" t="s">
        <v>282</v>
      </c>
      <c r="B67" s="46" t="s">
        <v>297</v>
      </c>
      <c r="C67" s="66" t="n">
        <v>31.5</v>
      </c>
      <c r="D67" s="67" t="n">
        <f aca="false">'Notes and ratios'!B17</f>
        <v>31.4529058116232</v>
      </c>
      <c r="E67" s="68" t="n">
        <f aca="false">D67-C67</f>
        <v>-0.0470941883767786</v>
      </c>
      <c r="F67" s="42" t="str">
        <f aca="false">IF(ABS(E67)&lt;0.06,"reproduced",IF(ABS(E67)&lt;0.06*3,"rounding","CHECK"))</f>
        <v>reproduced</v>
      </c>
      <c r="G67" s="1" t="s">
        <v>288</v>
      </c>
    </row>
    <row r="68" customFormat="false" ht="15" hidden="false" customHeight="false" outlineLevel="0" collapsed="false">
      <c r="A68" s="38" t="s">
        <v>278</v>
      </c>
      <c r="B68" s="46" t="s">
        <v>298</v>
      </c>
      <c r="C68" s="60" t="n">
        <v>6480000</v>
      </c>
      <c r="D68" s="61" t="n">
        <f aca="false">'Capital account'!B29</f>
        <v>6480000</v>
      </c>
      <c r="E68" s="62" t="n">
        <f aca="false">D68-C68</f>
        <v>0</v>
      </c>
      <c r="F68" s="42" t="str">
        <f aca="false">IF(ABS(E68)&lt;0.5,"reproduced",IF(ABS(E68)&lt;0.5*3,"rounding","CHECK"))</f>
        <v>reproduced</v>
      </c>
      <c r="G68" s="1" t="s">
        <v>288</v>
      </c>
    </row>
    <row r="69" customFormat="false" ht="15" hidden="false" customHeight="false" outlineLevel="0" collapsed="false">
      <c r="A69" s="38" t="s">
        <v>299</v>
      </c>
      <c r="B69" s="46" t="s">
        <v>300</v>
      </c>
      <c r="C69" s="69" t="n">
        <v>12</v>
      </c>
      <c r="D69" s="70" t="n">
        <f aca="false">Reconciliations!C18</f>
        <v>12</v>
      </c>
      <c r="E69" s="71" t="n">
        <f aca="false">D69-C69</f>
        <v>0</v>
      </c>
      <c r="F69" s="42" t="str">
        <f aca="false">IF(ABS(E69)&lt;0.5,"reproduced",IF(ABS(E69)&lt;0.5*3,"rounding","CHECK"))</f>
        <v>reproduced</v>
      </c>
      <c r="G69" s="1" t="s">
        <v>288</v>
      </c>
    </row>
    <row r="71" customFormat="false" ht="15" hidden="false" customHeight="false" outlineLevel="0" collapsed="false">
      <c r="A71" s="21" t="s">
        <v>301</v>
      </c>
      <c r="C71" s="72" t="n">
        <f aca="false">COUNTIF(F5:F69,"reproduced")</f>
        <v>64</v>
      </c>
    </row>
    <row r="72" customFormat="false" ht="15" hidden="false" customHeight="false" outlineLevel="0" collapsed="false">
      <c r="A72" s="21" t="s">
        <v>302</v>
      </c>
      <c r="C72" s="72" t="n">
        <f aca="false">COUNTIF(F5:F69,"rounding")</f>
        <v>1</v>
      </c>
    </row>
    <row r="73" customFormat="false" ht="15" hidden="false" customHeight="false" outlineLevel="0" collapsed="false">
      <c r="A73" s="21" t="s">
        <v>303</v>
      </c>
      <c r="C73" s="72" t="n">
        <f aca="false">COUNTIF(F5:F69,"CHECK")</f>
        <v>0</v>
      </c>
    </row>
    <row r="74" customFormat="false" ht="15" hidden="false" customHeight="false" outlineLevel="0" collapsed="false">
      <c r="A74" s="21" t="s">
        <v>304</v>
      </c>
      <c r="C74" s="72" t="str">
        <f aca="false">IF(C73=0,"ALL OK",C73&amp;" to check")</f>
        <v>ALL OK</v>
      </c>
    </row>
  </sheetData>
  <mergeCells count="1">
    <mergeCell ref="H5:H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2026-08-20T04:07:27Z</dcterms:created>
  <dc:creator>openpyxl</dc:creator>
  <dc:description/>
  <dc:language>en-US</dc:language>
  <cp:lastModifiedBy/>
  <dcterms:modified xsi:type="dcterms:W3CDTF">2026-09-23T22:08:33Z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