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EC-IRBA" sheetId="1" state="visible" r:id="rId3"/>
    <sheet name="Capital released" sheetId="2" state="visible" r:id="rId4"/>
    <sheet name="Detachment grid" sheetId="3" state="visible" r:id="rId5"/>
    <sheet name="Thresholds" sheetId="4" state="visible" r:id="rId6"/>
    <sheet name="Control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<sst xmlns="http://schemas.openxmlformats.org/spreadsheetml/2006/main" count="215" uniqueCount="155">
  <si>
    <t xml:space="preserve">Tranche capital under SEC-IRBA</t>
  </si>
  <si>
    <t xml:space="preserve">Enter any attachment and detachment point. The risk weight falls out.</t>
  </si>
  <si>
    <t xml:space="preserve">Inputs</t>
  </si>
  <si>
    <t xml:space="preserve">KIRB</t>
  </si>
  <si>
    <t xml:space="preserve">Effective number of exposures</t>
  </si>
  <si>
    <t xml:space="preserve">Weighted average LGD</t>
  </si>
  <si>
    <t xml:space="preserve">Tranche maturity, years</t>
  </si>
  <si>
    <t xml:space="preserve">Attachment point</t>
  </si>
  <si>
    <t xml:space="preserve">Detachment point</t>
  </si>
  <si>
    <t xml:space="preserve">Is this the senior tranche?  (1 = yes)</t>
  </si>
  <si>
    <t xml:space="preserve">STS on-balance-sheet?  (1 = yes)</t>
  </si>
  <si>
    <t xml:space="preserve">Portfolio exposure</t>
  </si>
  <si>
    <t xml:space="preserve">Calculation</t>
  </si>
  <si>
    <t xml:space="preserve">p, before the floor</t>
  </si>
  <si>
    <t xml:space="preserve">p, floored at 0.30, halved if STS and senior</t>
  </si>
  <si>
    <t xml:space="preserve">a = -1/(p x KIRB)</t>
  </si>
  <si>
    <t xml:space="preserve">K under SEC-IRBA</t>
  </si>
  <si>
    <t xml:space="preserve">Risk-weight floor</t>
  </si>
  <si>
    <t xml:space="preserve">Risk weight</t>
  </si>
  <si>
    <t xml:space="preserve">Tranche notional</t>
  </si>
  <si>
    <t xml:space="preserve">RWA if retained</t>
  </si>
  <si>
    <t xml:space="preserve">Capital released by a two-tranche structure</t>
  </si>
  <si>
    <t xml:space="preserve">The book's shape: a junior tranche from zero to the detachment point, sold except a vertical slice, and a retained senior above it. KIRB, N, LGD, maturity and exposure come from the SEC-IRBA sheet.</t>
  </si>
  <si>
    <t xml:space="preserve">Detachment point of the junior tranche</t>
  </si>
  <si>
    <t xml:space="preserve">Share of the junior tranche retained, vertically</t>
  </si>
  <si>
    <t xml:space="preserve">RWA of the portfolio before the trade</t>
  </si>
  <si>
    <t xml:space="preserve">Expected loss of the portfolio, one year</t>
  </si>
  <si>
    <t xml:space="preserve">CET1 target</t>
  </si>
  <si>
    <t xml:space="preserve">Retained slice: 1 = deducted from CET1, 0 = risk-weighted</t>
  </si>
  <si>
    <t xml:space="preserve">STS on-balance-sheet, senior retained by the originator?  (1 = yes)</t>
  </si>
  <si>
    <t xml:space="preserve">Article 267 cap on the senior: 0 = not applied, 1 = pool average with EL x 12.5, 2 = RWA density only</t>
  </si>
  <si>
    <t xml:space="preserve">Senior p, floored at 0.30</t>
  </si>
  <si>
    <t xml:space="preserve">Senior p used  (halved and floored again under STS)</t>
  </si>
  <si>
    <t xml:space="preserve">Senior K under SEC-IRBA  (the slice below KIRB, if any, at 1250 percent)</t>
  </si>
  <si>
    <t xml:space="preserve">Senior risk weight, floor applied</t>
  </si>
  <si>
    <t xml:space="preserve">Article 267 cap, IRB reading: pool average risk weight with EL x 12.5</t>
  </si>
  <si>
    <t xml:space="preserve">Article 267 cap, as Chapter 9 words it: the pool's average risk weight</t>
  </si>
  <si>
    <t xml:space="preserve">Senior risk weight used</t>
  </si>
  <si>
    <t xml:space="preserve">Junior p  (non-senior coefficients)</t>
  </si>
  <si>
    <t xml:space="preserve">Junior risk weight</t>
  </si>
  <si>
    <t xml:space="preserve">Senior notional</t>
  </si>
  <si>
    <t xml:space="preserve">Junior notional</t>
  </si>
  <si>
    <t xml:space="preserve">Sold to the investor</t>
  </si>
  <si>
    <t xml:space="preserve">Retained vertically</t>
  </si>
  <si>
    <t xml:space="preserve">Result</t>
  </si>
  <si>
    <t xml:space="preserve">Capital held before the trade</t>
  </si>
  <si>
    <t xml:space="preserve">RWA after the trade</t>
  </si>
  <si>
    <t xml:space="preserve">Capital held after the trade</t>
  </si>
  <si>
    <t xml:space="preserve">Capital released</t>
  </si>
  <si>
    <t xml:space="preserve">Share of RWA released</t>
  </si>
  <si>
    <t xml:space="preserve">RWA density after</t>
  </si>
  <si>
    <t xml:space="preserve">Weight it, or deduct it  (Chapter 13)</t>
  </si>
  <si>
    <t xml:space="preserve">Capital after, slice deducted</t>
  </si>
  <si>
    <t xml:space="preserve">Capital after, slice risk-weighted</t>
  </si>
  <si>
    <t xml:space="preserve">What the wrong box costs</t>
  </si>
  <si>
    <t xml:space="preserve">A 1250 percent weight at the target, per euro  (100 percent at 8)</t>
  </si>
  <si>
    <t xml:space="preserve">The STS treatment  (Chapter 10), whatever row 11 says</t>
  </si>
  <si>
    <t xml:space="preserve">Senior p under STS</t>
  </si>
  <si>
    <t xml:space="preserve">Senior risk weight under STS</t>
  </si>
  <si>
    <t xml:space="preserve">Senior risk weight without it</t>
  </si>
  <si>
    <t xml:space="preserve">Capital released under STS</t>
  </si>
  <si>
    <t xml:space="preserve">Capital released without it</t>
  </si>
  <si>
    <t xml:space="preserve">What the label is worth in capital</t>
  </si>
  <si>
    <t xml:space="preserve">  of which the halved p  (the floor held at 15 percent)</t>
  </si>
  <si>
    <t xml:space="preserve">  of which the lower floor</t>
  </si>
  <si>
    <t xml:space="preserve">The p-factor moves the answer on its own  (Chapter 9)</t>
  </si>
  <si>
    <t xml:space="preserve">Multiple of the computed p</t>
  </si>
  <si>
    <t xml:space="preserve">p</t>
  </si>
  <si>
    <t xml:space="preserve">Senior risk weight</t>
  </si>
  <si>
    <t xml:space="preserve">Revised 24 September 2026. This sheet is the "capital released" the book promises for this workbook. Rows 19 and 20 are the Article 267 cap the book describes in Chapter 9 and never applies; it only matters for a senior that attaches well below KIRB (the 3 percent structure of Chapter 23).</t>
  </si>
  <si>
    <t xml:space="preserve">Every detachment point, from 3.00 to 14.00 percent</t>
  </si>
  <si>
    <t xml:space="preserve">Chapter 23's capital columns. Portfolio, retention, target and the treatment of the slice come from the Capital released sheet; the grid steps by a quarter of a point.</t>
  </si>
  <si>
    <t xml:space="preserve">Detachment</t>
  </si>
  <si>
    <t xml:space="preserve">Position</t>
  </si>
  <si>
    <t xml:space="preserve">Senior weight, STS</t>
  </si>
  <si>
    <t xml:space="preserve">Released, STS</t>
  </si>
  <si>
    <t xml:space="preserve">Released, Article 267 cap (IRB reading)</t>
  </si>
  <si>
    <t xml:space="preserve">Two thresholds the book describes and does not compute</t>
  </si>
  <si>
    <t xml:space="preserve">Left: the detachment at which the senior reaches its risk-weight floor. Right: the detachment at which the structure releases no capital at all. Forty halvings each; no goal seek.</t>
  </si>
  <si>
    <t xml:space="preserve">Step</t>
  </si>
  <si>
    <t xml:space="preserve">Low</t>
  </si>
  <si>
    <t xml:space="preserve">High</t>
  </si>
  <si>
    <t xml:space="preserve">Middle</t>
  </si>
  <si>
    <t xml:space="preserve">Senior weight, unfloored</t>
  </si>
  <si>
    <t xml:space="preserve">Floor reached at</t>
  </si>
  <si>
    <t xml:space="preserve">Nothing released at</t>
  </si>
  <si>
    <t xml:space="preserve">The optimum of Chapter 23 sits exactly at the left-hand answer: above it the senior cannot get lighter, while the notional and the coupon keep growing. The book's grid, in quarter points, lands on 9.75 percent.</t>
  </si>
  <si>
    <t xml:space="preserve">The right-hand answer is the correction to the book's "detach below KIRB and the structure destroys capital": on this pool it keeps releasing capital down to about 3.5 percent; below KIRB it releases less, fast.</t>
  </si>
  <si>
    <t xml:space="preserve">Controls</t>
  </si>
  <si>
    <t xml:space="preserve">Each row reproduces a figure printed in the book, or tests something that must hold.</t>
  </si>
  <si>
    <t xml:space="preserve">The first three rows use the default inputs of the SEC-IRBA sheet, which are the book's junior tranche. To check the senior, set attachment to the detachment point and detachment to 1.</t>
  </si>
  <si>
    <t xml:space="preserve">Figure</t>
  </si>
  <si>
    <t xml:space="preserve">Live formula</t>
  </si>
  <si>
    <t xml:space="preserve">Printed in the book</t>
  </si>
  <si>
    <t xml:space="preserve">Difference</t>
  </si>
  <si>
    <t xml:space="preserve">Status</t>
  </si>
  <si>
    <t xml:space="preserve">Note</t>
  </si>
  <si>
    <t xml:space="preserve">p for the junior tranche (non-senior, granular)</t>
  </si>
  <si>
    <t xml:space="preserve">Junior tranche risk weight</t>
  </si>
  <si>
    <t xml:space="preserve">Junior tranche notional</t>
  </si>
  <si>
    <t xml:space="preserve">Chapter 8</t>
  </si>
  <si>
    <t xml:space="preserve">Chapter 11</t>
  </si>
  <si>
    <t xml:space="preserve">Chapter 13</t>
  </si>
  <si>
    <t xml:space="preserve">1250 percent at 13.50 percent</t>
  </si>
  <si>
    <t xml:space="preserve">Chapter 10</t>
  </si>
  <si>
    <t xml:space="preserve">Chapter 9 and 10</t>
  </si>
  <si>
    <t xml:space="preserve">Chapter 10: EUR 0.0 million</t>
  </si>
  <si>
    <t xml:space="preserve">p at 70% of its value: senior weight</t>
  </si>
  <si>
    <t xml:space="preserve">Chapter 9</t>
  </si>
  <si>
    <t xml:space="preserve">p at 70% of its value: capital released</t>
  </si>
  <si>
    <t xml:space="preserve">p at 85% of its value: senior weight</t>
  </si>
  <si>
    <t xml:space="preserve">p at 85% of its value: capital released</t>
  </si>
  <si>
    <t xml:space="preserve">p at 100% of its value: senior weight</t>
  </si>
  <si>
    <t xml:space="preserve">p at 100% of its value: capital released</t>
  </si>
  <si>
    <t xml:space="preserve">p at 120% of its value: senior weight</t>
  </si>
  <si>
    <t xml:space="preserve">p at 120% of its value: capital released</t>
  </si>
  <si>
    <t xml:space="preserve">p at 140% of its value: senior weight</t>
  </si>
  <si>
    <t xml:space="preserve">p at 140% of its value: capital released</t>
  </si>
  <si>
    <t xml:space="preserve">Detachment 3.00%: senior weight</t>
  </si>
  <si>
    <t xml:space="preserve">Chapter 23</t>
  </si>
  <si>
    <t xml:space="preserve">Detachment 3.00%: capital released</t>
  </si>
  <si>
    <t xml:space="preserve">Detachment 4.00%: senior weight</t>
  </si>
  <si>
    <t xml:space="preserve">Detachment 4.00%: capital released</t>
  </si>
  <si>
    <t xml:space="preserve">Detachment 5.00%: senior weight</t>
  </si>
  <si>
    <t xml:space="preserve">Detachment 5.00%: capital released</t>
  </si>
  <si>
    <t xml:space="preserve">Detachment 6.00%: senior weight</t>
  </si>
  <si>
    <t xml:space="preserve">Detachment 6.00%: capital released</t>
  </si>
  <si>
    <t xml:space="preserve">Detachment 8.00%: senior weight</t>
  </si>
  <si>
    <t xml:space="preserve">Detachment 8.00%: capital released</t>
  </si>
  <si>
    <t xml:space="preserve">Detachment 9.00%: senior weight</t>
  </si>
  <si>
    <t xml:space="preserve">Detachment 9.00%: capital released</t>
  </si>
  <si>
    <t xml:space="preserve">Detachment 10.00%: senior weight</t>
  </si>
  <si>
    <t xml:space="preserve">Detachment 10.00%: capital released</t>
  </si>
  <si>
    <t xml:space="preserve">Detachment 11.00%: senior weight</t>
  </si>
  <si>
    <t xml:space="preserve">Detachment 11.00%: capital released</t>
  </si>
  <si>
    <t xml:space="preserve">Detachment 12.50%: senior weight</t>
  </si>
  <si>
    <t xml:space="preserve">Detachment 12.50%: capital released</t>
  </si>
  <si>
    <t xml:space="preserve">The senior reaches its floor at</t>
  </si>
  <si>
    <t xml:space="preserve">not printed</t>
  </si>
  <si>
    <t xml:space="preserve">not printed; the book says "about 10.00 percent". It is 9.74</t>
  </si>
  <si>
    <t xml:space="preserve">  the floor is reached between 9.50 and 10.00 percent</t>
  </si>
  <si>
    <t xml:space="preserve">—</t>
  </si>
  <si>
    <t xml:space="preserve">so 9.75, the book's optimum on its grid, is the first quarter point past it</t>
  </si>
  <si>
    <t xml:space="preserve">Detachment at which nothing is released</t>
  </si>
  <si>
    <t xml:space="preserve">not printed. It is about 3.54 percent</t>
  </si>
  <si>
    <t xml:space="preserve">  it lies between 3.00 and 4.00 percent, below KIRB</t>
  </si>
  <si>
    <t xml:space="preserve">the book's own table: -35.5 at 3.00, +30.0 at 4.00</t>
  </si>
  <si>
    <t xml:space="preserve">  and every detachment from 4.00 percent to KIRB releases capital</t>
  </si>
  <si>
    <t xml:space="preserve">contrary to "detach below KIRB and the structure destroys capital"</t>
  </si>
  <si>
    <t xml:space="preserve">The Article 267 cap can only improve the answer</t>
  </si>
  <si>
    <t xml:space="preserve">at 3.00 percent: -16.5 million instead of -35.5</t>
  </si>
  <si>
    <t xml:space="preserve">At the floor the unfloored weight equals the floor</t>
  </si>
  <si>
    <t xml:space="preserve">At the break-even point the release is nil</t>
  </si>
  <si>
    <t xml:space="preserve">Failures</t>
  </si>
  <si>
    <t xml:space="preserve">All checks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</si>
</sst>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.0000%"/>
    <numFmt numFmtId="166" formatCode="0.0"/>
    <numFmt numFmtId="167" formatCode="0.00%"/>
    <numFmt numFmtId="168" formatCode="0"/>
    <numFmt numFmtId="169" formatCode="#,##0"/>
    <numFmt numFmtId="170" formatCode="0.0000"/>
    <numFmt numFmtId="171" formatCode="0.00"/>
    <numFmt numFmtId="172" formatCode="0.000000"/>
    <numFmt numFmtId="173" formatCode="0%"/>
    <numFmt numFmtId="17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CC"/>
      <name val="Arial"/>
      <family val="0"/>
      <charset val="1"/>
    </font>
    <font>
      <sz val="9"/>
      <name val="Arial"/>
      <family val="0"/>
      <charset val="1"/>
    </font>
    <font>
      <sz val="9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EEEEE"/>
      </patternFill>
    </fill>
    <fill>
      <patternFill patternType="solid">
        <fgColor rgb="FFEEEEEE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6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n">
        <v>0.0650502119559025</v>
      </c>
    </row>
    <row r="6" customFormat="false" ht="15" hidden="false" customHeight="false" outlineLevel="0" collapsed="false">
      <c r="A6" s="4" t="s">
        <v>4</v>
      </c>
      <c r="B6" s="6" t="n">
        <v>166.272130253699</v>
      </c>
    </row>
    <row r="7" customFormat="false" ht="15" hidden="false" customHeight="false" outlineLevel="0" collapsed="false">
      <c r="A7" s="4" t="s">
        <v>5</v>
      </c>
      <c r="B7" s="7" t="n">
        <v>0.40615</v>
      </c>
    </row>
    <row r="8" customFormat="false" ht="15" hidden="false" customHeight="false" outlineLevel="0" collapsed="false">
      <c r="A8" s="4" t="s">
        <v>6</v>
      </c>
      <c r="B8" s="6" t="n">
        <v>5</v>
      </c>
    </row>
    <row r="9" customFormat="false" ht="15" hidden="false" customHeight="false" outlineLevel="0" collapsed="false">
      <c r="A9" s="4" t="s">
        <v>7</v>
      </c>
      <c r="B9" s="7" t="n">
        <v>0</v>
      </c>
    </row>
    <row r="10" customFormat="false" ht="15" hidden="false" customHeight="false" outlineLevel="0" collapsed="false">
      <c r="A10" s="4" t="s">
        <v>8</v>
      </c>
      <c r="B10" s="7" t="n">
        <v>0.07</v>
      </c>
    </row>
    <row r="11" customFormat="false" ht="15" hidden="false" customHeight="false" outlineLevel="0" collapsed="false">
      <c r="A11" s="4" t="s">
        <v>9</v>
      </c>
      <c r="B11" s="8" t="n">
        <v>0</v>
      </c>
    </row>
    <row r="12" customFormat="false" ht="15" hidden="false" customHeight="false" outlineLevel="0" collapsed="false">
      <c r="A12" s="4" t="s">
        <v>10</v>
      </c>
      <c r="B12" s="8" t="n">
        <v>0</v>
      </c>
    </row>
    <row r="13" customFormat="false" ht="15" hidden="false" customHeight="false" outlineLevel="0" collapsed="false">
      <c r="A13" s="4" t="s">
        <v>11</v>
      </c>
      <c r="B13" s="9" t="n">
        <v>4000000000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4" t="s">
        <v>13</v>
      </c>
      <c r="B16" s="10" t="n">
        <f aca="false">IF(B11=1,IF(B6&gt;=25,0,0.11),IF(B6&gt;=25,0.16,0.22))+IF(B11=1,IF(B6&gt;=25,3.56,2.61),IF(B6&gt;=25,2.87,2.35))/B6+IF(B11=1,IF(B6&gt;=25,-1.85,-2.91),IF(B6&gt;=25,-1.03,-2.46))*B5+IF(B11=1,IF(B6&gt;=25,0.55,0.68),IF(B6&gt;=25,0.21,0.48))*B7+0.07*B8</f>
        <v>0.545550641912693</v>
      </c>
    </row>
    <row r="17" customFormat="false" ht="15" hidden="false" customHeight="false" outlineLevel="0" collapsed="false">
      <c r="A17" s="4" t="s">
        <v>14</v>
      </c>
      <c r="B17" s="10" t="n">
        <f aca="false">MAX(0.3,IF(AND(B11=1,B12=1),MAX(0.3,B16)/2,B16))</f>
        <v>0.545550641912693</v>
      </c>
    </row>
    <row r="18" customFormat="false" ht="15" hidden="false" customHeight="false" outlineLevel="0" collapsed="false">
      <c r="A18" s="4" t="s">
        <v>15</v>
      </c>
      <c r="B18" s="11" t="n">
        <f aca="false">-1/(B17*B5)</f>
        <v>-28.1783924177864</v>
      </c>
    </row>
    <row r="19" customFormat="false" ht="15" hidden="false" customHeight="false" outlineLevel="0" collapsed="false">
      <c r="A19" s="4" t="s">
        <v>16</v>
      </c>
      <c r="B19" s="10" t="n">
        <f aca="false">IF(B10&lt;=B5,1,IF(B9&gt;=B5,(EXP(B18*(MAX(B10,B5)-B5))-EXP(B18*(MAX(MAX(B9,B5)-B5,0))))/(B18*((MAX(B10,B5)-B5)-(MAX(MAX(B9,B5)-B5,0)))),(B5-B9)/(B10-B9)*1+(1-(B5-B9)/(B10-B9))*(EXP(B18*(MAX(B10,B5)-B5))-EXP(B18*(MAX(MAX(B9,B5)-B5,0))))/(B18*((MAX(B10,B5)-B5)-(MAX(MAX(B9,B5)-B5,0))))))</f>
        <v>0.995290191741239</v>
      </c>
    </row>
    <row r="20" customFormat="false" ht="15" hidden="false" customHeight="false" outlineLevel="0" collapsed="false">
      <c r="A20" s="4" t="s">
        <v>17</v>
      </c>
      <c r="B20" s="12" t="n">
        <f aca="false">IF(AND(B11=1,B12=1),0.1,0.15)</f>
        <v>0.15</v>
      </c>
    </row>
    <row r="21" customFormat="false" ht="15" hidden="false" customHeight="false" outlineLevel="0" collapsed="false">
      <c r="A21" s="4" t="s">
        <v>18</v>
      </c>
      <c r="B21" s="12" t="n">
        <f aca="false">MAX(B20,B19*12.5)</f>
        <v>12.4411273967655</v>
      </c>
    </row>
    <row r="22" customFormat="false" ht="15" hidden="false" customHeight="false" outlineLevel="0" collapsed="false">
      <c r="A22" s="4" t="s">
        <v>19</v>
      </c>
      <c r="B22" s="13" t="n">
        <f aca="false">(B10-B9)*B13</f>
        <v>280000000</v>
      </c>
    </row>
    <row r="23" customFormat="false" ht="15" hidden="false" customHeight="false" outlineLevel="0" collapsed="false">
      <c r="A23" s="4" t="s">
        <v>20</v>
      </c>
      <c r="B23" s="13" t="n">
        <f aca="false">B21*B22</f>
        <v>3483515671.09434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18"/>
    <col collapsed="false" customWidth="true" hidden="false" outlineLevel="0" max="5" min="3" style="0" width="16"/>
  </cols>
  <sheetData>
    <row r="1" customFormat="false" ht="15" hidden="false" customHeight="false" outlineLevel="0" collapsed="false">
      <c r="A1" s="1" t="s">
        <v>21</v>
      </c>
    </row>
    <row r="2" customFormat="false" ht="15" hidden="false" customHeight="false" outlineLevel="0" collapsed="false">
      <c r="A2" s="14" t="s">
        <v>22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23</v>
      </c>
      <c r="B5" s="7" t="n">
        <v>0.07</v>
      </c>
    </row>
    <row r="6" customFormat="false" ht="15" hidden="false" customHeight="false" outlineLevel="0" collapsed="false">
      <c r="A6" s="4" t="s">
        <v>24</v>
      </c>
      <c r="B6" s="7" t="n">
        <v>0.05</v>
      </c>
    </row>
    <row r="7" customFormat="false" ht="15" hidden="false" customHeight="false" outlineLevel="0" collapsed="false">
      <c r="A7" s="4" t="s">
        <v>25</v>
      </c>
      <c r="B7" s="9" t="n">
        <v>3077076597.79512</v>
      </c>
    </row>
    <row r="8" customFormat="false" ht="15" hidden="false" customHeight="false" outlineLevel="0" collapsed="false">
      <c r="A8" s="4" t="s">
        <v>26</v>
      </c>
      <c r="B8" s="9" t="n">
        <v>14034720</v>
      </c>
    </row>
    <row r="9" customFormat="false" ht="15" hidden="false" customHeight="false" outlineLevel="0" collapsed="false">
      <c r="A9" s="4" t="s">
        <v>27</v>
      </c>
      <c r="B9" s="7" t="n">
        <v>0.135</v>
      </c>
    </row>
    <row r="10" customFormat="false" ht="15" hidden="false" customHeight="false" outlineLevel="0" collapsed="false">
      <c r="A10" s="4" t="s">
        <v>28</v>
      </c>
      <c r="B10" s="8" t="n">
        <v>1</v>
      </c>
    </row>
    <row r="11" customFormat="false" ht="15" hidden="false" customHeight="false" outlineLevel="0" collapsed="false">
      <c r="A11" s="4" t="s">
        <v>29</v>
      </c>
      <c r="B11" s="8" t="n">
        <v>0</v>
      </c>
    </row>
    <row r="12" customFormat="false" ht="15" hidden="false" customHeight="false" outlineLevel="0" collapsed="false">
      <c r="A12" s="4" t="s">
        <v>30</v>
      </c>
      <c r="B12" s="8" t="n">
        <v>0</v>
      </c>
    </row>
    <row r="14" customFormat="false" ht="15" hidden="false" customHeight="false" outlineLevel="0" collapsed="false">
      <c r="A14" s="3" t="s">
        <v>12</v>
      </c>
    </row>
    <row r="15" customFormat="false" ht="15" hidden="false" customHeight="false" outlineLevel="0" collapsed="false">
      <c r="A15" s="4" t="s">
        <v>31</v>
      </c>
      <c r="B15" s="10" t="n">
        <f aca="false">MAX(0.3,IF('SEC-IRBA'!$B$6&gt;=25,0+3.56/'SEC-IRBA'!$B$6+(-1.85)*'SEC-IRBA'!$B$5+0.55*'SEC-IRBA'!$B$7+0.07*'SEC-IRBA'!$B$8,0.11+2.61/'SEC-IRBA'!$B$6+(-2.91)*'SEC-IRBA'!$B$5+0.68*'SEC-IRBA'!$B$7+0.07*'SEC-IRBA'!$B$8))</f>
        <v>0.474450291647814</v>
      </c>
    </row>
    <row r="16" customFormat="false" ht="15" hidden="false" customHeight="false" outlineLevel="0" collapsed="false">
      <c r="A16" s="4" t="s">
        <v>32</v>
      </c>
      <c r="B16" s="10" t="n">
        <f aca="false">IF(B11=1,MAX(0.3,B15/2),B15)</f>
        <v>0.474450291647814</v>
      </c>
    </row>
    <row r="17" customFormat="false" ht="15" hidden="false" customHeight="false" outlineLevel="0" collapsed="false">
      <c r="A17" s="4" t="s">
        <v>33</v>
      </c>
      <c r="B17" s="15" t="n">
        <f aca="false">IF((1)&lt;=('SEC-IRBA'!$B$5),1,IF((B5)&gt;=('SEC-IRBA'!$B$5),(EXP((-1/((B16)*('SEC-IRBA'!$B$5)))*((1)-('SEC-IRBA'!$B$5)))-EXP((-1/((B16)*('SEC-IRBA'!$B$5)))*MAX((B5)-('SEC-IRBA'!$B$5),0)))/((-1/((B16)*('SEC-IRBA'!$B$5)))*(((1)-('SEC-IRBA'!$B$5))-MAX((B5)-('SEC-IRBA'!$B$5),0))),(('SEC-IRBA'!$B$5)-(B5))/((1)-(B5))+(1-(('SEC-IRBA'!$B$5)-(B5))/((1)-(B5)))*(EXP((-1/((B16)*('SEC-IRBA'!$B$5)))*((1)-('SEC-IRBA'!$B$5)))-EXP((-1/((B16)*('SEC-IRBA'!$B$5)))*MAX(('SEC-IRBA'!$B$5)-('SEC-IRBA'!$B$5),0)))/((-1/((B16)*('SEC-IRBA'!$B$5)))*(((1)-('SEC-IRBA'!$B$5))-MAX(('SEC-IRBA'!$B$5)-('SEC-IRBA'!$B$5),0)))))</f>
        <v>0.0282686340686295</v>
      </c>
    </row>
    <row r="18" customFormat="false" ht="15" hidden="false" customHeight="false" outlineLevel="0" collapsed="false">
      <c r="A18" s="4" t="s">
        <v>34</v>
      </c>
      <c r="B18" s="12" t="n">
        <f aca="false">MAX(IF(B11=1,0.1,0.15),12.5*B17)</f>
        <v>0.353357925857869</v>
      </c>
    </row>
    <row r="19" customFormat="false" ht="15" hidden="false" customHeight="false" outlineLevel="0" collapsed="false">
      <c r="A19" s="4" t="s">
        <v>35</v>
      </c>
      <c r="B19" s="12" t="n">
        <f aca="false">(B7+12.5*B8)/'SEC-IRBA'!$B$13</f>
        <v>0.813127649448781</v>
      </c>
    </row>
    <row r="20" customFormat="false" ht="15" hidden="false" customHeight="false" outlineLevel="0" collapsed="false">
      <c r="A20" s="4" t="s">
        <v>36</v>
      </c>
      <c r="B20" s="12" t="n">
        <f aca="false">B7/'SEC-IRBA'!$B$13</f>
        <v>0.769269149448781</v>
      </c>
    </row>
    <row r="21" customFormat="false" ht="15" hidden="false" customHeight="false" outlineLevel="0" collapsed="false">
      <c r="A21" s="3" t="s">
        <v>37</v>
      </c>
      <c r="B21" s="16" t="n">
        <f aca="false">IF(B12=1,MIN(B18,B19),IF(B12=2,MIN(B18,B20),B18))</f>
        <v>0.353357925857869</v>
      </c>
    </row>
    <row r="22" customFormat="false" ht="15" hidden="false" customHeight="false" outlineLevel="0" collapsed="false">
      <c r="A22" s="4" t="s">
        <v>38</v>
      </c>
      <c r="B22" s="10" t="n">
        <f aca="false">MAX(0.3,IF('SEC-IRBA'!$B$6&gt;=25,0.16+2.87/'SEC-IRBA'!$B$6+(-1.03)*'SEC-IRBA'!$B$5+0.21*'SEC-IRBA'!$B$7+0.07*'SEC-IRBA'!$B$8,0.22+2.35/'SEC-IRBA'!$B$6+(-2.46)*'SEC-IRBA'!$B$5+0.48*'SEC-IRBA'!$B$7+0.07*'SEC-IRBA'!$B$8))</f>
        <v>0.545550641912693</v>
      </c>
    </row>
    <row r="23" customFormat="false" ht="15" hidden="false" customHeight="false" outlineLevel="0" collapsed="false">
      <c r="A23" s="4" t="s">
        <v>39</v>
      </c>
      <c r="B23" s="12" t="n">
        <f aca="false">MAX(0.15,12.5*IF((B5)&lt;=('SEC-IRBA'!$B$5),1,IF((0)&gt;=('SEC-IRBA'!$B$5),(EXP((-1/((B22)*('SEC-IRBA'!$B$5)))*((B5)-('SEC-IRBA'!$B$5)))-EXP((-1/((B22)*('SEC-IRBA'!$B$5)))*MAX((0)-('SEC-IRBA'!$B$5),0)))/((-1/((B22)*('SEC-IRBA'!$B$5)))*(((B5)-('SEC-IRBA'!$B$5))-MAX((0)-('SEC-IRBA'!$B$5),0))),(('SEC-IRBA'!$B$5)-(0))/((B5)-(0))+(1-(('SEC-IRBA'!$B$5)-(0))/((B5)-(0)))*(EXP((-1/((B22)*('SEC-IRBA'!$B$5)))*((B5)-('SEC-IRBA'!$B$5)))-EXP((-1/((B22)*('SEC-IRBA'!$B$5)))*MAX(('SEC-IRBA'!$B$5)-('SEC-IRBA'!$B$5),0)))/((-1/((B22)*('SEC-IRBA'!$B$5)))*(((B5)-('SEC-IRBA'!$B$5))-MAX(('SEC-IRBA'!$B$5)-('SEC-IRBA'!$B$5),0))))))</f>
        <v>12.4411273967655</v>
      </c>
    </row>
    <row r="24" customFormat="false" ht="15" hidden="false" customHeight="false" outlineLevel="0" collapsed="false">
      <c r="A24" s="4" t="s">
        <v>40</v>
      </c>
      <c r="B24" s="13" t="n">
        <f aca="false">(1-B5)*'SEC-IRBA'!$B$13</f>
        <v>3720000000</v>
      </c>
    </row>
    <row r="25" customFormat="false" ht="15" hidden="false" customHeight="false" outlineLevel="0" collapsed="false">
      <c r="A25" s="4" t="s">
        <v>41</v>
      </c>
      <c r="B25" s="13" t="n">
        <f aca="false">B5*'SEC-IRBA'!$B$13</f>
        <v>280000000</v>
      </c>
    </row>
    <row r="26" customFormat="false" ht="15" hidden="false" customHeight="false" outlineLevel="0" collapsed="false">
      <c r="A26" s="4" t="s">
        <v>42</v>
      </c>
      <c r="B26" s="13" t="n">
        <f aca="false">B25*(1-B6)</f>
        <v>266000000</v>
      </c>
    </row>
    <row r="27" customFormat="false" ht="15" hidden="false" customHeight="false" outlineLevel="0" collapsed="false">
      <c r="A27" s="4" t="s">
        <v>43</v>
      </c>
      <c r="B27" s="13" t="n">
        <f aca="false">B25*B6</f>
        <v>14000000</v>
      </c>
    </row>
    <row r="29" customFormat="false" ht="15" hidden="false" customHeight="false" outlineLevel="0" collapsed="false">
      <c r="A29" s="3" t="s">
        <v>44</v>
      </c>
    </row>
    <row r="30" customFormat="false" ht="15" hidden="false" customHeight="false" outlineLevel="0" collapsed="false">
      <c r="A30" s="4" t="s">
        <v>45</v>
      </c>
      <c r="B30" s="13" t="n">
        <f aca="false">B7*B9</f>
        <v>415405340.702342</v>
      </c>
    </row>
    <row r="31" customFormat="false" ht="15" hidden="false" customHeight="false" outlineLevel="0" collapsed="false">
      <c r="A31" s="4" t="s">
        <v>46</v>
      </c>
      <c r="B31" s="13" t="n">
        <f aca="false">B21*B24+IF(B10=1,0,B23*B27)</f>
        <v>1314491484.19127</v>
      </c>
    </row>
    <row r="32" customFormat="false" ht="15" hidden="false" customHeight="false" outlineLevel="0" collapsed="false">
      <c r="A32" s="4" t="s">
        <v>47</v>
      </c>
      <c r="B32" s="13" t="n">
        <f aca="false">B31*B9+IF(B10=1,B27,0)</f>
        <v>191456350.365822</v>
      </c>
    </row>
    <row r="33" customFormat="false" ht="15" hidden="false" customHeight="false" outlineLevel="0" collapsed="false">
      <c r="A33" s="3" t="s">
        <v>48</v>
      </c>
      <c r="B33" s="17" t="n">
        <f aca="false">B30-B32</f>
        <v>223948990.33652</v>
      </c>
    </row>
    <row r="34" customFormat="false" ht="15" hidden="false" customHeight="false" outlineLevel="0" collapsed="false">
      <c r="A34" s="4" t="s">
        <v>49</v>
      </c>
      <c r="B34" s="12" t="n">
        <f aca="false">1-B31/B7</f>
        <v>0.572811581897841</v>
      </c>
    </row>
    <row r="35" customFormat="false" ht="15" hidden="false" customHeight="false" outlineLevel="0" collapsed="false">
      <c r="A35" s="4" t="s">
        <v>50</v>
      </c>
      <c r="B35" s="12" t="n">
        <f aca="false">B31/'SEC-IRBA'!$B$13</f>
        <v>0.328622871047818</v>
      </c>
    </row>
    <row r="37" customFormat="false" ht="15" hidden="false" customHeight="false" outlineLevel="0" collapsed="false">
      <c r="A37" s="3" t="s">
        <v>51</v>
      </c>
    </row>
    <row r="38" customFormat="false" ht="15" hidden="false" customHeight="false" outlineLevel="0" collapsed="false">
      <c r="A38" s="4" t="s">
        <v>52</v>
      </c>
      <c r="B38" s="13" t="n">
        <f aca="false">B21*B24*B9+B27</f>
        <v>191456350.365822</v>
      </c>
    </row>
    <row r="39" customFormat="false" ht="15" hidden="false" customHeight="false" outlineLevel="0" collapsed="false">
      <c r="A39" s="4" t="s">
        <v>53</v>
      </c>
      <c r="B39" s="13" t="n">
        <f aca="false">(B21*B24+B23*B27)*B9</f>
        <v>200970081.145709</v>
      </c>
    </row>
    <row r="40" customFormat="false" ht="15" hidden="false" customHeight="false" outlineLevel="0" collapsed="false">
      <c r="A40" s="3" t="s">
        <v>54</v>
      </c>
      <c r="B40" s="17" t="n">
        <f aca="false">B39-B38</f>
        <v>9513730.77988675</v>
      </c>
    </row>
    <row r="41" customFormat="false" ht="15" hidden="false" customHeight="false" outlineLevel="0" collapsed="false">
      <c r="A41" s="4" t="s">
        <v>55</v>
      </c>
      <c r="B41" s="12" t="n">
        <f aca="false">12.5*B9</f>
        <v>1.6875</v>
      </c>
    </row>
    <row r="43" customFormat="false" ht="15" hidden="false" customHeight="false" outlineLevel="0" collapsed="false">
      <c r="A43" s="3" t="s">
        <v>56</v>
      </c>
    </row>
    <row r="44" customFormat="false" ht="15" hidden="false" customHeight="false" outlineLevel="0" collapsed="false">
      <c r="A44" s="4" t="s">
        <v>57</v>
      </c>
      <c r="B44" s="10" t="n">
        <f aca="false">MAX(0.3,B15/2)</f>
        <v>0.3</v>
      </c>
    </row>
    <row r="45" customFormat="false" ht="15" hidden="false" customHeight="false" outlineLevel="0" collapsed="false">
      <c r="A45" s="4" t="s">
        <v>58</v>
      </c>
      <c r="B45" s="12" t="n">
        <f aca="false">MAX(0.1,12.5*IF((1)&lt;=('SEC-IRBA'!$B$5),1,IF((B5)&gt;=('SEC-IRBA'!$B$5),(EXP((-1/((B44)*('SEC-IRBA'!$B$5)))*((1)-('SEC-IRBA'!$B$5)))-EXP((-1/((B44)*('SEC-IRBA'!$B$5)))*MAX((B5)-('SEC-IRBA'!$B$5),0)))/((-1/((B44)*('SEC-IRBA'!$B$5)))*(((1)-('SEC-IRBA'!$B$5))-MAX((B5)-('SEC-IRBA'!$B$5),0))),(('SEC-IRBA'!$B$5)-(B5))/((1)-(B5))+(1-(('SEC-IRBA'!$B$5)-(B5))/((1)-(B5)))*(EXP((-1/((B44)*('SEC-IRBA'!$B$5)))*((1)-('SEC-IRBA'!$B$5)))-EXP((-1/((B44)*('SEC-IRBA'!$B$5)))*MAX(('SEC-IRBA'!$B$5)-('SEC-IRBA'!$B$5),0)))/((-1/((B44)*('SEC-IRBA'!$B$5)))*(((1)-('SEC-IRBA'!$B$5))-MAX(('SEC-IRBA'!$B$5)-('SEC-IRBA'!$B$5),0))))))</f>
        <v>0.203536763805318</v>
      </c>
    </row>
    <row r="46" customFormat="false" ht="15" hidden="false" customHeight="false" outlineLevel="0" collapsed="false">
      <c r="A46" s="4" t="s">
        <v>59</v>
      </c>
      <c r="B46" s="12" t="n">
        <f aca="false">MAX(0.15,12.5*IF((1)&lt;=('SEC-IRBA'!$B$5),1,IF((B5)&gt;=('SEC-IRBA'!$B$5),(EXP((-1/((B15)*('SEC-IRBA'!$B$5)))*((1)-('SEC-IRBA'!$B$5)))-EXP((-1/((B15)*('SEC-IRBA'!$B$5)))*MAX((B5)-('SEC-IRBA'!$B$5),0)))/((-1/((B15)*('SEC-IRBA'!$B$5)))*(((1)-('SEC-IRBA'!$B$5))-MAX((B5)-('SEC-IRBA'!$B$5),0))),(('SEC-IRBA'!$B$5)-(B5))/((1)-(B5))+(1-(('SEC-IRBA'!$B$5)-(B5))/((1)-(B5)))*(EXP((-1/((B15)*('SEC-IRBA'!$B$5)))*((1)-('SEC-IRBA'!$B$5)))-EXP((-1/((B15)*('SEC-IRBA'!$B$5)))*MAX(('SEC-IRBA'!$B$5)-('SEC-IRBA'!$B$5),0)))/((-1/((B15)*('SEC-IRBA'!$B$5)))*(((1)-('SEC-IRBA'!$B$5))-MAX(('SEC-IRBA'!$B$5)-('SEC-IRBA'!$B$5),0))))))</f>
        <v>0.353357925857869</v>
      </c>
    </row>
    <row r="47" customFormat="false" ht="15" hidden="false" customHeight="false" outlineLevel="0" collapsed="false">
      <c r="A47" s="4" t="s">
        <v>60</v>
      </c>
      <c r="B47" s="13" t="n">
        <f aca="false">B30-(B45*B24*B9+B27)</f>
        <v>299189177.919311</v>
      </c>
    </row>
    <row r="48" customFormat="false" ht="15" hidden="false" customHeight="false" outlineLevel="0" collapsed="false">
      <c r="A48" s="4" t="s">
        <v>61</v>
      </c>
      <c r="B48" s="13" t="n">
        <f aca="false">B30-(B46*B24*B9+B27)</f>
        <v>223948990.33652</v>
      </c>
    </row>
    <row r="49" customFormat="false" ht="15" hidden="false" customHeight="false" outlineLevel="0" collapsed="false">
      <c r="A49" s="3" t="s">
        <v>62</v>
      </c>
      <c r="B49" s="17" t="n">
        <f aca="false">B47-B48</f>
        <v>75240187.5827911</v>
      </c>
    </row>
    <row r="50" customFormat="false" ht="15" hidden="false" customHeight="false" outlineLevel="0" collapsed="false">
      <c r="A50" s="4" t="s">
        <v>63</v>
      </c>
      <c r="B50" s="13" t="n">
        <f aca="false">B30-(MAX(0.15,12.5*IF((1)&lt;=('SEC-IRBA'!$B$5),1,IF((B5)&gt;=('SEC-IRBA'!$B$5),(EXP((-1/((B44)*('SEC-IRBA'!$B$5)))*((1)-('SEC-IRBA'!$B$5)))-EXP((-1/((B44)*('SEC-IRBA'!$B$5)))*MAX((B5)-('SEC-IRBA'!$B$5),0)))/((-1/((B44)*('SEC-IRBA'!$B$5)))*(((1)-('SEC-IRBA'!$B$5))-MAX((B5)-('SEC-IRBA'!$B$5),0))),(('SEC-IRBA'!$B$5)-(B5))/((1)-(B5))+(1-(('SEC-IRBA'!$B$5)-(B5))/((1)-(B5)))*(EXP((-1/((B44)*('SEC-IRBA'!$B$5)))*((1)-('SEC-IRBA'!$B$5)))-EXP((-1/((B44)*('SEC-IRBA'!$B$5)))*MAX(('SEC-IRBA'!$B$5)-('SEC-IRBA'!$B$5),0)))/((-1/((B44)*('SEC-IRBA'!$B$5)))*(((1)-('SEC-IRBA'!$B$5))-MAX(('SEC-IRBA'!$B$5)-('SEC-IRBA'!$B$5),0))))))*B24*B9+B27)-B48</f>
        <v>75240187.5827911</v>
      </c>
    </row>
    <row r="51" customFormat="false" ht="15" hidden="false" customHeight="false" outlineLevel="0" collapsed="false">
      <c r="A51" s="4" t="s">
        <v>64</v>
      </c>
      <c r="B51" s="13" t="n">
        <f aca="false">B49-B50</f>
        <v>0</v>
      </c>
    </row>
    <row r="53" customFormat="false" ht="15" hidden="false" customHeight="false" outlineLevel="0" collapsed="false">
      <c r="A53" s="3" t="s">
        <v>65</v>
      </c>
    </row>
    <row r="54" customFormat="false" ht="15" hidden="false" customHeight="false" outlineLevel="0" collapsed="false">
      <c r="A54" s="18" t="s">
        <v>66</v>
      </c>
      <c r="B54" s="18" t="s">
        <v>67</v>
      </c>
      <c r="C54" s="18" t="s">
        <v>68</v>
      </c>
      <c r="D54" s="18" t="s">
        <v>48</v>
      </c>
    </row>
    <row r="55" customFormat="false" ht="15" hidden="false" customHeight="false" outlineLevel="0" collapsed="false">
      <c r="A55" s="19" t="n">
        <v>0.7</v>
      </c>
      <c r="B55" s="10" t="n">
        <f aca="false">MAX(0.3,$B$15*A55)</f>
        <v>0.33211520415347</v>
      </c>
      <c r="C55" s="12" t="n">
        <f aca="false">MAX(0.15,12.5*IF((1)&lt;=('SEC-IRBA'!$B$5),1,IF(($B$5)&gt;=('SEC-IRBA'!$B$5),(EXP((-1/((B55)*('SEC-IRBA'!$B$5)))*((1)-('SEC-IRBA'!$B$5)))-EXP((-1/((B55)*('SEC-IRBA'!$B$5)))*MAX(($B$5)-('SEC-IRBA'!$B$5),0)))/((-1/((B55)*('SEC-IRBA'!$B$5)))*(((1)-('SEC-IRBA'!$B$5))-MAX(($B$5)-('SEC-IRBA'!$B$5),0))),(('SEC-IRBA'!$B$5)-($B$5))/((1)-($B$5))+(1-(('SEC-IRBA'!$B$5)-($B$5))/((1)-($B$5)))*(EXP((-1/((B55)*('SEC-IRBA'!$B$5)))*((1)-('SEC-IRBA'!$B$5)))-EXP((-1/((B55)*('SEC-IRBA'!$B$5)))*MAX(('SEC-IRBA'!$B$5)-('SEC-IRBA'!$B$5),0)))/((-1/((B55)*('SEC-IRBA'!$B$5)))*(((1)-('SEC-IRBA'!$B$5))-MAX(('SEC-IRBA'!$B$5)-('SEC-IRBA'!$B$5),0))))))</f>
        <v>0.230920327652676</v>
      </c>
      <c r="D55" s="13" t="n">
        <f aca="false">$B$30-(C55*$B$24*$B$9+$B$27)</f>
        <v>285437152.155168</v>
      </c>
    </row>
    <row r="56" customFormat="false" ht="15" hidden="false" customHeight="false" outlineLevel="0" collapsed="false">
      <c r="A56" s="19" t="n">
        <v>0.85</v>
      </c>
      <c r="B56" s="10" t="n">
        <f aca="false">MAX(0.3,$B$15*A56)</f>
        <v>0.403282747900642</v>
      </c>
      <c r="C56" s="12" t="n">
        <f aca="false">MAX(0.15,12.5*IF((1)&lt;=('SEC-IRBA'!$B$5),1,IF(($B$5)&gt;=('SEC-IRBA'!$B$5),(EXP((-1/((B56)*('SEC-IRBA'!$B$5)))*((1)-('SEC-IRBA'!$B$5)))-EXP((-1/((B56)*('SEC-IRBA'!$B$5)))*MAX(($B$5)-('SEC-IRBA'!$B$5),0)))/((-1/((B56)*('SEC-IRBA'!$B$5)))*(((1)-('SEC-IRBA'!$B$5))-MAX(($B$5)-('SEC-IRBA'!$B$5),0))),(('SEC-IRBA'!$B$5)-($B$5))/((1)-($B$5))+(1-(('SEC-IRBA'!$B$5)-($B$5))/((1)-($B$5)))*(EXP((-1/((B56)*('SEC-IRBA'!$B$5)))*((1)-('SEC-IRBA'!$B$5)))-EXP((-1/((B56)*('SEC-IRBA'!$B$5)))*MAX(('SEC-IRBA'!$B$5)-('SEC-IRBA'!$B$5),0)))/((-1/((B56)*('SEC-IRBA'!$B$5)))*(((1)-('SEC-IRBA'!$B$5))-MAX(('SEC-IRBA'!$B$5)-('SEC-IRBA'!$B$5),0))))))</f>
        <v>0.291972731671637</v>
      </c>
      <c r="D56" s="13" t="n">
        <f aca="false">$B$30-(C56*$B$24*$B$9+$B$27)</f>
        <v>254776634.856846</v>
      </c>
    </row>
    <row r="57" customFormat="false" ht="15" hidden="false" customHeight="false" outlineLevel="0" collapsed="false">
      <c r="A57" s="19" t="n">
        <v>1</v>
      </c>
      <c r="B57" s="10" t="n">
        <f aca="false">MAX(0.3,$B$15*A57)</f>
        <v>0.474450291647814</v>
      </c>
      <c r="C57" s="12" t="n">
        <f aca="false">MAX(0.15,12.5*IF((1)&lt;=('SEC-IRBA'!$B$5),1,IF(($B$5)&gt;=('SEC-IRBA'!$B$5),(EXP((-1/((B57)*('SEC-IRBA'!$B$5)))*((1)-('SEC-IRBA'!$B$5)))-EXP((-1/((B57)*('SEC-IRBA'!$B$5)))*MAX(($B$5)-('SEC-IRBA'!$B$5),0)))/((-1/((B57)*('SEC-IRBA'!$B$5)))*(((1)-('SEC-IRBA'!$B$5))-MAX(($B$5)-('SEC-IRBA'!$B$5),0))),(('SEC-IRBA'!$B$5)-($B$5))/((1)-($B$5))+(1-(('SEC-IRBA'!$B$5)-($B$5))/((1)-($B$5)))*(EXP((-1/((B57)*('SEC-IRBA'!$B$5)))*((1)-('SEC-IRBA'!$B$5)))-EXP((-1/((B57)*('SEC-IRBA'!$B$5)))*MAX(('SEC-IRBA'!$B$5)-('SEC-IRBA'!$B$5),0)))/((-1/((B57)*('SEC-IRBA'!$B$5)))*(((1)-('SEC-IRBA'!$B$5))-MAX(('SEC-IRBA'!$B$5)-('SEC-IRBA'!$B$5),0))))))</f>
        <v>0.353357925857869</v>
      </c>
      <c r="D57" s="13" t="n">
        <f aca="false">$B$30-(C57*$B$24*$B$9+$B$27)</f>
        <v>223948990.33652</v>
      </c>
    </row>
    <row r="58" customFormat="false" ht="15" hidden="false" customHeight="false" outlineLevel="0" collapsed="false">
      <c r="A58" s="19" t="n">
        <v>1.2</v>
      </c>
      <c r="B58" s="10" t="n">
        <f aca="false">MAX(0.3,$B$15*A58)</f>
        <v>0.569340349977377</v>
      </c>
      <c r="C58" s="12" t="n">
        <f aca="false">MAX(0.15,12.5*IF((1)&lt;=('SEC-IRBA'!$B$5),1,IF(($B$5)&gt;=('SEC-IRBA'!$B$5),(EXP((-1/((B58)*('SEC-IRBA'!$B$5)))*((1)-('SEC-IRBA'!$B$5)))-EXP((-1/((B58)*('SEC-IRBA'!$B$5)))*MAX(($B$5)-('SEC-IRBA'!$B$5),0)))/((-1/((B58)*('SEC-IRBA'!$B$5)))*(((1)-('SEC-IRBA'!$B$5))-MAX(($B$5)-('SEC-IRBA'!$B$5),0))),(('SEC-IRBA'!$B$5)-($B$5))/((1)-($B$5))+(1-(('SEC-IRBA'!$B$5)-($B$5))/((1)-($B$5)))*(EXP((-1/((B58)*('SEC-IRBA'!$B$5)))*((1)-('SEC-IRBA'!$B$5)))-EXP((-1/((B58)*('SEC-IRBA'!$B$5)))*MAX(('SEC-IRBA'!$B$5)-('SEC-IRBA'!$B$5),0)))/((-1/((B58)*('SEC-IRBA'!$B$5)))*(((1)-('SEC-IRBA'!$B$5))-MAX(('SEC-IRBA'!$B$5)-('SEC-IRBA'!$B$5),0))))))</f>
        <v>0.43551658016578</v>
      </c>
      <c r="D58" s="13" t="n">
        <f aca="false">$B$30-(C58*$B$24*$B$9+$B$27)</f>
        <v>182688914.143087</v>
      </c>
    </row>
    <row r="59" customFormat="false" ht="15" hidden="false" customHeight="false" outlineLevel="0" collapsed="false">
      <c r="A59" s="19" t="n">
        <v>1.4</v>
      </c>
      <c r="B59" s="10" t="n">
        <f aca="false">MAX(0.3,$B$15*A59)</f>
        <v>0.66423040830694</v>
      </c>
      <c r="C59" s="12" t="n">
        <f aca="false">MAX(0.15,12.5*IF((1)&lt;=('SEC-IRBA'!$B$5),1,IF(($B$5)&gt;=('SEC-IRBA'!$B$5),(EXP((-1/((B59)*('SEC-IRBA'!$B$5)))*((1)-('SEC-IRBA'!$B$5)))-EXP((-1/((B59)*('SEC-IRBA'!$B$5)))*MAX(($B$5)-('SEC-IRBA'!$B$5),0)))/((-1/((B59)*('SEC-IRBA'!$B$5)))*(((1)-('SEC-IRBA'!$B$5))-MAX(($B$5)-('SEC-IRBA'!$B$5),0))),(('SEC-IRBA'!$B$5)-($B$5))/((1)-($B$5))+(1-(('SEC-IRBA'!$B$5)-($B$5))/((1)-($B$5)))*(EXP((-1/((B59)*('SEC-IRBA'!$B$5)))*((1)-('SEC-IRBA'!$B$5)))-EXP((-1/((B59)*('SEC-IRBA'!$B$5)))*MAX(('SEC-IRBA'!$B$5)-('SEC-IRBA'!$B$5),0)))/((-1/((B59)*('SEC-IRBA'!$B$5)))*(((1)-('SEC-IRBA'!$B$5))-MAX(('SEC-IRBA'!$B$5)-('SEC-IRBA'!$B$5),0))))))</f>
        <v>0.51789694261502</v>
      </c>
      <c r="D59" s="13" t="n">
        <f aca="false">$B$30-(C59*$B$24*$B$9+$B$27)</f>
        <v>141317496.121079</v>
      </c>
    </row>
    <row r="61" customFormat="false" ht="39.75" hidden="false" customHeight="true" outlineLevel="0" collapsed="false">
      <c r="A61" s="20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22"/>
  </cols>
  <sheetData>
    <row r="1" customFormat="false" ht="15" hidden="false" customHeight="false" outlineLevel="0" collapsed="false">
      <c r="A1" s="1" t="s">
        <v>70</v>
      </c>
    </row>
    <row r="2" customFormat="false" ht="15" hidden="false" customHeight="false" outlineLevel="0" collapsed="false">
      <c r="A2" s="14" t="s">
        <v>71</v>
      </c>
    </row>
    <row r="4" customFormat="false" ht="23.85" hidden="false" customHeight="false" outlineLevel="0" collapsed="false">
      <c r="A4" s="18" t="s">
        <v>72</v>
      </c>
      <c r="B4" s="18" t="s">
        <v>73</v>
      </c>
      <c r="C4" s="18" t="s">
        <v>68</v>
      </c>
      <c r="D4" s="18" t="s">
        <v>48</v>
      </c>
      <c r="E4" s="18" t="s">
        <v>74</v>
      </c>
      <c r="F4" s="18" t="s">
        <v>75</v>
      </c>
      <c r="G4" s="18" t="s">
        <v>76</v>
      </c>
    </row>
    <row r="5" customFormat="false" ht="15" hidden="false" customHeight="false" outlineLevel="0" collapsed="false">
      <c r="A5" s="12" t="n">
        <f aca="false">0.03+0.0025*0</f>
        <v>0.03</v>
      </c>
      <c r="B5" s="4" t="str">
        <f aca="false">IF(A5&lt;'SEC-IRBA'!$B$5,"below KIRB",IF(C5&lt;=0.15,"floor binds",""))</f>
        <v>below KIRB</v>
      </c>
      <c r="C5" s="12" t="n">
        <f aca="false">MAX(0.15,12.5*IF((1)&lt;=('SEC-IRBA'!$B$5),1,IF((A5)&gt;=('SEC-IRBA'!$B$5),(EXP((-1/(('Capital released'!$B$15)*('SEC-IRBA'!$B$5)))*((1)-('SEC-IRBA'!$B$5)))-EXP((-1/(('Capital released'!$B$15)*('SEC-IRBA'!$B$5)))*MAX((A5)-('SEC-IRBA'!$B$5),0)))/((-1/(('Capital released'!$B$15)*('SEC-IRBA'!$B$5)))*(((1)-('SEC-IRBA'!$B$5))-MAX((A5)-('SEC-IRBA'!$B$5),0))),(('SEC-IRBA'!$B$5)-(A5))/((1)-(A5))+(1-(('SEC-IRBA'!$B$5)-(A5))/((1)-(A5)))*(EXP((-1/(('Capital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0.849398247295494</v>
      </c>
      <c r="D5" s="13" t="n">
        <f aca="false">'Capital released'!$B$30-(C5*(1-A5)*'SEC-IRBA'!$B$13*'Capital released'!$B$9+A5*'SEC-IRBA'!$B$13*'Capital released'!$B$6)</f>
        <v>-35509461.2310383</v>
      </c>
      <c r="E5" s="12" t="n">
        <f aca="false">MAX(0.1,12.5*IF((1)&lt;=('SEC-IRBA'!$B$5),1,IF((A5)&gt;=('SEC-IRBA'!$B$5),(EXP((-1/(('Capital released'!$B$44)*('SEC-IRBA'!$B$5)))*((1)-('SEC-IRBA'!$B$5)))-EXP((-1/(('Capital released'!$B$44)*('SEC-IRBA'!$B$5)))*MAX((A5)-('SEC-IRBA'!$B$5),0)))/((-1/(('Capital released'!$B$44)*('SEC-IRBA'!$B$5)))*(((1)-('SEC-IRBA'!$B$5))-MAX((A5)-('SEC-IRBA'!$B$5),0))),(('SEC-IRBA'!$B$5)-(A5))/((1)-(A5))+(1-(('SEC-IRBA'!$B$5)-(A5))/((1)-(A5)))*(EXP((-1/(('Capital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0.70316076730249</v>
      </c>
      <c r="F5" s="13" t="n">
        <f aca="false">'Capital released'!$B$30-(E5*(1-A5)*'SEC-IRBA'!$B$13*'Capital released'!$B$9+A5*'SEC-IRBA'!$B$13*'Capital released'!$B$6)</f>
        <v>41089730.7892976</v>
      </c>
      <c r="G5" s="13" t="n">
        <f aca="false">'Capital released'!$B$30-(MIN(C5,'Capital released'!$B$19)*(1-A5)*'SEC-IRBA'!$B$13*'Capital released'!$B$9+A5*'SEC-IRBA'!$B$13*'Capital released'!$B$6)</f>
        <v>-16510922.0789298</v>
      </c>
    </row>
    <row r="6" customFormat="false" ht="15" hidden="false" customHeight="false" outlineLevel="0" collapsed="false">
      <c r="A6" s="12" t="n">
        <f aca="false">0.03+0.0025*1</f>
        <v>0.0325</v>
      </c>
      <c r="B6" s="4" t="str">
        <f aca="false">IF(A6&lt;'SEC-IRBA'!$B$5,"below KIRB",IF(C6&lt;=0.15,"floor binds",""))</f>
        <v>below KIRB</v>
      </c>
      <c r="C6" s="12" t="n">
        <f aca="false">MAX(0.15,12.5*IF((1)&lt;=('SEC-IRBA'!$B$5),1,IF((A6)&gt;=('SEC-IRBA'!$B$5),(EXP((-1/(('Capital released'!$B$15)*('SEC-IRBA'!$B$5)))*((1)-('SEC-IRBA'!$B$5)))-EXP((-1/(('Capital released'!$B$15)*('SEC-IRBA'!$B$5)))*MAX((A6)-('SEC-IRBA'!$B$5),0)))/((-1/(('Capital released'!$B$15)*('SEC-IRBA'!$B$5)))*(((1)-('SEC-IRBA'!$B$5))-MAX((A6)-('SEC-IRBA'!$B$5),0))),(('SEC-IRBA'!$B$5)-(A6))/((1)-(A6))+(1-(('SEC-IRBA'!$B$5)-(A6))/((1)-(A6)))*(EXP((-1/(('Capital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0.819293333205819</v>
      </c>
      <c r="D6" s="13" t="n">
        <f aca="false">'Capital released'!$B$30-(C6*(1-A6)*'SEC-IRBA'!$B$13*'Capital released'!$B$9+A6*'SEC-IRBA'!$B$13*'Capital released'!$B$6)</f>
        <v>-19134461.2310383</v>
      </c>
      <c r="E6" s="12" t="n">
        <f aca="false">MAX(0.1,12.5*IF((1)&lt;=('SEC-IRBA'!$B$5),1,IF((A6)&gt;=('SEC-IRBA'!$B$5),(EXP((-1/(('Capital released'!$B$44)*('SEC-IRBA'!$B$5)))*((1)-('SEC-IRBA'!$B$5)))-EXP((-1/(('Capital released'!$B$44)*('SEC-IRBA'!$B$5)))*MAX((A6)-('SEC-IRBA'!$B$5),0)))/((-1/(('Capital released'!$B$44)*('SEC-IRBA'!$B$5)))*(((1)-('SEC-IRBA'!$B$5))-MAX((A6)-('SEC-IRBA'!$B$5),0))),(('SEC-IRBA'!$B$5)-(A6))/((1)-(A6))+(1-(('SEC-IRBA'!$B$5)-(A6))/((1)-(A6)))*(EXP((-1/(('Capital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0.672677978587509</v>
      </c>
      <c r="F6" s="13" t="n">
        <f aca="false">'Capital released'!$B$30-(E6*(1-A6)*'SEC-IRBA'!$B$13*'Capital released'!$B$9+A6*'SEC-IRBA'!$B$13*'Capital released'!$B$6)</f>
        <v>57464730.7892976</v>
      </c>
      <c r="G6" s="13" t="n">
        <f aca="false">'Capital released'!$B$30-(MIN(C6,'Capital released'!$B$19)*(1-A6)*'SEC-IRBA'!$B$13*'Capital released'!$B$9+A6*'SEC-IRBA'!$B$13*'Capital released'!$B$6)</f>
        <v>-15913199.752174</v>
      </c>
    </row>
    <row r="7" customFormat="false" ht="15" hidden="false" customHeight="false" outlineLevel="0" collapsed="false">
      <c r="A7" s="12" t="n">
        <f aca="false">0.03+0.0025*2</f>
        <v>0.035</v>
      </c>
      <c r="B7" s="4" t="str">
        <f aca="false">IF(A7&lt;'SEC-IRBA'!$B$5,"below KIRB",IF(C7&lt;=0.15,"floor binds",""))</f>
        <v>below KIRB</v>
      </c>
      <c r="C7" s="12" t="n">
        <f aca="false">MAX(0.15,12.5*IF((1)&lt;=('SEC-IRBA'!$B$5),1,IF((A7)&gt;=('SEC-IRBA'!$B$5),(EXP((-1/(('Capital released'!$B$15)*('SEC-IRBA'!$B$5)))*((1)-('SEC-IRBA'!$B$5)))-EXP((-1/(('Capital released'!$B$15)*('SEC-IRBA'!$B$5)))*MAX((A7)-('SEC-IRBA'!$B$5),0)))/((-1/(('Capital released'!$B$15)*('SEC-IRBA'!$B$5)))*(((1)-('SEC-IRBA'!$B$5))-MAX((A7)-('SEC-IRBA'!$B$5),0))),(('SEC-IRBA'!$B$5)-(A7))/((1)-(A7))+(1-(('SEC-IRBA'!$B$5)-(A7))/((1)-(A7)))*(EXP((-1/(('Capital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0.789032435105316</v>
      </c>
      <c r="D7" s="13" t="n">
        <f aca="false">'Capital released'!$B$30-(C7*(1-A7)*'SEC-IRBA'!$B$13*'Capital released'!$B$9+A7*'SEC-IRBA'!$B$13*'Capital released'!$B$6)</f>
        <v>-2759461.23103833</v>
      </c>
      <c r="E7" s="12" t="n">
        <f aca="false">MAX(0.1,12.5*IF((1)&lt;=('SEC-IRBA'!$B$5),1,IF((A7)&gt;=('SEC-IRBA'!$B$5),(EXP((-1/(('Capital released'!$B$44)*('SEC-IRBA'!$B$5)))*((1)-('SEC-IRBA'!$B$5)))-EXP((-1/(('Capital released'!$B$44)*('SEC-IRBA'!$B$5)))*MAX((A7)-('SEC-IRBA'!$B$5),0)))/((-1/(('Capital released'!$B$44)*('SEC-IRBA'!$B$5)))*(((1)-('SEC-IRBA'!$B$5))-MAX((A7)-('SEC-IRBA'!$B$5),0))),(('SEC-IRBA'!$B$5)-(A7))/((1)-(A7))+(1-(('SEC-IRBA'!$B$5)-(A7))/((1)-(A7)))*(EXP((-1/(('Capital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0.642037247962088</v>
      </c>
      <c r="F7" s="13" t="n">
        <f aca="false">'Capital released'!$B$30-(E7*(1-A7)*'SEC-IRBA'!$B$13*'Capital released'!$B$9+A7*'SEC-IRBA'!$B$13*'Capital released'!$B$6)</f>
        <v>73839730.7892975</v>
      </c>
      <c r="G7" s="13" t="n">
        <f aca="false">'Capital released'!$B$30-(MIN(C7,'Capital released'!$B$19)*(1-A7)*'SEC-IRBA'!$B$13*'Capital released'!$B$9+A7*'SEC-IRBA'!$B$13*'Capital released'!$B$6)</f>
        <v>-2759461.23103833</v>
      </c>
    </row>
    <row r="8" customFormat="false" ht="15" hidden="false" customHeight="false" outlineLevel="0" collapsed="false">
      <c r="A8" s="12" t="n">
        <f aca="false">0.03+0.0025*3</f>
        <v>0.0375</v>
      </c>
      <c r="B8" s="4" t="str">
        <f aca="false">IF(A8&lt;'SEC-IRBA'!$B$5,"below KIRB",IF(C8&lt;=0.15,"floor binds",""))</f>
        <v>below KIRB</v>
      </c>
      <c r="C8" s="12" t="n">
        <f aca="false">MAX(0.15,12.5*IF((1)&lt;=('SEC-IRBA'!$B$5),1,IF((A8)&gt;=('SEC-IRBA'!$B$5),(EXP((-1/(('Capital released'!$B$15)*('SEC-IRBA'!$B$5)))*((1)-('SEC-IRBA'!$B$5)))-EXP((-1/(('Capital released'!$B$15)*('SEC-IRBA'!$B$5)))*MAX((A8)-('SEC-IRBA'!$B$5),0)))/((-1/(('Capital released'!$B$15)*('SEC-IRBA'!$B$5)))*(((1)-('SEC-IRBA'!$B$5))-MAX((A8)-('SEC-IRBA'!$B$5),0))),(('SEC-IRBA'!$B$5)-(A8))/((1)-(A8))+(1-(('SEC-IRBA'!$B$5)-(A8))/((1)-(A8)))*(EXP((-1/(('Capital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0.758614337534161</v>
      </c>
      <c r="D8" s="13" t="n">
        <f aca="false">'Capital released'!$B$30-(C8*(1-A8)*'SEC-IRBA'!$B$13*'Capital released'!$B$9+A8*'SEC-IRBA'!$B$13*'Capital released'!$B$6)</f>
        <v>13615538.7689617</v>
      </c>
      <c r="E8" s="12" t="n">
        <f aca="false">MAX(0.1,12.5*IF((1)&lt;=('SEC-IRBA'!$B$5),1,IF((A8)&gt;=('SEC-IRBA'!$B$5),(EXP((-1/(('Capital released'!$B$44)*('SEC-IRBA'!$B$5)))*((1)-('SEC-IRBA'!$B$5)))-EXP((-1/(('Capital released'!$B$44)*('SEC-IRBA'!$B$5)))*MAX((A8)-('SEC-IRBA'!$B$5),0)))/((-1/(('Capital released'!$B$44)*('SEC-IRBA'!$B$5)))*(((1)-('SEC-IRBA'!$B$5))-MAX((A8)-('SEC-IRBA'!$B$5),0))),(('SEC-IRBA'!$B$5)-(A8))/((1)-(A8))+(1-(('SEC-IRBA'!$B$5)-(A8))/((1)-(A8)))*(EXP((-1/(('Capital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0.611237344710041</v>
      </c>
      <c r="F8" s="13" t="n">
        <f aca="false">'Capital released'!$B$30-(E8*(1-A8)*'SEC-IRBA'!$B$13*'Capital released'!$B$9+A8*'SEC-IRBA'!$B$13*'Capital released'!$B$6)</f>
        <v>90214730.7892975</v>
      </c>
      <c r="G8" s="13" t="n">
        <f aca="false">'Capital released'!$B$30-(MIN(C8,'Capital released'!$B$19)*(1-A8)*'SEC-IRBA'!$B$13*'Capital released'!$B$9+A8*'SEC-IRBA'!$B$13*'Capital released'!$B$6)</f>
        <v>13615538.7689617</v>
      </c>
    </row>
    <row r="9" customFormat="false" ht="15" hidden="false" customHeight="false" outlineLevel="0" collapsed="false">
      <c r="A9" s="12" t="n">
        <f aca="false">0.03+0.0025*4</f>
        <v>0.04</v>
      </c>
      <c r="B9" s="4" t="str">
        <f aca="false">IF(A9&lt;'SEC-IRBA'!$B$5,"below KIRB",IF(C9&lt;=0.15,"floor binds",""))</f>
        <v>below KIRB</v>
      </c>
      <c r="C9" s="12" t="n">
        <f aca="false">MAX(0.15,12.5*IF((1)&lt;=('SEC-IRBA'!$B$5),1,IF((A9)&gt;=('SEC-IRBA'!$B$5),(EXP((-1/(('Capital released'!$B$15)*('SEC-IRBA'!$B$5)))*((1)-('SEC-IRBA'!$B$5)))-EXP((-1/(('Capital released'!$B$15)*('SEC-IRBA'!$B$5)))*MAX((A9)-('SEC-IRBA'!$B$5),0)))/((-1/(('Capital released'!$B$15)*('SEC-IRBA'!$B$5)))*(((1)-('SEC-IRBA'!$B$5))-MAX((A9)-('SEC-IRBA'!$B$5),0))),(('SEC-IRBA'!$B$5)-(A9))/((1)-(A9))+(1-(('SEC-IRBA'!$B$5)-(A9))/((1)-(A9)))*(EXP((-1/(('Capital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0.728037812371489</v>
      </c>
      <c r="D9" s="13" t="n">
        <f aca="false">'Capital released'!$B$30-(C9*(1-A9)*'SEC-IRBA'!$B$13*'Capital released'!$B$9+A9*'SEC-IRBA'!$B$13*'Capital released'!$B$6)</f>
        <v>29990538.7689617</v>
      </c>
      <c r="E9" s="12" t="n">
        <f aca="false">MAX(0.1,12.5*IF((1)&lt;=('SEC-IRBA'!$B$5),1,IF((A9)&gt;=('SEC-IRBA'!$B$5),(EXP((-1/(('Capital released'!$B$44)*('SEC-IRBA'!$B$5)))*((1)-('SEC-IRBA'!$B$5)))-EXP((-1/(('Capital released'!$B$44)*('SEC-IRBA'!$B$5)))*MAX((A9)-('SEC-IRBA'!$B$5),0)))/((-1/(('Capital released'!$B$44)*('SEC-IRBA'!$B$5)))*(((1)-('SEC-IRBA'!$B$5))-MAX((A9)-('SEC-IRBA'!$B$5),0))),(('SEC-IRBA'!$B$5)-(A9))/((1)-(A9))+(1-(('SEC-IRBA'!$B$5)-(A9))/((1)-(A9)))*(EXP((-1/(('Capital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0.580277025295224</v>
      </c>
      <c r="F9" s="13" t="n">
        <f aca="false">'Capital released'!$B$30-(E9*(1-A9)*'SEC-IRBA'!$B$13*'Capital released'!$B$9+A9*'SEC-IRBA'!$B$13*'Capital released'!$B$6)</f>
        <v>106589730.789298</v>
      </c>
      <c r="G9" s="13" t="n">
        <f aca="false">'Capital released'!$B$30-(MIN(C9,'Capital released'!$B$19)*(1-A9)*'SEC-IRBA'!$B$13*'Capital released'!$B$9+A9*'SEC-IRBA'!$B$13*'Capital released'!$B$6)</f>
        <v>29990538.7689617</v>
      </c>
    </row>
    <row r="10" customFormat="false" ht="15" hidden="false" customHeight="false" outlineLevel="0" collapsed="false">
      <c r="A10" s="12" t="n">
        <f aca="false">0.03+0.0025*5</f>
        <v>0.0425</v>
      </c>
      <c r="B10" s="4" t="str">
        <f aca="false">IF(A10&lt;'SEC-IRBA'!$B$5,"below KIRB",IF(C10&lt;=0.15,"floor binds",""))</f>
        <v>below KIRB</v>
      </c>
      <c r="C10" s="12" t="n">
        <f aca="false">MAX(0.15,12.5*IF((1)&lt;=('SEC-IRBA'!$B$5),1,IF((A10)&gt;=('SEC-IRBA'!$B$5),(EXP((-1/(('Capital released'!$B$15)*('SEC-IRBA'!$B$5)))*((1)-('SEC-IRBA'!$B$5)))-EXP((-1/(('Capital released'!$B$15)*('SEC-IRBA'!$B$5)))*MAX((A10)-('SEC-IRBA'!$B$5),0)))/((-1/(('Capital released'!$B$15)*('SEC-IRBA'!$B$5)))*(((1)-('SEC-IRBA'!$B$5))-MAX((A10)-('SEC-IRBA'!$B$5),0))),(('SEC-IRBA'!$B$5)-(A10))/((1)-(A10))+(1-(('SEC-IRBA'!$B$5)-(A10))/((1)-(A10)))*(EXP((-1/(('Capital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0.697301618670109</v>
      </c>
      <c r="D10" s="13" t="n">
        <f aca="false">'Capital released'!$B$30-(C10*(1-A10)*'SEC-IRBA'!$B$13*'Capital released'!$B$9+A10*'SEC-IRBA'!$B$13*'Capital released'!$B$6)</f>
        <v>46365538.7689617</v>
      </c>
      <c r="E10" s="12" t="n">
        <f aca="false">MAX(0.1,12.5*IF((1)&lt;=('SEC-IRBA'!$B$5),1,IF((A10)&gt;=('SEC-IRBA'!$B$5),(EXP((-1/(('Capital released'!$B$44)*('SEC-IRBA'!$B$5)))*((1)-('SEC-IRBA'!$B$5)))-EXP((-1/(('Capital released'!$B$44)*('SEC-IRBA'!$B$5)))*MAX((A10)-('SEC-IRBA'!$B$5),0)))/((-1/(('Capital released'!$B$44)*('SEC-IRBA'!$B$5)))*(((1)-('SEC-IRBA'!$B$5))-MAX((A10)-('SEC-IRBA'!$B$5),0))),(('SEC-IRBA'!$B$5)-(A10))/((1)-(A10))+(1-(('SEC-IRBA'!$B$5)-(A10))/((1)-(A10)))*(EXP((-1/(('Capital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0.549155033194167</v>
      </c>
      <c r="F10" s="13" t="n">
        <f aca="false">'Capital released'!$B$30-(E10*(1-A10)*'SEC-IRBA'!$B$13*'Capital released'!$B$9+A10*'SEC-IRBA'!$B$13*'Capital released'!$B$6)</f>
        <v>122964730.789298</v>
      </c>
      <c r="G10" s="13" t="n">
        <f aca="false">'Capital released'!$B$30-(MIN(C10,'Capital released'!$B$19)*(1-A10)*'SEC-IRBA'!$B$13*'Capital released'!$B$9+A10*'SEC-IRBA'!$B$13*'Capital released'!$B$6)</f>
        <v>46365538.7689617</v>
      </c>
    </row>
    <row r="11" customFormat="false" ht="15" hidden="false" customHeight="false" outlineLevel="0" collapsed="false">
      <c r="A11" s="12" t="n">
        <f aca="false">0.03+0.0025*6</f>
        <v>0.045</v>
      </c>
      <c r="B11" s="4" t="str">
        <f aca="false">IF(A11&lt;'SEC-IRBA'!$B$5,"below KIRB",IF(C11&lt;=0.15,"floor binds",""))</f>
        <v>below KIRB</v>
      </c>
      <c r="C11" s="12" t="n">
        <f aca="false">MAX(0.15,12.5*IF((1)&lt;=('SEC-IRBA'!$B$5),1,IF((A11)&gt;=('SEC-IRBA'!$B$5),(EXP((-1/(('Capital released'!$B$15)*('SEC-IRBA'!$B$5)))*((1)-('SEC-IRBA'!$B$5)))-EXP((-1/(('Capital released'!$B$15)*('SEC-IRBA'!$B$5)))*MAX((A11)-('SEC-IRBA'!$B$5),0)))/((-1/(('Capital released'!$B$15)*('SEC-IRBA'!$B$5)))*(((1)-('SEC-IRBA'!$B$5))-MAX((A11)-('SEC-IRBA'!$B$5),0))),(('SEC-IRBA'!$B$5)-(A11))/((1)-(A11))+(1-(('SEC-IRBA'!$B$5)-(A11))/((1)-(A11)))*(EXP((-1/(('Capital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0.666404502488617</v>
      </c>
      <c r="D11" s="13" t="n">
        <f aca="false">'Capital released'!$B$30-(C11*(1-A11)*'SEC-IRBA'!$B$13*'Capital released'!$B$9+A11*'SEC-IRBA'!$B$13*'Capital released'!$B$6)</f>
        <v>62740538.7689616</v>
      </c>
      <c r="E11" s="12" t="n">
        <f aca="false">MAX(0.1,12.5*IF((1)&lt;=('SEC-IRBA'!$B$5),1,IF((A11)&gt;=('SEC-IRBA'!$B$5),(EXP((-1/(('Capital released'!$B$44)*('SEC-IRBA'!$B$5)))*((1)-('SEC-IRBA'!$B$5)))-EXP((-1/(('Capital released'!$B$44)*('SEC-IRBA'!$B$5)))*MAX((A11)-('SEC-IRBA'!$B$5),0)))/((-1/(('Capital released'!$B$44)*('SEC-IRBA'!$B$5)))*(((1)-('SEC-IRBA'!$B$5))-MAX((A11)-('SEC-IRBA'!$B$5),0))),(('SEC-IRBA'!$B$5)-(A11))/((1)-(A11))+(1-(('SEC-IRBA'!$B$5)-(A11))/((1)-(A11)))*(EXP((-1/(('Capital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0.517870098726089</v>
      </c>
      <c r="F11" s="13" t="n">
        <f aca="false">'Capital released'!$B$30-(E11*(1-A11)*'SEC-IRBA'!$B$13*'Capital released'!$B$9+A11*'SEC-IRBA'!$B$13*'Capital released'!$B$6)</f>
        <v>139339730.789298</v>
      </c>
      <c r="G11" s="13" t="n">
        <f aca="false">'Capital released'!$B$30-(MIN(C11,'Capital released'!$B$19)*(1-A11)*'SEC-IRBA'!$B$13*'Capital released'!$B$9+A11*'SEC-IRBA'!$B$13*'Capital released'!$B$6)</f>
        <v>62740538.7689616</v>
      </c>
    </row>
    <row r="12" customFormat="false" ht="15" hidden="false" customHeight="false" outlineLevel="0" collapsed="false">
      <c r="A12" s="12" t="n">
        <f aca="false">0.03+0.0025*7</f>
        <v>0.0475</v>
      </c>
      <c r="B12" s="4" t="str">
        <f aca="false">IF(A12&lt;'SEC-IRBA'!$B$5,"below KIRB",IF(C12&lt;=0.15,"floor binds",""))</f>
        <v>below KIRB</v>
      </c>
      <c r="C12" s="12" t="n">
        <f aca="false">MAX(0.15,12.5*IF((1)&lt;=('SEC-IRBA'!$B$5),1,IF((A12)&gt;=('SEC-IRBA'!$B$5),(EXP((-1/(('Capital released'!$B$15)*('SEC-IRBA'!$B$5)))*((1)-('SEC-IRBA'!$B$5)))-EXP((-1/(('Capital released'!$B$15)*('SEC-IRBA'!$B$5)))*MAX((A12)-('SEC-IRBA'!$B$5),0)))/((-1/(('Capital released'!$B$15)*('SEC-IRBA'!$B$5)))*(((1)-('SEC-IRBA'!$B$5))-MAX((A12)-('SEC-IRBA'!$B$5),0))),(('SEC-IRBA'!$B$5)-(A12))/((1)-(A12))+(1-(('SEC-IRBA'!$B$5)-(A12))/((1)-(A12)))*(EXP((-1/(('Capital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0.635345196720871</v>
      </c>
      <c r="D12" s="13" t="n">
        <f aca="false">'Capital released'!$B$30-(C12*(1-A12)*'SEC-IRBA'!$B$13*'Capital released'!$B$9+A12*'SEC-IRBA'!$B$13*'Capital released'!$B$6)</f>
        <v>79115538.7689617</v>
      </c>
      <c r="E12" s="12" t="n">
        <f aca="false">MAX(0.1,12.5*IF((1)&lt;=('SEC-IRBA'!$B$5),1,IF((A12)&gt;=('SEC-IRBA'!$B$5),(EXP((-1/(('Capital released'!$B$44)*('SEC-IRBA'!$B$5)))*((1)-('SEC-IRBA'!$B$5)))-EXP((-1/(('Capital released'!$B$44)*('SEC-IRBA'!$B$5)))*MAX((A12)-('SEC-IRBA'!$B$5),0)))/((-1/(('Capital released'!$B$44)*('SEC-IRBA'!$B$5)))*(((1)-('SEC-IRBA'!$B$5))-MAX((A12)-('SEC-IRBA'!$B$5),0))),(('SEC-IRBA'!$B$5)-(A12))/((1)-(A12))+(1-(('SEC-IRBA'!$B$5)-(A12))/((1)-(A12)))*(EXP((-1/(('Capital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0.486420938880226</v>
      </c>
      <c r="F12" s="13" t="n">
        <f aca="false">'Capital released'!$B$30-(E12*(1-A12)*'SEC-IRBA'!$B$13*'Capital released'!$B$9+A12*'SEC-IRBA'!$B$13*'Capital released'!$B$6)</f>
        <v>155714730.789298</v>
      </c>
      <c r="G12" s="13" t="n">
        <f aca="false">'Capital released'!$B$30-(MIN(C12,'Capital released'!$B$19)*(1-A12)*'SEC-IRBA'!$B$13*'Capital released'!$B$9+A12*'SEC-IRBA'!$B$13*'Capital released'!$B$6)</f>
        <v>79115538.7689617</v>
      </c>
    </row>
    <row r="13" customFormat="false" ht="15" hidden="false" customHeight="false" outlineLevel="0" collapsed="false">
      <c r="A13" s="12" t="n">
        <f aca="false">0.03+0.0025*8</f>
        <v>0.05</v>
      </c>
      <c r="B13" s="4" t="str">
        <f aca="false">IF(A13&lt;'SEC-IRBA'!$B$5,"below KIRB",IF(C13&lt;=0.15,"floor binds",""))</f>
        <v>below KIRB</v>
      </c>
      <c r="C13" s="12" t="n">
        <f aca="false">MAX(0.15,12.5*IF((1)&lt;=('SEC-IRBA'!$B$5),1,IF((A13)&gt;=('SEC-IRBA'!$B$5),(EXP((-1/(('Capital released'!$B$15)*('SEC-IRBA'!$B$5)))*((1)-('SEC-IRBA'!$B$5)))-EXP((-1/(('Capital released'!$B$15)*('SEC-IRBA'!$B$5)))*MAX((A13)-('SEC-IRBA'!$B$5),0)))/((-1/(('Capital released'!$B$15)*('SEC-IRBA'!$B$5)))*(((1)-('SEC-IRBA'!$B$5))-MAX((A13)-('SEC-IRBA'!$B$5),0))),(('SEC-IRBA'!$B$5)-(A13))/((1)-(A13))+(1-(('SEC-IRBA'!$B$5)-(A13))/((1)-(A13)))*(EXP((-1/(('Capital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0.604122420922768</v>
      </c>
      <c r="D13" s="13" t="n">
        <f aca="false">'Capital released'!$B$30-(C13*(1-A13)*'SEC-IRBA'!$B$13*'Capital released'!$B$9+A13*'SEC-IRBA'!$B$13*'Capital released'!$B$6)</f>
        <v>95490538.7689617</v>
      </c>
      <c r="E13" s="12" t="n">
        <f aca="false">MAX(0.1,12.5*IF((1)&lt;=('SEC-IRBA'!$B$5),1,IF((A13)&gt;=('SEC-IRBA'!$B$5),(EXP((-1/(('Capital released'!$B$44)*('SEC-IRBA'!$B$5)))*((1)-('SEC-IRBA'!$B$5)))-EXP((-1/(('Capital released'!$B$44)*('SEC-IRBA'!$B$5)))*MAX((A13)-('SEC-IRBA'!$B$5),0)))/((-1/(('Capital released'!$B$44)*('SEC-IRBA'!$B$5)))*(((1)-('SEC-IRBA'!$B$5))-MAX((A13)-('SEC-IRBA'!$B$5),0))),(('SEC-IRBA'!$B$5)-(A13))/((1)-(A13))+(1-(('SEC-IRBA'!$B$5)-(A13))/((1)-(A13)))*(EXP((-1/(('Capital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0.454806257140437</v>
      </c>
      <c r="F13" s="13" t="n">
        <f aca="false">'Capital released'!$B$30-(E13*(1-A13)*'SEC-IRBA'!$B$13*'Capital released'!$B$9+A13*'SEC-IRBA'!$B$13*'Capital released'!$B$6)</f>
        <v>172089730.789298</v>
      </c>
      <c r="G13" s="13" t="n">
        <f aca="false">'Capital released'!$B$30-(MIN(C13,'Capital released'!$B$19)*(1-A13)*'SEC-IRBA'!$B$13*'Capital released'!$B$9+A13*'SEC-IRBA'!$B$13*'Capital released'!$B$6)</f>
        <v>95490538.7689617</v>
      </c>
    </row>
    <row r="14" customFormat="false" ht="15" hidden="false" customHeight="false" outlineLevel="0" collapsed="false">
      <c r="A14" s="12" t="n">
        <f aca="false">0.03+0.0025*9</f>
        <v>0.0525</v>
      </c>
      <c r="B14" s="4" t="str">
        <f aca="false">IF(A14&lt;'SEC-IRBA'!$B$5,"below KIRB",IF(C14&lt;=0.15,"floor binds",""))</f>
        <v>below KIRB</v>
      </c>
      <c r="C14" s="12" t="n">
        <f aca="false">MAX(0.15,12.5*IF((1)&lt;=('SEC-IRBA'!$B$5),1,IF((A14)&gt;=('SEC-IRBA'!$B$5),(EXP((-1/(('Capital released'!$B$15)*('SEC-IRBA'!$B$5)))*((1)-('SEC-IRBA'!$B$5)))-EXP((-1/(('Capital released'!$B$15)*('SEC-IRBA'!$B$5)))*MAX((A14)-('SEC-IRBA'!$B$5),0)))/((-1/(('Capital released'!$B$15)*('SEC-IRBA'!$B$5)))*(((1)-('SEC-IRBA'!$B$5))-MAX((A14)-('SEC-IRBA'!$B$5),0))),(('SEC-IRBA'!$B$5)-(A14))/((1)-(A14))+(1-(('SEC-IRBA'!$B$5)-(A14))/((1)-(A14)))*(EXP((-1/(('Capital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0.572734881136284</v>
      </c>
      <c r="D14" s="13" t="n">
        <f aca="false">'Capital released'!$B$30-(C14*(1-A14)*'SEC-IRBA'!$B$13*'Capital released'!$B$9+A14*'SEC-IRBA'!$B$13*'Capital released'!$B$6)</f>
        <v>111865538.768962</v>
      </c>
      <c r="E14" s="12" t="n">
        <f aca="false">MAX(0.1,12.5*IF((1)&lt;=('SEC-IRBA'!$B$5),1,IF((A14)&gt;=('SEC-IRBA'!$B$5),(EXP((-1/(('Capital released'!$B$44)*('SEC-IRBA'!$B$5)))*((1)-('SEC-IRBA'!$B$5)))-EXP((-1/(('Capital released'!$B$44)*('SEC-IRBA'!$B$5)))*MAX((A14)-('SEC-IRBA'!$B$5),0)))/((-1/(('Capital released'!$B$44)*('SEC-IRBA'!$B$5)))*(((1)-('SEC-IRBA'!$B$5))-MAX((A14)-('SEC-IRBA'!$B$5),0))),(('SEC-IRBA'!$B$5)-(A14))/((1)-(A14))+(1-(('SEC-IRBA'!$B$5)-(A14))/((1)-(A14)))*(EXP((-1/(('Capital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0.423024743307034</v>
      </c>
      <c r="F14" s="13" t="n">
        <f aca="false">'Capital released'!$B$30-(E14*(1-A14)*'SEC-IRBA'!$B$13*'Capital released'!$B$9+A14*'SEC-IRBA'!$B$13*'Capital released'!$B$6)</f>
        <v>188464730.789298</v>
      </c>
      <c r="G14" s="13" t="n">
        <f aca="false">'Capital released'!$B$30-(MIN(C14,'Capital released'!$B$19)*(1-A14)*'SEC-IRBA'!$B$13*'Capital released'!$B$9+A14*'SEC-IRBA'!$B$13*'Capital released'!$B$6)</f>
        <v>111865538.768962</v>
      </c>
    </row>
    <row r="15" customFormat="false" ht="15" hidden="false" customHeight="false" outlineLevel="0" collapsed="false">
      <c r="A15" s="12" t="n">
        <f aca="false">0.03+0.0025*10</f>
        <v>0.055</v>
      </c>
      <c r="B15" s="4" t="str">
        <f aca="false">IF(A15&lt;'SEC-IRBA'!$B$5,"below KIRB",IF(C15&lt;=0.15,"floor binds",""))</f>
        <v>below KIRB</v>
      </c>
      <c r="C15" s="12" t="n">
        <f aca="false">MAX(0.15,12.5*IF((1)&lt;=('SEC-IRBA'!$B$5),1,IF((A15)&gt;=('SEC-IRBA'!$B$5),(EXP((-1/(('Capital released'!$B$15)*('SEC-IRBA'!$B$5)))*((1)-('SEC-IRBA'!$B$5)))-EXP((-1/(('Capital released'!$B$15)*('SEC-IRBA'!$B$5)))*MAX((A15)-('SEC-IRBA'!$B$5),0)))/((-1/(('Capital released'!$B$15)*('SEC-IRBA'!$B$5)))*(((1)-('SEC-IRBA'!$B$5))-MAX((A15)-('SEC-IRBA'!$B$5),0))),(('SEC-IRBA'!$B$5)-(A15))/((1)-(A15))+(1-(('SEC-IRBA'!$B$5)-(A15))/((1)-(A15)))*(EXP((-1/(('Capital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0.541181269710719</v>
      </c>
      <c r="D15" s="13" t="n">
        <f aca="false">'Capital released'!$B$30-(C15*(1-A15)*'SEC-IRBA'!$B$13*'Capital released'!$B$9+A15*'SEC-IRBA'!$B$13*'Capital released'!$B$6)</f>
        <v>128240538.768962</v>
      </c>
      <c r="E15" s="12" t="n">
        <f aca="false">MAX(0.1,12.5*IF((1)&lt;=('SEC-IRBA'!$B$5),1,IF((A15)&gt;=('SEC-IRBA'!$B$5),(EXP((-1/(('Capital released'!$B$44)*('SEC-IRBA'!$B$5)))*((1)-('SEC-IRBA'!$B$5)))-EXP((-1/(('Capital released'!$B$44)*('SEC-IRBA'!$B$5)))*MAX((A15)-('SEC-IRBA'!$B$5),0)))/((-1/(('Capital released'!$B$44)*('SEC-IRBA'!$B$5)))*(((1)-('SEC-IRBA'!$B$5))-MAX((A15)-('SEC-IRBA'!$B$5),0))),(('SEC-IRBA'!$B$5)-(A15))/((1)-(A15))+(1-(('SEC-IRBA'!$B$5)-(A15))/((1)-(A15)))*(EXP((-1/(('Capital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0.391075073315783</v>
      </c>
      <c r="F15" s="13" t="n">
        <f aca="false">'Capital released'!$B$30-(E15*(1-A15)*'SEC-IRBA'!$B$13*'Capital released'!$B$9+A15*'SEC-IRBA'!$B$13*'Capital released'!$B$6)</f>
        <v>204839730.789298</v>
      </c>
      <c r="G15" s="13" t="n">
        <f aca="false">'Capital released'!$B$30-(MIN(C15,'Capital released'!$B$19)*(1-A15)*'SEC-IRBA'!$B$13*'Capital released'!$B$9+A15*'SEC-IRBA'!$B$13*'Capital released'!$B$6)</f>
        <v>128240538.768962</v>
      </c>
    </row>
    <row r="16" customFormat="false" ht="15" hidden="false" customHeight="false" outlineLevel="0" collapsed="false">
      <c r="A16" s="12" t="n">
        <f aca="false">0.03+0.0025*11</f>
        <v>0.0575</v>
      </c>
      <c r="B16" s="4" t="str">
        <f aca="false">IF(A16&lt;'SEC-IRBA'!$B$5,"below KIRB",IF(C16&lt;=0.15,"floor binds",""))</f>
        <v>below KIRB</v>
      </c>
      <c r="C16" s="12" t="n">
        <f aca="false">MAX(0.15,12.5*IF((1)&lt;=('SEC-IRBA'!$B$5),1,IF((A16)&gt;=('SEC-IRBA'!$B$5),(EXP((-1/(('Capital released'!$B$15)*('SEC-IRBA'!$B$5)))*((1)-('SEC-IRBA'!$B$5)))-EXP((-1/(('Capital released'!$B$15)*('SEC-IRBA'!$B$5)))*MAX((A16)-('SEC-IRBA'!$B$5),0)))/((-1/(('Capital released'!$B$15)*('SEC-IRBA'!$B$5)))*(((1)-('SEC-IRBA'!$B$5))-MAX((A16)-('SEC-IRBA'!$B$5),0))),(('SEC-IRBA'!$B$5)-(A16))/((1)-(A16))+(1-(('SEC-IRBA'!$B$5)-(A16))/((1)-(A16)))*(EXP((-1/(('Capital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0.509460265121092</v>
      </c>
      <c r="D16" s="13" t="n">
        <f aca="false">'Capital released'!$B$30-(C16*(1-A16)*'SEC-IRBA'!$B$13*'Capital released'!$B$9+A16*'SEC-IRBA'!$B$13*'Capital released'!$B$6)</f>
        <v>144615538.768962</v>
      </c>
      <c r="E16" s="12" t="n">
        <f aca="false">MAX(0.1,12.5*IF((1)&lt;=('SEC-IRBA'!$B$5),1,IF((A16)&gt;=('SEC-IRBA'!$B$5),(EXP((-1/(('Capital released'!$B$44)*('SEC-IRBA'!$B$5)))*((1)-('SEC-IRBA'!$B$5)))-EXP((-1/(('Capital released'!$B$44)*('SEC-IRBA'!$B$5)))*MAX((A16)-('SEC-IRBA'!$B$5),0)))/((-1/(('Capital released'!$B$44)*('SEC-IRBA'!$B$5)))*(((1)-('SEC-IRBA'!$B$5))-MAX((A16)-('SEC-IRBA'!$B$5),0))),(('SEC-IRBA'!$B$5)-(A16))/((1)-(A16))+(1-(('SEC-IRBA'!$B$5)-(A16))/((1)-(A16)))*(EXP((-1/(('Capital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0.358955909054021</v>
      </c>
      <c r="F16" s="13" t="n">
        <f aca="false">'Capital released'!$B$30-(E16*(1-A16)*'SEC-IRBA'!$B$13*'Capital released'!$B$9+A16*'SEC-IRBA'!$B$13*'Capital released'!$B$6)</f>
        <v>221214730.789298</v>
      </c>
      <c r="G16" s="13" t="n">
        <f aca="false">'Capital released'!$B$30-(MIN(C16,'Capital released'!$B$19)*(1-A16)*'SEC-IRBA'!$B$13*'Capital released'!$B$9+A16*'SEC-IRBA'!$B$13*'Capital released'!$B$6)</f>
        <v>144615538.768962</v>
      </c>
    </row>
    <row r="17" customFormat="false" ht="15" hidden="false" customHeight="false" outlineLevel="0" collapsed="false">
      <c r="A17" s="12" t="n">
        <f aca="false">0.03+0.0025*12</f>
        <v>0.06</v>
      </c>
      <c r="B17" s="4" t="str">
        <f aca="false">IF(A17&lt;'SEC-IRBA'!$B$5,"below KIRB",IF(C17&lt;=0.15,"floor binds",""))</f>
        <v>below KIRB</v>
      </c>
      <c r="C17" s="12" t="n">
        <f aca="false">MAX(0.15,12.5*IF((1)&lt;=('SEC-IRBA'!$B$5),1,IF((A17)&gt;=('SEC-IRBA'!$B$5),(EXP((-1/(('Capital released'!$B$15)*('SEC-IRBA'!$B$5)))*((1)-('SEC-IRBA'!$B$5)))-EXP((-1/(('Capital released'!$B$15)*('SEC-IRBA'!$B$5)))*MAX((A17)-('SEC-IRBA'!$B$5),0)))/((-1/(('Capital released'!$B$15)*('SEC-IRBA'!$B$5)))*(((1)-('SEC-IRBA'!$B$5))-MAX((A17)-('SEC-IRBA'!$B$5),0))),(('SEC-IRBA'!$B$5)-(A17))/((1)-(A17))+(1-(('SEC-IRBA'!$B$5)-(A17))/((1)-(A17)))*(EXP((-1/(('Capital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0.477570531783648</v>
      </c>
      <c r="D17" s="13" t="n">
        <f aca="false">'Capital released'!$B$30-(C17*(1-A17)*'SEC-IRBA'!$B$13*'Capital released'!$B$9+A17*'SEC-IRBA'!$B$13*'Capital released'!$B$6)</f>
        <v>160990538.768962</v>
      </c>
      <c r="E17" s="12" t="n">
        <f aca="false">MAX(0.1,12.5*IF((1)&lt;=('SEC-IRBA'!$B$5),1,IF((A17)&gt;=('SEC-IRBA'!$B$5),(EXP((-1/(('Capital released'!$B$44)*('SEC-IRBA'!$B$5)))*((1)-('SEC-IRBA'!$B$5)))-EXP((-1/(('Capital released'!$B$44)*('SEC-IRBA'!$B$5)))*MAX((A17)-('SEC-IRBA'!$B$5),0)))/((-1/(('Capital released'!$B$44)*('SEC-IRBA'!$B$5)))*(((1)-('SEC-IRBA'!$B$5))-MAX((A17)-('SEC-IRBA'!$B$5),0))),(('SEC-IRBA'!$B$5)-(A17))/((1)-(A17))+(1-(('SEC-IRBA'!$B$5)-(A17))/((1)-(A17)))*(EXP((-1/(('Capital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0.326665898173846</v>
      </c>
      <c r="F17" s="13" t="n">
        <f aca="false">'Capital released'!$B$30-(E17*(1-A17)*'SEC-IRBA'!$B$13*'Capital released'!$B$9+A17*'SEC-IRBA'!$B$13*'Capital released'!$B$6)</f>
        <v>237589730.789298</v>
      </c>
      <c r="G17" s="13" t="n">
        <f aca="false">'Capital released'!$B$30-(MIN(C17,'Capital released'!$B$19)*(1-A17)*'SEC-IRBA'!$B$13*'Capital released'!$B$9+A17*'SEC-IRBA'!$B$13*'Capital released'!$B$6)</f>
        <v>160990538.768962</v>
      </c>
    </row>
    <row r="18" customFormat="false" ht="15" hidden="false" customHeight="false" outlineLevel="0" collapsed="false">
      <c r="A18" s="12" t="n">
        <f aca="false">0.03+0.0025*13</f>
        <v>0.0625</v>
      </c>
      <c r="B18" s="4" t="str">
        <f aca="false">IF(A18&lt;'SEC-IRBA'!$B$5,"below KIRB",IF(C18&lt;=0.15,"floor binds",""))</f>
        <v>below KIRB</v>
      </c>
      <c r="C18" s="12" t="n">
        <f aca="false">MAX(0.15,12.5*IF((1)&lt;=('SEC-IRBA'!$B$5),1,IF((A18)&gt;=('SEC-IRBA'!$B$5),(EXP((-1/(('Capital released'!$B$15)*('SEC-IRBA'!$B$5)))*((1)-('SEC-IRBA'!$B$5)))-EXP((-1/(('Capital released'!$B$15)*('SEC-IRBA'!$B$5)))*MAX((A18)-('SEC-IRBA'!$B$5),0)))/((-1/(('Capital released'!$B$15)*('SEC-IRBA'!$B$5)))*(((1)-('SEC-IRBA'!$B$5))-MAX((A18)-('SEC-IRBA'!$B$5),0))),(('SEC-IRBA'!$B$5)-(A18))/((1)-(A18))+(1-(('SEC-IRBA'!$B$5)-(A18))/((1)-(A18)))*(EXP((-1/(('Capital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0.445510719868405</v>
      </c>
      <c r="D18" s="13" t="n">
        <f aca="false">'Capital released'!$B$30-(C18*(1-A18)*'SEC-IRBA'!$B$13*'Capital released'!$B$9+A18*'SEC-IRBA'!$B$13*'Capital released'!$B$6)</f>
        <v>177365538.768962</v>
      </c>
      <c r="E18" s="12" t="n">
        <f aca="false">MAX(0.1,12.5*IF((1)&lt;=('SEC-IRBA'!$B$5),1,IF((A18)&gt;=('SEC-IRBA'!$B$5),(EXP((-1/(('Capital released'!$B$44)*('SEC-IRBA'!$B$5)))*((1)-('SEC-IRBA'!$B$5)))-EXP((-1/(('Capital released'!$B$44)*('SEC-IRBA'!$B$5)))*MAX((A18)-('SEC-IRBA'!$B$5),0)))/((-1/(('Capital released'!$B$44)*('SEC-IRBA'!$B$5)))*(((1)-('SEC-IRBA'!$B$5))-MAX((A18)-('SEC-IRBA'!$B$5),0))),(('SEC-IRBA'!$B$5)-(A18))/((1)-(A18))+(1-(('SEC-IRBA'!$B$5)-(A18))/((1)-(A18)))*(EXP((-1/(('Capital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0.294203673902309</v>
      </c>
      <c r="F18" s="13" t="n">
        <f aca="false">'Capital released'!$B$30-(E18*(1-A18)*'SEC-IRBA'!$B$13*'Capital released'!$B$9+A18*'SEC-IRBA'!$B$13*'Capital released'!$B$6)</f>
        <v>253964730.789298</v>
      </c>
      <c r="G18" s="13" t="n">
        <f aca="false">'Capital released'!$B$30-(MIN(C18,'Capital released'!$B$19)*(1-A18)*'SEC-IRBA'!$B$13*'Capital released'!$B$9+A18*'SEC-IRBA'!$B$13*'Capital released'!$B$6)</f>
        <v>177365538.768962</v>
      </c>
    </row>
    <row r="19" customFormat="false" ht="15" hidden="false" customHeight="false" outlineLevel="0" collapsed="false">
      <c r="A19" s="12" t="n">
        <f aca="false">0.03+0.0025*14</f>
        <v>0.065</v>
      </c>
      <c r="B19" s="4" t="str">
        <f aca="false">IF(A19&lt;'SEC-IRBA'!$B$5,"below KIRB",IF(C19&lt;=0.15,"floor binds",""))</f>
        <v>below KIRB</v>
      </c>
      <c r="C19" s="12" t="n">
        <f aca="false">MAX(0.15,12.5*IF((1)&lt;=('SEC-IRBA'!$B$5),1,IF((A19)&gt;=('SEC-IRBA'!$B$5),(EXP((-1/(('Capital released'!$B$15)*('SEC-IRBA'!$B$5)))*((1)-('SEC-IRBA'!$B$5)))-EXP((-1/(('Capital released'!$B$15)*('SEC-IRBA'!$B$5)))*MAX((A19)-('SEC-IRBA'!$B$5),0)))/((-1/(('Capital released'!$B$15)*('SEC-IRBA'!$B$5)))*(((1)-('SEC-IRBA'!$B$5))-MAX((A19)-('SEC-IRBA'!$B$5),0))),(('SEC-IRBA'!$B$5)-(A19))/((1)-(A19))+(1-(('SEC-IRBA'!$B$5)-(A19))/((1)-(A19)))*(EXP((-1/(('Capital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0.413279465108695</v>
      </c>
      <c r="D19" s="13" t="n">
        <f aca="false">'Capital released'!$B$30-(C19*(1-A19)*'SEC-IRBA'!$B$13*'Capital released'!$B$9+A19*'SEC-IRBA'!$B$13*'Capital released'!$B$6)</f>
        <v>193740538.768962</v>
      </c>
      <c r="E19" s="12" t="n">
        <f aca="false">MAX(0.1,12.5*IF((1)&lt;=('SEC-IRBA'!$B$5),1,IF((A19)&gt;=('SEC-IRBA'!$B$5),(EXP((-1/(('Capital released'!$B$44)*('SEC-IRBA'!$B$5)))*((1)-('SEC-IRBA'!$B$5)))-EXP((-1/(('Capital released'!$B$44)*('SEC-IRBA'!$B$5)))*MAX((A19)-('SEC-IRBA'!$B$5),0)))/((-1/(('Capital released'!$B$44)*('SEC-IRBA'!$B$5)))*(((1)-('SEC-IRBA'!$B$5))-MAX((A19)-('SEC-IRBA'!$B$5),0))),(('SEC-IRBA'!$B$5)-(A19))/((1)-(A19))+(1-(('SEC-IRBA'!$B$5)-(A19))/((1)-(A19)))*(EXP((-1/(('Capital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0.261567854848572</v>
      </c>
      <c r="F19" s="13" t="n">
        <f aca="false">'Capital released'!$B$30-(E19*(1-A19)*'SEC-IRBA'!$B$13*'Capital released'!$B$9+A19*'SEC-IRBA'!$B$13*'Capital released'!$B$6)</f>
        <v>270339730.789298</v>
      </c>
      <c r="G19" s="13" t="n">
        <f aca="false">'Capital released'!$B$30-(MIN(C19,'Capital released'!$B$19)*(1-A19)*'SEC-IRBA'!$B$13*'Capital released'!$B$9+A19*'SEC-IRBA'!$B$13*'Capital released'!$B$6)</f>
        <v>193740538.768962</v>
      </c>
    </row>
    <row r="20" customFormat="false" ht="15" hidden="false" customHeight="false" outlineLevel="0" collapsed="false">
      <c r="A20" s="12" t="n">
        <f aca="false">0.03+0.0025*15</f>
        <v>0.0675</v>
      </c>
      <c r="B20" s="4" t="str">
        <f aca="false">IF(A20&lt;'SEC-IRBA'!$B$5,"below KIRB",IF(C20&lt;=0.15,"floor binds",""))</f>
        <v/>
      </c>
      <c r="C20" s="12" t="n">
        <f aca="false">MAX(0.15,12.5*IF((1)&lt;=('SEC-IRBA'!$B$5),1,IF((A20)&gt;=('SEC-IRBA'!$B$5),(EXP((-1/(('Capital released'!$B$15)*('SEC-IRBA'!$B$5)))*((1)-('SEC-IRBA'!$B$5)))-EXP((-1/(('Capital released'!$B$15)*('SEC-IRBA'!$B$5)))*MAX((A20)-('SEC-IRBA'!$B$5),0)))/((-1/(('Capital released'!$B$15)*('SEC-IRBA'!$B$5)))*(((1)-('SEC-IRBA'!$B$5))-MAX((A20)-('SEC-IRBA'!$B$5),0))),(('SEC-IRBA'!$B$5)-(A20))/((1)-(A20))+(1-(('SEC-IRBA'!$B$5)-(A20))/((1)-(A20)))*(EXP((-1/(('Capital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0.382144891380414</v>
      </c>
      <c r="D20" s="13" t="n">
        <f aca="false">'Capital released'!$B$30-(C20*(1-A20)*'SEC-IRBA'!$B$13*'Capital released'!$B$9+A20*'SEC-IRBA'!$B$13*'Capital released'!$B$6)</f>
        <v>209476280.647734</v>
      </c>
      <c r="E20" s="12" t="n">
        <f aca="false">MAX(0.1,12.5*IF((1)&lt;=('SEC-IRBA'!$B$5),1,IF((A20)&gt;=('SEC-IRBA'!$B$5),(EXP((-1/(('Capital released'!$B$44)*('SEC-IRBA'!$B$5)))*((1)-('SEC-IRBA'!$B$5)))-EXP((-1/(('Capital released'!$B$44)*('SEC-IRBA'!$B$5)))*MAX((A20)-('SEC-IRBA'!$B$5),0)))/((-1/(('Capital released'!$B$44)*('SEC-IRBA'!$B$5)))*(((1)-('SEC-IRBA'!$B$5))-MAX((A20)-('SEC-IRBA'!$B$5),0))),(('SEC-IRBA'!$B$5)-(A20))/((1)-(A20))+(1-(('SEC-IRBA'!$B$5)-(A20))/((1)-(A20)))*(EXP((-1/(('Capital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0.230734626700081</v>
      </c>
      <c r="F20" s="13" t="n">
        <f aca="false">'Capital released'!$B$30-(E20*(1-A20)*'SEC-IRBA'!$B$13*'Capital released'!$B$9+A20*'SEC-IRBA'!$B$13*'Capital released'!$B$6)</f>
        <v>285718919.427516</v>
      </c>
      <c r="G20" s="13" t="n">
        <f aca="false">'Capital released'!$B$30-(MIN(C20,'Capital released'!$B$19)*(1-A20)*'SEC-IRBA'!$B$13*'Capital released'!$B$9+A20*'SEC-IRBA'!$B$13*'Capital released'!$B$6)</f>
        <v>209476280.647734</v>
      </c>
    </row>
    <row r="21" customFormat="false" ht="15" hidden="false" customHeight="false" outlineLevel="0" collapsed="false">
      <c r="A21" s="12" t="n">
        <f aca="false">0.03+0.0025*16</f>
        <v>0.07</v>
      </c>
      <c r="B21" s="4" t="str">
        <f aca="false">IF(A21&lt;'SEC-IRBA'!$B$5,"below KIRB",IF(C21&lt;=0.15,"floor binds",""))</f>
        <v/>
      </c>
      <c r="C21" s="12" t="n">
        <f aca="false">MAX(0.15,12.5*IF((1)&lt;=('SEC-IRBA'!$B$5),1,IF((A21)&gt;=('SEC-IRBA'!$B$5),(EXP((-1/(('Capital released'!$B$15)*('SEC-IRBA'!$B$5)))*((1)-('SEC-IRBA'!$B$5)))-EXP((-1/(('Capital released'!$B$15)*('SEC-IRBA'!$B$5)))*MAX((A21)-('SEC-IRBA'!$B$5),0)))/((-1/(('Capital released'!$B$15)*('SEC-IRBA'!$B$5)))*(((1)-('SEC-IRBA'!$B$5))-MAX((A21)-('SEC-IRBA'!$B$5),0))),(('SEC-IRBA'!$B$5)-(A21))/((1)-(A21))+(1-(('SEC-IRBA'!$B$5)-(A21))/((1)-(A21)))*(EXP((-1/(('Capital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0.353357925857869</v>
      </c>
      <c r="D21" s="13" t="n">
        <f aca="false">'Capital released'!$B$30-(C21*(1-A21)*'SEC-IRBA'!$B$13*'Capital released'!$B$9+A21*'SEC-IRBA'!$B$13*'Capital released'!$B$6)</f>
        <v>223948990.33652</v>
      </c>
      <c r="E21" s="12" t="n">
        <f aca="false">MAX(0.1,12.5*IF((1)&lt;=('SEC-IRBA'!$B$5),1,IF((A21)&gt;=('SEC-IRBA'!$B$5),(EXP((-1/(('Capital released'!$B$44)*('SEC-IRBA'!$B$5)))*((1)-('SEC-IRBA'!$B$5)))-EXP((-1/(('Capital released'!$B$44)*('SEC-IRBA'!$B$5)))*MAX((A21)-('SEC-IRBA'!$B$5),0)))/((-1/(('Capital released'!$B$44)*('SEC-IRBA'!$B$5)))*(((1)-('SEC-IRBA'!$B$5))-MAX((A21)-('SEC-IRBA'!$B$5),0))),(('SEC-IRBA'!$B$5)-(A21))/((1)-(A21))+(1-(('SEC-IRBA'!$B$5)-(A21))/((1)-(A21)))*(EXP((-1/(('Capital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0.203536763805318</v>
      </c>
      <c r="F21" s="13" t="n">
        <f aca="false">'Capital released'!$B$30-(E21*(1-A21)*'SEC-IRBA'!$B$13*'Capital released'!$B$9+A21*'SEC-IRBA'!$B$13*'Capital released'!$B$6)</f>
        <v>299189177.919311</v>
      </c>
      <c r="G21" s="13" t="n">
        <f aca="false">'Capital released'!$B$30-(MIN(C21,'Capital released'!$B$19)*(1-A21)*'SEC-IRBA'!$B$13*'Capital released'!$B$9+A21*'SEC-IRBA'!$B$13*'Capital released'!$B$6)</f>
        <v>223948990.33652</v>
      </c>
    </row>
    <row r="22" customFormat="false" ht="15" hidden="false" customHeight="false" outlineLevel="0" collapsed="false">
      <c r="A22" s="12" t="n">
        <f aca="false">0.03+0.0025*17</f>
        <v>0.0725</v>
      </c>
      <c r="B22" s="4" t="str">
        <f aca="false">IF(A22&lt;'SEC-IRBA'!$B$5,"below KIRB",IF(C22&lt;=0.15,"floor binds",""))</f>
        <v/>
      </c>
      <c r="C22" s="12" t="n">
        <f aca="false">MAX(0.15,12.5*IF((1)&lt;=('SEC-IRBA'!$B$5),1,IF((A22)&gt;=('SEC-IRBA'!$B$5),(EXP((-1/(('Capital released'!$B$15)*('SEC-IRBA'!$B$5)))*((1)-('SEC-IRBA'!$B$5)))-EXP((-1/(('Capital released'!$B$15)*('SEC-IRBA'!$B$5)))*MAX((A22)-('SEC-IRBA'!$B$5),0)))/((-1/(('Capital released'!$B$15)*('SEC-IRBA'!$B$5)))*(((1)-('SEC-IRBA'!$B$5))-MAX((A22)-('SEC-IRBA'!$B$5),0))),(('SEC-IRBA'!$B$5)-(A22))/((1)-(A22))+(1-(('SEC-IRBA'!$B$5)-(A22))/((1)-(A22)))*(EXP((-1/(('Capital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0.326741842883662</v>
      </c>
      <c r="D22" s="13" t="n">
        <f aca="false">'Capital released'!$B$30-(C22*(1-A22)*'SEC-IRBA'!$B$13*'Capital released'!$B$9+A22*'SEC-IRBA'!$B$13*'Capital released'!$B$6)</f>
        <v>237256688.69406</v>
      </c>
      <c r="E22" s="12" t="n">
        <f aca="false">MAX(0.1,12.5*IF((1)&lt;=('SEC-IRBA'!$B$5),1,IF((A22)&gt;=('SEC-IRBA'!$B$5),(EXP((-1/(('Capital released'!$B$44)*('SEC-IRBA'!$B$5)))*((1)-('SEC-IRBA'!$B$5)))-EXP((-1/(('Capital released'!$B$44)*('SEC-IRBA'!$B$5)))*MAX((A22)-('SEC-IRBA'!$B$5),0)))/((-1/(('Capital released'!$B$44)*('SEC-IRBA'!$B$5)))*(((1)-('SEC-IRBA'!$B$5))-MAX((A22)-('SEC-IRBA'!$B$5),0))),(('SEC-IRBA'!$B$5)-(A22))/((1)-(A22))+(1-(('SEC-IRBA'!$B$5)-(A22))/((1)-(A22)))*(EXP((-1/(('Capital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0.17954614866084</v>
      </c>
      <c r="F22" s="13" t="n">
        <f aca="false">'Capital released'!$B$30-(E22*(1-A22)*'SEC-IRBA'!$B$13*'Capital released'!$B$9+A22*'SEC-IRBA'!$B$13*'Capital released'!$B$6)</f>
        <v>310979652.14556</v>
      </c>
      <c r="G22" s="13" t="n">
        <f aca="false">'Capital released'!$B$30-(MIN(C22,'Capital released'!$B$19)*(1-A22)*'SEC-IRBA'!$B$13*'Capital released'!$B$9+A22*'SEC-IRBA'!$B$13*'Capital released'!$B$6)</f>
        <v>237256688.69406</v>
      </c>
    </row>
    <row r="23" customFormat="false" ht="15" hidden="false" customHeight="false" outlineLevel="0" collapsed="false">
      <c r="A23" s="12" t="n">
        <f aca="false">0.03+0.0025*18</f>
        <v>0.075</v>
      </c>
      <c r="B23" s="4" t="str">
        <f aca="false">IF(A23&lt;'SEC-IRBA'!$B$5,"below KIRB",IF(C23&lt;=0.15,"floor binds",""))</f>
        <v/>
      </c>
      <c r="C23" s="12" t="n">
        <f aca="false">MAX(0.15,12.5*IF((1)&lt;=('SEC-IRBA'!$B$5),1,IF((A23)&gt;=('SEC-IRBA'!$B$5),(EXP((-1/(('Capital released'!$B$15)*('SEC-IRBA'!$B$5)))*((1)-('SEC-IRBA'!$B$5)))-EXP((-1/(('Capital released'!$B$15)*('SEC-IRBA'!$B$5)))*MAX((A23)-('SEC-IRBA'!$B$5),0)))/((-1/(('Capital released'!$B$15)*('SEC-IRBA'!$B$5)))*(((1)-('SEC-IRBA'!$B$5))-MAX((A23)-('SEC-IRBA'!$B$5),0))),(('SEC-IRBA'!$B$5)-(A23))/((1)-(A23))+(1-(('SEC-IRBA'!$B$5)-(A23))/((1)-(A23)))*(EXP((-1/(('Capital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0.302132766033535</v>
      </c>
      <c r="D23" s="13" t="n">
        <f aca="false">'Capital released'!$B$30-(C23*(1-A23)*'SEC-IRBA'!$B$13*'Capital released'!$B$9+A23*'SEC-IRBA'!$B$13*'Capital released'!$B$6)</f>
        <v>249490024.068591</v>
      </c>
      <c r="E23" s="12" t="n">
        <f aca="false">MAX(0.1,12.5*IF((1)&lt;=('SEC-IRBA'!$B$5),1,IF((A23)&gt;=('SEC-IRBA'!$B$5),(EXP((-1/(('Capital released'!$B$44)*('SEC-IRBA'!$B$5)))*((1)-('SEC-IRBA'!$B$5)))-EXP((-1/(('Capital released'!$B$44)*('SEC-IRBA'!$B$5)))*MAX((A23)-('SEC-IRBA'!$B$5),0)))/((-1/(('Capital released'!$B$44)*('SEC-IRBA'!$B$5)))*(((1)-('SEC-IRBA'!$B$5))-MAX((A23)-('SEC-IRBA'!$B$5),0))),(('SEC-IRBA'!$B$5)-(A23))/((1)-(A23))+(1-(('SEC-IRBA'!$B$5)-(A23))/((1)-(A23)))*(EXP((-1/(('Capital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0.158384427006523</v>
      </c>
      <c r="F23" s="13" t="n">
        <f aca="false">'Capital released'!$B$30-(E23*(1-A23)*'SEC-IRBA'!$B$13*'Capital released'!$B$9+A23*'SEC-IRBA'!$B$13*'Capital released'!$B$6)</f>
        <v>321292319.412584</v>
      </c>
      <c r="G23" s="13" t="n">
        <f aca="false">'Capital released'!$B$30-(MIN(C23,'Capital released'!$B$19)*(1-A23)*'SEC-IRBA'!$B$13*'Capital released'!$B$9+A23*'SEC-IRBA'!$B$13*'Capital released'!$B$6)</f>
        <v>249490024.068591</v>
      </c>
    </row>
    <row r="24" customFormat="false" ht="15" hidden="false" customHeight="false" outlineLevel="0" collapsed="false">
      <c r="A24" s="12" t="n">
        <f aca="false">0.03+0.0025*19</f>
        <v>0.0775</v>
      </c>
      <c r="B24" s="4" t="str">
        <f aca="false">IF(A24&lt;'SEC-IRBA'!$B$5,"below KIRB",IF(C24&lt;=0.15,"floor binds",""))</f>
        <v/>
      </c>
      <c r="C24" s="12" t="n">
        <f aca="false">MAX(0.15,12.5*IF((1)&lt;=('SEC-IRBA'!$B$5),1,IF((A24)&gt;=('SEC-IRBA'!$B$5),(EXP((-1/(('Capital released'!$B$15)*('SEC-IRBA'!$B$5)))*((1)-('SEC-IRBA'!$B$5)))-EXP((-1/(('Capital released'!$B$15)*('SEC-IRBA'!$B$5)))*MAX((A24)-('SEC-IRBA'!$B$5),0)))/((-1/(('Capital released'!$B$15)*('SEC-IRBA'!$B$5)))*(((1)-('SEC-IRBA'!$B$5))-MAX((A24)-('SEC-IRBA'!$B$5),0))),(('SEC-IRBA'!$B$5)-(A24))/((1)-(A24))+(1-(('SEC-IRBA'!$B$5)-(A24))/((1)-(A24)))*(EXP((-1/(('Capital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0.279379201344742</v>
      </c>
      <c r="D24" s="13" t="n">
        <f aca="false">'Capital released'!$B$30-(C24*(1-A24)*'SEC-IRBA'!$B$13*'Capital released'!$B$9+A24*'SEC-IRBA'!$B$13*'Capital released'!$B$6)</f>
        <v>260732591.552458</v>
      </c>
      <c r="E24" s="12" t="n">
        <f aca="false">MAX(0.1,12.5*IF((1)&lt;=('SEC-IRBA'!$B$5),1,IF((A24)&gt;=('SEC-IRBA'!$B$5),(EXP((-1/(('Capital released'!$B$44)*('SEC-IRBA'!$B$5)))*((1)-('SEC-IRBA'!$B$5)))-EXP((-1/(('Capital released'!$B$44)*('SEC-IRBA'!$B$5)))*MAX((A24)-('SEC-IRBA'!$B$5),0)))/((-1/(('Capital released'!$B$44)*('SEC-IRBA'!$B$5)))*(((1)-('SEC-IRBA'!$B$5))-MAX((A24)-('SEC-IRBA'!$B$5),0))),(('SEC-IRBA'!$B$5)-(A24))/((1)-(A24))+(1-(('SEC-IRBA'!$B$5)-(A24))/((1)-(A24)))*(EXP((-1/(('Capital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0.139717895076805</v>
      </c>
      <c r="F24" s="13" t="n">
        <f aca="false">'Capital released'!$B$30-(E24*(1-A24)*'SEC-IRBA'!$B$13*'Capital released'!$B$9+A24*'SEC-IRBA'!$B$13*'Capital released'!$B$6)</f>
        <v>330304871.269831</v>
      </c>
      <c r="G24" s="13" t="n">
        <f aca="false">'Capital released'!$B$30-(MIN(C24,'Capital released'!$B$19)*(1-A24)*'SEC-IRBA'!$B$13*'Capital released'!$B$9+A24*'SEC-IRBA'!$B$13*'Capital released'!$B$6)</f>
        <v>260732591.552458</v>
      </c>
    </row>
    <row r="25" customFormat="false" ht="15" hidden="false" customHeight="false" outlineLevel="0" collapsed="false">
      <c r="A25" s="12" t="n">
        <f aca="false">0.03+0.0025*20</f>
        <v>0.08</v>
      </c>
      <c r="B25" s="4" t="str">
        <f aca="false">IF(A25&lt;'SEC-IRBA'!$B$5,"below KIRB",IF(C25&lt;=0.15,"floor binds",""))</f>
        <v/>
      </c>
      <c r="C25" s="12" t="n">
        <f aca="false">MAX(0.15,12.5*IF((1)&lt;=('SEC-IRBA'!$B$5),1,IF((A25)&gt;=('SEC-IRBA'!$B$5),(EXP((-1/(('Capital released'!$B$15)*('SEC-IRBA'!$B$5)))*((1)-('SEC-IRBA'!$B$5)))-EXP((-1/(('Capital released'!$B$15)*('SEC-IRBA'!$B$5)))*MAX((A25)-('SEC-IRBA'!$B$5),0)))/((-1/(('Capital released'!$B$15)*('SEC-IRBA'!$B$5)))*(((1)-('SEC-IRBA'!$B$5))-MAX((A25)-('SEC-IRBA'!$B$5),0))),(('SEC-IRBA'!$B$5)-(A25))/((1)-(A25))+(1-(('SEC-IRBA'!$B$5)-(A25))/((1)-(A25)))*(EXP((-1/(('Capital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0.258341100872692</v>
      </c>
      <c r="D25" s="13" t="n">
        <f aca="false">'Capital released'!$B$30-(C25*(1-A25)*'SEC-IRBA'!$B$13*'Capital released'!$B$9+A25*'SEC-IRBA'!$B$13*'Capital released'!$B$6)</f>
        <v>271061481.788788</v>
      </c>
      <c r="E25" s="12" t="n">
        <f aca="false">MAX(0.1,12.5*IF((1)&lt;=('SEC-IRBA'!$B$5),1,IF((A25)&gt;=('SEC-IRBA'!$B$5),(EXP((-1/(('Capital released'!$B$44)*('SEC-IRBA'!$B$5)))*((1)-('SEC-IRBA'!$B$5)))-EXP((-1/(('Capital released'!$B$44)*('SEC-IRBA'!$B$5)))*MAX((A25)-('SEC-IRBA'!$B$5),0)))/((-1/(('Capital released'!$B$44)*('SEC-IRBA'!$B$5)))*(((1)-('SEC-IRBA'!$B$5))-MAX((A25)-('SEC-IRBA'!$B$5),0))),(('SEC-IRBA'!$B$5)-(A25))/((1)-(A25))+(1-(('SEC-IRBA'!$B$5)-(A25))/((1)-(A25)))*(EXP((-1/(('Capital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0.123252228406571</v>
      </c>
      <c r="F25" s="13" t="n">
        <f aca="false">'Capital released'!$B$30-(E25*(1-A25)*'SEC-IRBA'!$B$13*'Capital released'!$B$9+A25*'SEC-IRBA'!$B$13*'Capital released'!$B$6)</f>
        <v>338173633.629957</v>
      </c>
      <c r="G25" s="13" t="n">
        <f aca="false">'Capital released'!$B$30-(MIN(C25,'Capital released'!$B$19)*(1-A25)*'SEC-IRBA'!$B$13*'Capital released'!$B$9+A25*'SEC-IRBA'!$B$13*'Capital released'!$B$6)</f>
        <v>271061481.788788</v>
      </c>
    </row>
    <row r="26" customFormat="false" ht="15" hidden="false" customHeight="false" outlineLevel="0" collapsed="false">
      <c r="A26" s="12" t="n">
        <f aca="false">0.03+0.0025*21</f>
        <v>0.0825</v>
      </c>
      <c r="B26" s="4" t="str">
        <f aca="false">IF(A26&lt;'SEC-IRBA'!$B$5,"below KIRB",IF(C26&lt;=0.15,"floor binds",""))</f>
        <v/>
      </c>
      <c r="C26" s="12" t="n">
        <f aca="false">MAX(0.15,12.5*IF((1)&lt;=('SEC-IRBA'!$B$5),1,IF((A26)&gt;=('SEC-IRBA'!$B$5),(EXP((-1/(('Capital released'!$B$15)*('SEC-IRBA'!$B$5)))*((1)-('SEC-IRBA'!$B$5)))-EXP((-1/(('Capital released'!$B$15)*('SEC-IRBA'!$B$5)))*MAX((A26)-('SEC-IRBA'!$B$5),0)))/((-1/(('Capital released'!$B$15)*('SEC-IRBA'!$B$5)))*(((1)-('SEC-IRBA'!$B$5))-MAX((A26)-('SEC-IRBA'!$B$5),0))),(('SEC-IRBA'!$B$5)-(A26))/((1)-(A26))+(1-(('SEC-IRBA'!$B$5)-(A26))/((1)-(A26)))*(EXP((-1/(('Capital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0.238888997126381</v>
      </c>
      <c r="D26" s="13" t="n">
        <f aca="false">'Capital released'!$B$30-(C26*(1-A26)*'SEC-IRBA'!$B$13*'Capital released'!$B$9+A26*'SEC-IRBA'!$B$13*'Capital released'!$B$6)</f>
        <v>280547787.076076</v>
      </c>
      <c r="E26" s="12" t="n">
        <f aca="false">MAX(0.1,12.5*IF((1)&lt;=('SEC-IRBA'!$B$5),1,IF((A26)&gt;=('SEC-IRBA'!$B$5),(EXP((-1/(('Capital released'!$B$44)*('SEC-IRBA'!$B$5)))*((1)-('SEC-IRBA'!$B$5)))-EXP((-1/(('Capital released'!$B$44)*('SEC-IRBA'!$B$5)))*MAX((A26)-('SEC-IRBA'!$B$5),0)))/((-1/(('Capital released'!$B$44)*('SEC-IRBA'!$B$5)))*(((1)-('SEC-IRBA'!$B$5))-MAX((A26)-('SEC-IRBA'!$B$5),0))),(('SEC-IRBA'!$B$5)-(A26))/((1)-(A26))+(1-(('SEC-IRBA'!$B$5)-(A26))/((1)-(A26)))*(EXP((-1/(('Capital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0.108727833139101</v>
      </c>
      <c r="F26" s="13" t="n">
        <f aca="false">'Capital released'!$B$30-(E26*(1-A26)*'SEC-IRBA'!$B$13*'Capital released'!$B$9+A26*'SEC-IRBA'!$B$13*'Capital released'!$B$6)</f>
        <v>345036135.773574</v>
      </c>
      <c r="G26" s="13" t="n">
        <f aca="false">'Capital released'!$B$30-(MIN(C26,'Capital released'!$B$19)*(1-A26)*'SEC-IRBA'!$B$13*'Capital released'!$B$9+A26*'SEC-IRBA'!$B$13*'Capital released'!$B$6)</f>
        <v>280547787.076076</v>
      </c>
    </row>
    <row r="27" customFormat="false" ht="15" hidden="false" customHeight="false" outlineLevel="0" collapsed="false">
      <c r="A27" s="12" t="n">
        <f aca="false">0.03+0.0025*22</f>
        <v>0.085</v>
      </c>
      <c r="B27" s="4" t="str">
        <f aca="false">IF(A27&lt;'SEC-IRBA'!$B$5,"below KIRB",IF(C27&lt;=0.15,"floor binds",""))</f>
        <v/>
      </c>
      <c r="C27" s="12" t="n">
        <f aca="false">MAX(0.15,12.5*IF((1)&lt;=('SEC-IRBA'!$B$5),1,IF((A27)&gt;=('SEC-IRBA'!$B$5),(EXP((-1/(('Capital released'!$B$15)*('SEC-IRBA'!$B$5)))*((1)-('SEC-IRBA'!$B$5)))-EXP((-1/(('Capital released'!$B$15)*('SEC-IRBA'!$B$5)))*MAX((A27)-('SEC-IRBA'!$B$5),0)))/((-1/(('Capital released'!$B$15)*('SEC-IRBA'!$B$5)))*(((1)-('SEC-IRBA'!$B$5))-MAX((A27)-('SEC-IRBA'!$B$5),0))),(('SEC-IRBA'!$B$5)-(A27))/((1)-(A27))+(1-(('SEC-IRBA'!$B$5)-(A27))/((1)-(A27)))*(EXP((-1/(('Capital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0.220903203013666</v>
      </c>
      <c r="D27" s="13" t="n">
        <f aca="false">'Capital released'!$B$30-(C27*(1-A27)*'SEC-IRBA'!$B$13*'Capital released'!$B$9+A27*'SEC-IRBA'!$B$13*'Capital released'!$B$6)</f>
        <v>289257068.093289</v>
      </c>
      <c r="E27" s="12" t="n">
        <f aca="false">MAX(0.1,12.5*IF((1)&lt;=('SEC-IRBA'!$B$5),1,IF((A27)&gt;=('SEC-IRBA'!$B$5),(EXP((-1/(('Capital released'!$B$44)*('SEC-IRBA'!$B$5)))*((1)-('SEC-IRBA'!$B$5)))-EXP((-1/(('Capital released'!$B$44)*('SEC-IRBA'!$B$5)))*MAX((A27)-('SEC-IRBA'!$B$5),0)))/((-1/(('Capital released'!$B$44)*('SEC-IRBA'!$B$5)))*(((1)-('SEC-IRBA'!$B$5))-MAX((A27)-('SEC-IRBA'!$B$5),0))),(('SEC-IRBA'!$B$5)-(A27))/((1)-(A27))+(1-(('SEC-IRBA'!$B$5)-(A27))/((1)-(A27)))*(EXP((-1/(('Capital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27" s="13" t="n">
        <f aca="false">'Capital released'!$B$30-(E27*(1-A27)*'SEC-IRBA'!$B$13*'Capital released'!$B$9+A27*'SEC-IRBA'!$B$13*'Capital released'!$B$6)</f>
        <v>348995340.702342</v>
      </c>
      <c r="G27" s="13" t="n">
        <f aca="false">'Capital released'!$B$30-(MIN(C27,'Capital released'!$B$19)*(1-A27)*'SEC-IRBA'!$B$13*'Capital released'!$B$9+A27*'SEC-IRBA'!$B$13*'Capital released'!$B$6)</f>
        <v>289257068.093289</v>
      </c>
    </row>
    <row r="28" customFormat="false" ht="15" hidden="false" customHeight="false" outlineLevel="0" collapsed="false">
      <c r="A28" s="12" t="n">
        <f aca="false">0.03+0.0025*23</f>
        <v>0.0875</v>
      </c>
      <c r="B28" s="4" t="str">
        <f aca="false">IF(A28&lt;'SEC-IRBA'!$B$5,"below KIRB",IF(C28&lt;=0.15,"floor binds",""))</f>
        <v/>
      </c>
      <c r="C28" s="12" t="n">
        <f aca="false">MAX(0.15,12.5*IF((1)&lt;=('SEC-IRBA'!$B$5),1,IF((A28)&gt;=('SEC-IRBA'!$B$5),(EXP((-1/(('Capital released'!$B$15)*('SEC-IRBA'!$B$5)))*((1)-('SEC-IRBA'!$B$5)))-EXP((-1/(('Capital released'!$B$15)*('SEC-IRBA'!$B$5)))*MAX((A28)-('SEC-IRBA'!$B$5),0)))/((-1/(('Capital released'!$B$15)*('SEC-IRBA'!$B$5)))*(((1)-('SEC-IRBA'!$B$5))-MAX((A28)-('SEC-IRBA'!$B$5),0))),(('SEC-IRBA'!$B$5)-(A28))/((1)-(A28))+(1-(('SEC-IRBA'!$B$5)-(A28))/((1)-(A28)))*(EXP((-1/(('Capital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0.204273072334408</v>
      </c>
      <c r="D28" s="13" t="n">
        <f aca="false">'Capital released'!$B$30-(C28*(1-A28)*'SEC-IRBA'!$B$13*'Capital released'!$B$9+A28*'SEC-IRBA'!$B$13*'Capital released'!$B$6)</f>
        <v>297249784.309562</v>
      </c>
      <c r="E28" s="12" t="n">
        <f aca="false">MAX(0.1,12.5*IF((1)&lt;=('SEC-IRBA'!$B$5),1,IF((A28)&gt;=('SEC-IRBA'!$B$5),(EXP((-1/(('Capital released'!$B$44)*('SEC-IRBA'!$B$5)))*((1)-('SEC-IRBA'!$B$5)))-EXP((-1/(('Capital released'!$B$44)*('SEC-IRBA'!$B$5)))*MAX((A28)-('SEC-IRBA'!$B$5),0)))/((-1/(('Capital released'!$B$44)*('SEC-IRBA'!$B$5)))*(((1)-('SEC-IRBA'!$B$5))-MAX((A28)-('SEC-IRBA'!$B$5),0))),(('SEC-IRBA'!$B$5)-(A28))/((1)-(A28))+(1-(('SEC-IRBA'!$B$5)-(A28))/((1)-(A28)))*(EXP((-1/(('Capital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28" s="13" t="n">
        <f aca="false">'Capital released'!$B$30-(E28*(1-A28)*'SEC-IRBA'!$B$13*'Capital released'!$B$9+A28*'SEC-IRBA'!$B$13*'Capital released'!$B$6)</f>
        <v>348630340.702342</v>
      </c>
      <c r="G28" s="13" t="n">
        <f aca="false">'Capital released'!$B$30-(MIN(C28,'Capital released'!$B$19)*(1-A28)*'SEC-IRBA'!$B$13*'Capital released'!$B$9+A28*'SEC-IRBA'!$B$13*'Capital released'!$B$6)</f>
        <v>297249784.309562</v>
      </c>
    </row>
    <row r="29" customFormat="false" ht="15" hidden="false" customHeight="false" outlineLevel="0" collapsed="false">
      <c r="A29" s="12" t="n">
        <f aca="false">0.03+0.0025*24</f>
        <v>0.09</v>
      </c>
      <c r="B29" s="4" t="str">
        <f aca="false">IF(A29&lt;'SEC-IRBA'!$B$5,"below KIRB",IF(C29&lt;=0.15,"floor binds",""))</f>
        <v/>
      </c>
      <c r="C29" s="12" t="n">
        <f aca="false">MAX(0.15,12.5*IF((1)&lt;=('SEC-IRBA'!$B$5),1,IF((A29)&gt;=('SEC-IRBA'!$B$5),(EXP((-1/(('Capital released'!$B$15)*('SEC-IRBA'!$B$5)))*((1)-('SEC-IRBA'!$B$5)))-EXP((-1/(('Capital released'!$B$15)*('SEC-IRBA'!$B$5)))*MAX((A29)-('SEC-IRBA'!$B$5),0)))/((-1/(('Capital released'!$B$15)*('SEC-IRBA'!$B$5)))*(((1)-('SEC-IRBA'!$B$5))-MAX((A29)-('SEC-IRBA'!$B$5),0))),(('SEC-IRBA'!$B$5)-(A29))/((1)-(A29))+(1-(('SEC-IRBA'!$B$5)-(A29))/((1)-(A29)))*(EXP((-1/(('Capital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0.188896316235632</v>
      </c>
      <c r="D29" s="13" t="n">
        <f aca="false">'Capital released'!$B$30-(C29*(1-A29)*'SEC-IRBA'!$B$13*'Capital released'!$B$9+A29*'SEC-IRBA'!$B$13*'Capital released'!$B$6)</f>
        <v>304581690.904152</v>
      </c>
      <c r="E29" s="12" t="n">
        <f aca="false">MAX(0.1,12.5*IF((1)&lt;=('SEC-IRBA'!$B$5),1,IF((A29)&gt;=('SEC-IRBA'!$B$5),(EXP((-1/(('Capital released'!$B$44)*('SEC-IRBA'!$B$5)))*((1)-('SEC-IRBA'!$B$5)))-EXP((-1/(('Capital released'!$B$44)*('SEC-IRBA'!$B$5)))*MAX((A29)-('SEC-IRBA'!$B$5),0)))/((-1/(('Capital released'!$B$44)*('SEC-IRBA'!$B$5)))*(((1)-('SEC-IRBA'!$B$5))-MAX((A29)-('SEC-IRBA'!$B$5),0))),(('SEC-IRBA'!$B$5)-(A29))/((1)-(A29))+(1-(('SEC-IRBA'!$B$5)-(A29))/((1)-(A29)))*(EXP((-1/(('Capital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29" s="13" t="n">
        <f aca="false">'Capital released'!$B$30-(E29*(1-A29)*'SEC-IRBA'!$B$13*'Capital released'!$B$9+A29*'SEC-IRBA'!$B$13*'Capital released'!$B$6)</f>
        <v>348265340.702342</v>
      </c>
      <c r="G29" s="13" t="n">
        <f aca="false">'Capital released'!$B$30-(MIN(C29,'Capital released'!$B$19)*(1-A29)*'SEC-IRBA'!$B$13*'Capital released'!$B$9+A29*'SEC-IRBA'!$B$13*'Capital released'!$B$6)</f>
        <v>304581690.904152</v>
      </c>
    </row>
    <row r="30" customFormat="false" ht="15" hidden="false" customHeight="false" outlineLevel="0" collapsed="false">
      <c r="A30" s="12" t="n">
        <f aca="false">0.03+0.0025*25</f>
        <v>0.0925</v>
      </c>
      <c r="B30" s="4" t="str">
        <f aca="false">IF(A30&lt;'SEC-IRBA'!$B$5,"below KIRB",IF(C30&lt;=0.15,"floor binds",""))</f>
        <v/>
      </c>
      <c r="C30" s="12" t="n">
        <f aca="false">MAX(0.15,12.5*IF((1)&lt;=('SEC-IRBA'!$B$5),1,IF((A30)&gt;=('SEC-IRBA'!$B$5),(EXP((-1/(('Capital released'!$B$15)*('SEC-IRBA'!$B$5)))*((1)-('SEC-IRBA'!$B$5)))-EXP((-1/(('Capital released'!$B$15)*('SEC-IRBA'!$B$5)))*MAX((A30)-('SEC-IRBA'!$B$5),0)))/((-1/(('Capital released'!$B$15)*('SEC-IRBA'!$B$5)))*(((1)-('SEC-IRBA'!$B$5))-MAX((A30)-('SEC-IRBA'!$B$5),0))),(('SEC-IRBA'!$B$5)-(A30))/((1)-(A30))+(1-(('SEC-IRBA'!$B$5)-(A30))/((1)-(A30)))*(EXP((-1/(('Capital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0.174678371390442</v>
      </c>
      <c r="D30" s="13" t="n">
        <f aca="false">'Capital released'!$B$30-(C30*(1-A30)*'SEC-IRBA'!$B$13*'Capital released'!$B$9+A30*'SEC-IRBA'!$B$13*'Capital released'!$B$6)</f>
        <v>311304204.802456</v>
      </c>
      <c r="E30" s="12" t="n">
        <f aca="false">MAX(0.1,12.5*IF((1)&lt;=('SEC-IRBA'!$B$5),1,IF((A30)&gt;=('SEC-IRBA'!$B$5),(EXP((-1/(('Capital released'!$B$44)*('SEC-IRBA'!$B$5)))*((1)-('SEC-IRBA'!$B$5)))-EXP((-1/(('Capital released'!$B$44)*('SEC-IRBA'!$B$5)))*MAX((A30)-('SEC-IRBA'!$B$5),0)))/((-1/(('Capital released'!$B$44)*('SEC-IRBA'!$B$5)))*(((1)-('SEC-IRBA'!$B$5))-MAX((A30)-('SEC-IRBA'!$B$5),0))),(('SEC-IRBA'!$B$5)-(A30))/((1)-(A30))+(1-(('SEC-IRBA'!$B$5)-(A30))/((1)-(A30)))*(EXP((-1/(('Capital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30" s="13" t="n">
        <f aca="false">'Capital released'!$B$30-(E30*(1-A30)*'SEC-IRBA'!$B$13*'Capital released'!$B$9+A30*'SEC-IRBA'!$B$13*'Capital released'!$B$6)</f>
        <v>347900340.702342</v>
      </c>
      <c r="G30" s="13" t="n">
        <f aca="false">'Capital released'!$B$30-(MIN(C30,'Capital released'!$B$19)*(1-A30)*'SEC-IRBA'!$B$13*'Capital released'!$B$9+A30*'SEC-IRBA'!$B$13*'Capital released'!$B$6)</f>
        <v>311304204.802456</v>
      </c>
    </row>
    <row r="31" customFormat="false" ht="15" hidden="false" customHeight="false" outlineLevel="0" collapsed="false">
      <c r="A31" s="12" t="n">
        <f aca="false">0.03+0.0025*26</f>
        <v>0.095</v>
      </c>
      <c r="B31" s="4" t="str">
        <f aca="false">IF(A31&lt;'SEC-IRBA'!$B$5,"below KIRB",IF(C31&lt;=0.15,"floor binds",""))</f>
        <v/>
      </c>
      <c r="C31" s="12" t="n">
        <f aca="false">MAX(0.15,12.5*IF((1)&lt;=('SEC-IRBA'!$B$5),1,IF((A31)&gt;=('SEC-IRBA'!$B$5),(EXP((-1/(('Capital released'!$B$15)*('SEC-IRBA'!$B$5)))*((1)-('SEC-IRBA'!$B$5)))-EXP((-1/(('Capital released'!$B$15)*('SEC-IRBA'!$B$5)))*MAX((A31)-('SEC-IRBA'!$B$5),0)))/((-1/(('Capital released'!$B$15)*('SEC-IRBA'!$B$5)))*(((1)-('SEC-IRBA'!$B$5))-MAX((A31)-('SEC-IRBA'!$B$5),0))),(('SEC-IRBA'!$B$5)-(A31))/((1)-(A31))+(1-(('SEC-IRBA'!$B$5)-(A31))/((1)-(A31)))*(EXP((-1/(('Capital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0.161531815983642</v>
      </c>
      <c r="D31" s="13" t="n">
        <f aca="false">'Capital released'!$B$30-(C31*(1-A31)*'SEC-IRBA'!$B$13*'Capital released'!$B$9+A31*'SEC-IRBA'!$B$13*'Capital released'!$B$6)</f>
        <v>317464742.231136</v>
      </c>
      <c r="E31" s="12" t="n">
        <f aca="false">MAX(0.1,12.5*IF((1)&lt;=('SEC-IRBA'!$B$5),1,IF((A31)&gt;=('SEC-IRBA'!$B$5),(EXP((-1/(('Capital released'!$B$44)*('SEC-IRBA'!$B$5)))*((1)-('SEC-IRBA'!$B$5)))-EXP((-1/(('Capital released'!$B$44)*('SEC-IRBA'!$B$5)))*MAX((A31)-('SEC-IRBA'!$B$5),0)))/((-1/(('Capital released'!$B$44)*('SEC-IRBA'!$B$5)))*(((1)-('SEC-IRBA'!$B$5))-MAX((A31)-('SEC-IRBA'!$B$5),0))),(('SEC-IRBA'!$B$5)-(A31))/((1)-(A31))+(1-(('SEC-IRBA'!$B$5)-(A31))/((1)-(A31)))*(EXP((-1/(('Capital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31" s="13" t="n">
        <f aca="false">'Capital released'!$B$30-(E31*(1-A31)*'SEC-IRBA'!$B$13*'Capital released'!$B$9+A31*'SEC-IRBA'!$B$13*'Capital released'!$B$6)</f>
        <v>347535340.702342</v>
      </c>
      <c r="G31" s="13" t="n">
        <f aca="false">'Capital released'!$B$30-(MIN(C31,'Capital released'!$B$19)*(1-A31)*'SEC-IRBA'!$B$13*'Capital released'!$B$9+A31*'SEC-IRBA'!$B$13*'Capital released'!$B$6)</f>
        <v>317464742.231136</v>
      </c>
    </row>
    <row r="32" customFormat="false" ht="15" hidden="false" customHeight="false" outlineLevel="0" collapsed="false">
      <c r="A32" s="12" t="n">
        <f aca="false">0.03+0.0025*27</f>
        <v>0.0975</v>
      </c>
      <c r="B32" s="4" t="str">
        <f aca="false">IF(A32&lt;'SEC-IRBA'!$B$5,"below KIRB",IF(C32&lt;=0.15,"floor binds",""))</f>
        <v>floor binds</v>
      </c>
      <c r="C32" s="12" t="n">
        <f aca="false">MAX(0.15,12.5*IF((1)&lt;=('SEC-IRBA'!$B$5),1,IF((A32)&gt;=('SEC-IRBA'!$B$5),(EXP((-1/(('Capital released'!$B$15)*('SEC-IRBA'!$B$5)))*((1)-('SEC-IRBA'!$B$5)))-EXP((-1/(('Capital released'!$B$15)*('SEC-IRBA'!$B$5)))*MAX((A32)-('SEC-IRBA'!$B$5),0)))/((-1/(('Capital released'!$B$15)*('SEC-IRBA'!$B$5)))*(((1)-('SEC-IRBA'!$B$5))-MAX((A32)-('SEC-IRBA'!$B$5),0))),(('SEC-IRBA'!$B$5)-(A32))/((1)-(A32))+(1-(('SEC-IRBA'!$B$5)-(A32))/((1)-(A32)))*(EXP((-1/(('Capital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32" s="13" t="n">
        <f aca="false">'Capital released'!$B$30-(C32*(1-A32)*'SEC-IRBA'!$B$13*'Capital released'!$B$9+A32*'SEC-IRBA'!$B$13*'Capital released'!$B$6)</f>
        <v>322802840.702342</v>
      </c>
      <c r="E32" s="12" t="n">
        <f aca="false">MAX(0.1,12.5*IF((1)&lt;=('SEC-IRBA'!$B$5),1,IF((A32)&gt;=('SEC-IRBA'!$B$5),(EXP((-1/(('Capital released'!$B$44)*('SEC-IRBA'!$B$5)))*((1)-('SEC-IRBA'!$B$5)))-EXP((-1/(('Capital released'!$B$44)*('SEC-IRBA'!$B$5)))*MAX((A32)-('SEC-IRBA'!$B$5),0)))/((-1/(('Capital released'!$B$44)*('SEC-IRBA'!$B$5)))*(((1)-('SEC-IRBA'!$B$5))-MAX((A32)-('SEC-IRBA'!$B$5),0))),(('SEC-IRBA'!$B$5)-(A32))/((1)-(A32))+(1-(('SEC-IRBA'!$B$5)-(A32))/((1)-(A32)))*(EXP((-1/(('Capital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32" s="13" t="n">
        <f aca="false">'Capital released'!$B$30-(E32*(1-A32)*'SEC-IRBA'!$B$13*'Capital released'!$B$9+A32*'SEC-IRBA'!$B$13*'Capital released'!$B$6)</f>
        <v>347170340.702342</v>
      </c>
      <c r="G32" s="13" t="n">
        <f aca="false">'Capital released'!$B$30-(MIN(C32,'Capital released'!$B$19)*(1-A32)*'SEC-IRBA'!$B$13*'Capital released'!$B$9+A32*'SEC-IRBA'!$B$13*'Capital released'!$B$6)</f>
        <v>322802840.702342</v>
      </c>
    </row>
    <row r="33" customFormat="false" ht="15" hidden="false" customHeight="false" outlineLevel="0" collapsed="false">
      <c r="A33" s="12" t="n">
        <f aca="false">0.03+0.0025*28</f>
        <v>0.1</v>
      </c>
      <c r="B33" s="4" t="str">
        <f aca="false">IF(A33&lt;'SEC-IRBA'!$B$5,"below KIRB",IF(C33&lt;=0.15,"floor binds",""))</f>
        <v>floor binds</v>
      </c>
      <c r="C33" s="12" t="n">
        <f aca="false">MAX(0.15,12.5*IF((1)&lt;=('SEC-IRBA'!$B$5),1,IF((A33)&gt;=('SEC-IRBA'!$B$5),(EXP((-1/(('Capital released'!$B$15)*('SEC-IRBA'!$B$5)))*((1)-('SEC-IRBA'!$B$5)))-EXP((-1/(('Capital released'!$B$15)*('SEC-IRBA'!$B$5)))*MAX((A33)-('SEC-IRBA'!$B$5),0)))/((-1/(('Capital released'!$B$15)*('SEC-IRBA'!$B$5)))*(((1)-('SEC-IRBA'!$B$5))-MAX((A33)-('SEC-IRBA'!$B$5),0))),(('SEC-IRBA'!$B$5)-(A33))/((1)-(A33))+(1-(('SEC-IRBA'!$B$5)-(A33))/((1)-(A33)))*(EXP((-1/(('Capital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33" s="13" t="n">
        <f aca="false">'Capital released'!$B$30-(C33*(1-A33)*'SEC-IRBA'!$B$13*'Capital released'!$B$9+A33*'SEC-IRBA'!$B$13*'Capital released'!$B$6)</f>
        <v>322505340.702342</v>
      </c>
      <c r="E33" s="12" t="n">
        <f aca="false">MAX(0.1,12.5*IF((1)&lt;=('SEC-IRBA'!$B$5),1,IF((A33)&gt;=('SEC-IRBA'!$B$5),(EXP((-1/(('Capital released'!$B$44)*('SEC-IRBA'!$B$5)))*((1)-('SEC-IRBA'!$B$5)))-EXP((-1/(('Capital released'!$B$44)*('SEC-IRBA'!$B$5)))*MAX((A33)-('SEC-IRBA'!$B$5),0)))/((-1/(('Capital released'!$B$44)*('SEC-IRBA'!$B$5)))*(((1)-('SEC-IRBA'!$B$5))-MAX((A33)-('SEC-IRBA'!$B$5),0))),(('SEC-IRBA'!$B$5)-(A33))/((1)-(A33))+(1-(('SEC-IRBA'!$B$5)-(A33))/((1)-(A33)))*(EXP((-1/(('Capital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33" s="13" t="n">
        <f aca="false">'Capital released'!$B$30-(E33*(1-A33)*'SEC-IRBA'!$B$13*'Capital released'!$B$9+A33*'SEC-IRBA'!$B$13*'Capital released'!$B$6)</f>
        <v>346805340.702342</v>
      </c>
      <c r="G33" s="13" t="n">
        <f aca="false">'Capital released'!$B$30-(MIN(C33,'Capital released'!$B$19)*(1-A33)*'SEC-IRBA'!$B$13*'Capital released'!$B$9+A33*'SEC-IRBA'!$B$13*'Capital released'!$B$6)</f>
        <v>322505340.702342</v>
      </c>
    </row>
    <row r="34" customFormat="false" ht="15" hidden="false" customHeight="false" outlineLevel="0" collapsed="false">
      <c r="A34" s="12" t="n">
        <f aca="false">0.03+0.0025*29</f>
        <v>0.1025</v>
      </c>
      <c r="B34" s="4" t="str">
        <f aca="false">IF(A34&lt;'SEC-IRBA'!$B$5,"below KIRB",IF(C34&lt;=0.15,"floor binds",""))</f>
        <v>floor binds</v>
      </c>
      <c r="C34" s="12" t="n">
        <f aca="false">MAX(0.15,12.5*IF((1)&lt;=('SEC-IRBA'!$B$5),1,IF((A34)&gt;=('SEC-IRBA'!$B$5),(EXP((-1/(('Capital released'!$B$15)*('SEC-IRBA'!$B$5)))*((1)-('SEC-IRBA'!$B$5)))-EXP((-1/(('Capital released'!$B$15)*('SEC-IRBA'!$B$5)))*MAX((A34)-('SEC-IRBA'!$B$5),0)))/((-1/(('Capital released'!$B$15)*('SEC-IRBA'!$B$5)))*(((1)-('SEC-IRBA'!$B$5))-MAX((A34)-('SEC-IRBA'!$B$5),0))),(('SEC-IRBA'!$B$5)-(A34))/((1)-(A34))+(1-(('SEC-IRBA'!$B$5)-(A34))/((1)-(A34)))*(EXP((-1/(('Capital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34" s="13" t="n">
        <f aca="false">'Capital released'!$B$30-(C34*(1-A34)*'SEC-IRBA'!$B$13*'Capital released'!$B$9+A34*'SEC-IRBA'!$B$13*'Capital released'!$B$6)</f>
        <v>322207840.702342</v>
      </c>
      <c r="E34" s="12" t="n">
        <f aca="false">MAX(0.1,12.5*IF((1)&lt;=('SEC-IRBA'!$B$5),1,IF((A34)&gt;=('SEC-IRBA'!$B$5),(EXP((-1/(('Capital released'!$B$44)*('SEC-IRBA'!$B$5)))*((1)-('SEC-IRBA'!$B$5)))-EXP((-1/(('Capital released'!$B$44)*('SEC-IRBA'!$B$5)))*MAX((A34)-('SEC-IRBA'!$B$5),0)))/((-1/(('Capital released'!$B$44)*('SEC-IRBA'!$B$5)))*(((1)-('SEC-IRBA'!$B$5))-MAX((A34)-('SEC-IRBA'!$B$5),0))),(('SEC-IRBA'!$B$5)-(A34))/((1)-(A34))+(1-(('SEC-IRBA'!$B$5)-(A34))/((1)-(A34)))*(EXP((-1/(('Capital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34" s="13" t="n">
        <f aca="false">'Capital released'!$B$30-(E34*(1-A34)*'SEC-IRBA'!$B$13*'Capital released'!$B$9+A34*'SEC-IRBA'!$B$13*'Capital released'!$B$6)</f>
        <v>346440340.702342</v>
      </c>
      <c r="G34" s="13" t="n">
        <f aca="false">'Capital released'!$B$30-(MIN(C34,'Capital released'!$B$19)*(1-A34)*'SEC-IRBA'!$B$13*'Capital released'!$B$9+A34*'SEC-IRBA'!$B$13*'Capital released'!$B$6)</f>
        <v>322207840.702342</v>
      </c>
    </row>
    <row r="35" customFormat="false" ht="15" hidden="false" customHeight="false" outlineLevel="0" collapsed="false">
      <c r="A35" s="12" t="n">
        <f aca="false">0.03+0.0025*30</f>
        <v>0.105</v>
      </c>
      <c r="B35" s="4" t="str">
        <f aca="false">IF(A35&lt;'SEC-IRBA'!$B$5,"below KIRB",IF(C35&lt;=0.15,"floor binds",""))</f>
        <v>floor binds</v>
      </c>
      <c r="C35" s="12" t="n">
        <f aca="false">MAX(0.15,12.5*IF((1)&lt;=('SEC-IRBA'!$B$5),1,IF((A35)&gt;=('SEC-IRBA'!$B$5),(EXP((-1/(('Capital released'!$B$15)*('SEC-IRBA'!$B$5)))*((1)-('SEC-IRBA'!$B$5)))-EXP((-1/(('Capital released'!$B$15)*('SEC-IRBA'!$B$5)))*MAX((A35)-('SEC-IRBA'!$B$5),0)))/((-1/(('Capital released'!$B$15)*('SEC-IRBA'!$B$5)))*(((1)-('SEC-IRBA'!$B$5))-MAX((A35)-('SEC-IRBA'!$B$5),0))),(('SEC-IRBA'!$B$5)-(A35))/((1)-(A35))+(1-(('SEC-IRBA'!$B$5)-(A35))/((1)-(A35)))*(EXP((-1/(('Capital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35" s="13" t="n">
        <f aca="false">'Capital released'!$B$30-(C35*(1-A35)*'SEC-IRBA'!$B$13*'Capital released'!$B$9+A35*'SEC-IRBA'!$B$13*'Capital released'!$B$6)</f>
        <v>321910340.702342</v>
      </c>
      <c r="E35" s="12" t="n">
        <f aca="false">MAX(0.1,12.5*IF((1)&lt;=('SEC-IRBA'!$B$5),1,IF((A35)&gt;=('SEC-IRBA'!$B$5),(EXP((-1/(('Capital released'!$B$44)*('SEC-IRBA'!$B$5)))*((1)-('SEC-IRBA'!$B$5)))-EXP((-1/(('Capital released'!$B$44)*('SEC-IRBA'!$B$5)))*MAX((A35)-('SEC-IRBA'!$B$5),0)))/((-1/(('Capital released'!$B$44)*('SEC-IRBA'!$B$5)))*(((1)-('SEC-IRBA'!$B$5))-MAX((A35)-('SEC-IRBA'!$B$5),0))),(('SEC-IRBA'!$B$5)-(A35))/((1)-(A35))+(1-(('SEC-IRBA'!$B$5)-(A35))/((1)-(A35)))*(EXP((-1/(('Capital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35" s="13" t="n">
        <f aca="false">'Capital released'!$B$30-(E35*(1-A35)*'SEC-IRBA'!$B$13*'Capital released'!$B$9+A35*'SEC-IRBA'!$B$13*'Capital released'!$B$6)</f>
        <v>346075340.702342</v>
      </c>
      <c r="G35" s="13" t="n">
        <f aca="false">'Capital released'!$B$30-(MIN(C35,'Capital released'!$B$19)*(1-A35)*'SEC-IRBA'!$B$13*'Capital released'!$B$9+A35*'SEC-IRBA'!$B$13*'Capital released'!$B$6)</f>
        <v>321910340.702342</v>
      </c>
    </row>
    <row r="36" customFormat="false" ht="15" hidden="false" customHeight="false" outlineLevel="0" collapsed="false">
      <c r="A36" s="12" t="n">
        <f aca="false">0.03+0.0025*31</f>
        <v>0.1075</v>
      </c>
      <c r="B36" s="4" t="str">
        <f aca="false">IF(A36&lt;'SEC-IRBA'!$B$5,"below KIRB",IF(C36&lt;=0.15,"floor binds",""))</f>
        <v>floor binds</v>
      </c>
      <c r="C36" s="12" t="n">
        <f aca="false">MAX(0.15,12.5*IF((1)&lt;=('SEC-IRBA'!$B$5),1,IF((A36)&gt;=('SEC-IRBA'!$B$5),(EXP((-1/(('Capital released'!$B$15)*('SEC-IRBA'!$B$5)))*((1)-('SEC-IRBA'!$B$5)))-EXP((-1/(('Capital released'!$B$15)*('SEC-IRBA'!$B$5)))*MAX((A36)-('SEC-IRBA'!$B$5),0)))/((-1/(('Capital released'!$B$15)*('SEC-IRBA'!$B$5)))*(((1)-('SEC-IRBA'!$B$5))-MAX((A36)-('SEC-IRBA'!$B$5),0))),(('SEC-IRBA'!$B$5)-(A36))/((1)-(A36))+(1-(('SEC-IRBA'!$B$5)-(A36))/((1)-(A36)))*(EXP((-1/(('Capital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36" s="13" t="n">
        <f aca="false">'Capital released'!$B$30-(C36*(1-A36)*'SEC-IRBA'!$B$13*'Capital released'!$B$9+A36*'SEC-IRBA'!$B$13*'Capital released'!$B$6)</f>
        <v>321612840.702342</v>
      </c>
      <c r="E36" s="12" t="n">
        <f aca="false">MAX(0.1,12.5*IF((1)&lt;=('SEC-IRBA'!$B$5),1,IF((A36)&gt;=('SEC-IRBA'!$B$5),(EXP((-1/(('Capital released'!$B$44)*('SEC-IRBA'!$B$5)))*((1)-('SEC-IRBA'!$B$5)))-EXP((-1/(('Capital released'!$B$44)*('SEC-IRBA'!$B$5)))*MAX((A36)-('SEC-IRBA'!$B$5),0)))/((-1/(('Capital released'!$B$44)*('SEC-IRBA'!$B$5)))*(((1)-('SEC-IRBA'!$B$5))-MAX((A36)-('SEC-IRBA'!$B$5),0))),(('SEC-IRBA'!$B$5)-(A36))/((1)-(A36))+(1-(('SEC-IRBA'!$B$5)-(A36))/((1)-(A36)))*(EXP((-1/(('Capital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36" s="13" t="n">
        <f aca="false">'Capital released'!$B$30-(E36*(1-A36)*'SEC-IRBA'!$B$13*'Capital released'!$B$9+A36*'SEC-IRBA'!$B$13*'Capital released'!$B$6)</f>
        <v>345710340.702342</v>
      </c>
      <c r="G36" s="13" t="n">
        <f aca="false">'Capital released'!$B$30-(MIN(C36,'Capital released'!$B$19)*(1-A36)*'SEC-IRBA'!$B$13*'Capital released'!$B$9+A36*'SEC-IRBA'!$B$13*'Capital released'!$B$6)</f>
        <v>321612840.702342</v>
      </c>
    </row>
    <row r="37" customFormat="false" ht="15" hidden="false" customHeight="false" outlineLevel="0" collapsed="false">
      <c r="A37" s="12" t="n">
        <f aca="false">0.03+0.0025*32</f>
        <v>0.11</v>
      </c>
      <c r="B37" s="4" t="str">
        <f aca="false">IF(A37&lt;'SEC-IRBA'!$B$5,"below KIRB",IF(C37&lt;=0.15,"floor binds",""))</f>
        <v>floor binds</v>
      </c>
      <c r="C37" s="12" t="n">
        <f aca="false">MAX(0.15,12.5*IF((1)&lt;=('SEC-IRBA'!$B$5),1,IF((A37)&gt;=('SEC-IRBA'!$B$5),(EXP((-1/(('Capital released'!$B$15)*('SEC-IRBA'!$B$5)))*((1)-('SEC-IRBA'!$B$5)))-EXP((-1/(('Capital released'!$B$15)*('SEC-IRBA'!$B$5)))*MAX((A37)-('SEC-IRBA'!$B$5),0)))/((-1/(('Capital released'!$B$15)*('SEC-IRBA'!$B$5)))*(((1)-('SEC-IRBA'!$B$5))-MAX((A37)-('SEC-IRBA'!$B$5),0))),(('SEC-IRBA'!$B$5)-(A37))/((1)-(A37))+(1-(('SEC-IRBA'!$B$5)-(A37))/((1)-(A37)))*(EXP((-1/(('Capital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37" s="13" t="n">
        <f aca="false">'Capital released'!$B$30-(C37*(1-A37)*'SEC-IRBA'!$B$13*'Capital released'!$B$9+A37*'SEC-IRBA'!$B$13*'Capital released'!$B$6)</f>
        <v>321315340.702342</v>
      </c>
      <c r="E37" s="12" t="n">
        <f aca="false">MAX(0.1,12.5*IF((1)&lt;=('SEC-IRBA'!$B$5),1,IF((A37)&gt;=('SEC-IRBA'!$B$5),(EXP((-1/(('Capital released'!$B$44)*('SEC-IRBA'!$B$5)))*((1)-('SEC-IRBA'!$B$5)))-EXP((-1/(('Capital released'!$B$44)*('SEC-IRBA'!$B$5)))*MAX((A37)-('SEC-IRBA'!$B$5),0)))/((-1/(('Capital released'!$B$44)*('SEC-IRBA'!$B$5)))*(((1)-('SEC-IRBA'!$B$5))-MAX((A37)-('SEC-IRBA'!$B$5),0))),(('SEC-IRBA'!$B$5)-(A37))/((1)-(A37))+(1-(('SEC-IRBA'!$B$5)-(A37))/((1)-(A37)))*(EXP((-1/(('Capital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37" s="13" t="n">
        <f aca="false">'Capital released'!$B$30-(E37*(1-A37)*'SEC-IRBA'!$B$13*'Capital released'!$B$9+A37*'SEC-IRBA'!$B$13*'Capital released'!$B$6)</f>
        <v>345345340.702342</v>
      </c>
      <c r="G37" s="13" t="n">
        <f aca="false">'Capital released'!$B$30-(MIN(C37,'Capital released'!$B$19)*(1-A37)*'SEC-IRBA'!$B$13*'Capital released'!$B$9+A37*'SEC-IRBA'!$B$13*'Capital released'!$B$6)</f>
        <v>321315340.702342</v>
      </c>
    </row>
    <row r="38" customFormat="false" ht="15" hidden="false" customHeight="false" outlineLevel="0" collapsed="false">
      <c r="A38" s="12" t="n">
        <f aca="false">0.03+0.0025*33</f>
        <v>0.1125</v>
      </c>
      <c r="B38" s="4" t="str">
        <f aca="false">IF(A38&lt;'SEC-IRBA'!$B$5,"below KIRB",IF(C38&lt;=0.15,"floor binds",""))</f>
        <v>floor binds</v>
      </c>
      <c r="C38" s="12" t="n">
        <f aca="false">MAX(0.15,12.5*IF((1)&lt;=('SEC-IRBA'!$B$5),1,IF((A38)&gt;=('SEC-IRBA'!$B$5),(EXP((-1/(('Capital released'!$B$15)*('SEC-IRBA'!$B$5)))*((1)-('SEC-IRBA'!$B$5)))-EXP((-1/(('Capital released'!$B$15)*('SEC-IRBA'!$B$5)))*MAX((A38)-('SEC-IRBA'!$B$5),0)))/((-1/(('Capital released'!$B$15)*('SEC-IRBA'!$B$5)))*(((1)-('SEC-IRBA'!$B$5))-MAX((A38)-('SEC-IRBA'!$B$5),0))),(('SEC-IRBA'!$B$5)-(A38))/((1)-(A38))+(1-(('SEC-IRBA'!$B$5)-(A38))/((1)-(A38)))*(EXP((-1/(('Capital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38" s="13" t="n">
        <f aca="false">'Capital released'!$B$30-(C38*(1-A38)*'SEC-IRBA'!$B$13*'Capital released'!$B$9+A38*'SEC-IRBA'!$B$13*'Capital released'!$B$6)</f>
        <v>321017840.702342</v>
      </c>
      <c r="E38" s="12" t="n">
        <f aca="false">MAX(0.1,12.5*IF((1)&lt;=('SEC-IRBA'!$B$5),1,IF((A38)&gt;=('SEC-IRBA'!$B$5),(EXP((-1/(('Capital released'!$B$44)*('SEC-IRBA'!$B$5)))*((1)-('SEC-IRBA'!$B$5)))-EXP((-1/(('Capital released'!$B$44)*('SEC-IRBA'!$B$5)))*MAX((A38)-('SEC-IRBA'!$B$5),0)))/((-1/(('Capital released'!$B$44)*('SEC-IRBA'!$B$5)))*(((1)-('SEC-IRBA'!$B$5))-MAX((A38)-('SEC-IRBA'!$B$5),0))),(('SEC-IRBA'!$B$5)-(A38))/((1)-(A38))+(1-(('SEC-IRBA'!$B$5)-(A38))/((1)-(A38)))*(EXP((-1/(('Capital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38" s="13" t="n">
        <f aca="false">'Capital released'!$B$30-(E38*(1-A38)*'SEC-IRBA'!$B$13*'Capital released'!$B$9+A38*'SEC-IRBA'!$B$13*'Capital released'!$B$6)</f>
        <v>344980340.702342</v>
      </c>
      <c r="G38" s="13" t="n">
        <f aca="false">'Capital released'!$B$30-(MIN(C38,'Capital released'!$B$19)*(1-A38)*'SEC-IRBA'!$B$13*'Capital released'!$B$9+A38*'SEC-IRBA'!$B$13*'Capital released'!$B$6)</f>
        <v>321017840.702342</v>
      </c>
    </row>
    <row r="39" customFormat="false" ht="15" hidden="false" customHeight="false" outlineLevel="0" collapsed="false">
      <c r="A39" s="12" t="n">
        <f aca="false">0.03+0.0025*34</f>
        <v>0.115</v>
      </c>
      <c r="B39" s="4" t="str">
        <f aca="false">IF(A39&lt;'SEC-IRBA'!$B$5,"below KIRB",IF(C39&lt;=0.15,"floor binds",""))</f>
        <v>floor binds</v>
      </c>
      <c r="C39" s="12" t="n">
        <f aca="false">MAX(0.15,12.5*IF((1)&lt;=('SEC-IRBA'!$B$5),1,IF((A39)&gt;=('SEC-IRBA'!$B$5),(EXP((-1/(('Capital released'!$B$15)*('SEC-IRBA'!$B$5)))*((1)-('SEC-IRBA'!$B$5)))-EXP((-1/(('Capital released'!$B$15)*('SEC-IRBA'!$B$5)))*MAX((A39)-('SEC-IRBA'!$B$5),0)))/((-1/(('Capital released'!$B$15)*('SEC-IRBA'!$B$5)))*(((1)-('SEC-IRBA'!$B$5))-MAX((A39)-('SEC-IRBA'!$B$5),0))),(('SEC-IRBA'!$B$5)-(A39))/((1)-(A39))+(1-(('SEC-IRBA'!$B$5)-(A39))/((1)-(A39)))*(EXP((-1/(('Capital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39" s="13" t="n">
        <f aca="false">'Capital released'!$B$30-(C39*(1-A39)*'SEC-IRBA'!$B$13*'Capital released'!$B$9+A39*'SEC-IRBA'!$B$13*'Capital released'!$B$6)</f>
        <v>320720340.702342</v>
      </c>
      <c r="E39" s="12" t="n">
        <f aca="false">MAX(0.1,12.5*IF((1)&lt;=('SEC-IRBA'!$B$5),1,IF((A39)&gt;=('SEC-IRBA'!$B$5),(EXP((-1/(('Capital released'!$B$44)*('SEC-IRBA'!$B$5)))*((1)-('SEC-IRBA'!$B$5)))-EXP((-1/(('Capital released'!$B$44)*('SEC-IRBA'!$B$5)))*MAX((A39)-('SEC-IRBA'!$B$5),0)))/((-1/(('Capital released'!$B$44)*('SEC-IRBA'!$B$5)))*(((1)-('SEC-IRBA'!$B$5))-MAX((A39)-('SEC-IRBA'!$B$5),0))),(('SEC-IRBA'!$B$5)-(A39))/((1)-(A39))+(1-(('SEC-IRBA'!$B$5)-(A39))/((1)-(A39)))*(EXP((-1/(('Capital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39" s="13" t="n">
        <f aca="false">'Capital released'!$B$30-(E39*(1-A39)*'SEC-IRBA'!$B$13*'Capital released'!$B$9+A39*'SEC-IRBA'!$B$13*'Capital released'!$B$6)</f>
        <v>344615340.702342</v>
      </c>
      <c r="G39" s="13" t="n">
        <f aca="false">'Capital released'!$B$30-(MIN(C39,'Capital released'!$B$19)*(1-A39)*'SEC-IRBA'!$B$13*'Capital released'!$B$9+A39*'SEC-IRBA'!$B$13*'Capital released'!$B$6)</f>
        <v>320720340.702342</v>
      </c>
    </row>
    <row r="40" customFormat="false" ht="15" hidden="false" customHeight="false" outlineLevel="0" collapsed="false">
      <c r="A40" s="12" t="n">
        <f aca="false">0.03+0.0025*35</f>
        <v>0.1175</v>
      </c>
      <c r="B40" s="4" t="str">
        <f aca="false">IF(A40&lt;'SEC-IRBA'!$B$5,"below KIRB",IF(C40&lt;=0.15,"floor binds",""))</f>
        <v>floor binds</v>
      </c>
      <c r="C40" s="12" t="n">
        <f aca="false">MAX(0.15,12.5*IF((1)&lt;=('SEC-IRBA'!$B$5),1,IF((A40)&gt;=('SEC-IRBA'!$B$5),(EXP((-1/(('Capital released'!$B$15)*('SEC-IRBA'!$B$5)))*((1)-('SEC-IRBA'!$B$5)))-EXP((-1/(('Capital released'!$B$15)*('SEC-IRBA'!$B$5)))*MAX((A40)-('SEC-IRBA'!$B$5),0)))/((-1/(('Capital released'!$B$15)*('SEC-IRBA'!$B$5)))*(((1)-('SEC-IRBA'!$B$5))-MAX((A40)-('SEC-IRBA'!$B$5),0))),(('SEC-IRBA'!$B$5)-(A40))/((1)-(A40))+(1-(('SEC-IRBA'!$B$5)-(A40))/((1)-(A40)))*(EXP((-1/(('Capital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40" s="13" t="n">
        <f aca="false">'Capital released'!$B$30-(C40*(1-A40)*'SEC-IRBA'!$B$13*'Capital released'!$B$9+A40*'SEC-IRBA'!$B$13*'Capital released'!$B$6)</f>
        <v>320422840.702342</v>
      </c>
      <c r="E40" s="12" t="n">
        <f aca="false">MAX(0.1,12.5*IF((1)&lt;=('SEC-IRBA'!$B$5),1,IF((A40)&gt;=('SEC-IRBA'!$B$5),(EXP((-1/(('Capital released'!$B$44)*('SEC-IRBA'!$B$5)))*((1)-('SEC-IRBA'!$B$5)))-EXP((-1/(('Capital released'!$B$44)*('SEC-IRBA'!$B$5)))*MAX((A40)-('SEC-IRBA'!$B$5),0)))/((-1/(('Capital released'!$B$44)*('SEC-IRBA'!$B$5)))*(((1)-('SEC-IRBA'!$B$5))-MAX((A40)-('SEC-IRBA'!$B$5),0))),(('SEC-IRBA'!$B$5)-(A40))/((1)-(A40))+(1-(('SEC-IRBA'!$B$5)-(A40))/((1)-(A40)))*(EXP((-1/(('Capital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40" s="13" t="n">
        <f aca="false">'Capital released'!$B$30-(E40*(1-A40)*'SEC-IRBA'!$B$13*'Capital released'!$B$9+A40*'SEC-IRBA'!$B$13*'Capital released'!$B$6)</f>
        <v>344250340.702342</v>
      </c>
      <c r="G40" s="13" t="n">
        <f aca="false">'Capital released'!$B$30-(MIN(C40,'Capital released'!$B$19)*(1-A40)*'SEC-IRBA'!$B$13*'Capital released'!$B$9+A40*'SEC-IRBA'!$B$13*'Capital released'!$B$6)</f>
        <v>320422840.702342</v>
      </c>
    </row>
    <row r="41" customFormat="false" ht="15" hidden="false" customHeight="false" outlineLevel="0" collapsed="false">
      <c r="A41" s="12" t="n">
        <f aca="false">0.03+0.0025*36</f>
        <v>0.12</v>
      </c>
      <c r="B41" s="4" t="str">
        <f aca="false">IF(A41&lt;'SEC-IRBA'!$B$5,"below KIRB",IF(C41&lt;=0.15,"floor binds",""))</f>
        <v>floor binds</v>
      </c>
      <c r="C41" s="12" t="n">
        <f aca="false">MAX(0.15,12.5*IF((1)&lt;=('SEC-IRBA'!$B$5),1,IF((A41)&gt;=('SEC-IRBA'!$B$5),(EXP((-1/(('Capital released'!$B$15)*('SEC-IRBA'!$B$5)))*((1)-('SEC-IRBA'!$B$5)))-EXP((-1/(('Capital released'!$B$15)*('SEC-IRBA'!$B$5)))*MAX((A41)-('SEC-IRBA'!$B$5),0)))/((-1/(('Capital released'!$B$15)*('SEC-IRBA'!$B$5)))*(((1)-('SEC-IRBA'!$B$5))-MAX((A41)-('SEC-IRBA'!$B$5),0))),(('SEC-IRBA'!$B$5)-(A41))/((1)-(A41))+(1-(('SEC-IRBA'!$B$5)-(A41))/((1)-(A41)))*(EXP((-1/(('Capital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41" s="13" t="n">
        <f aca="false">'Capital released'!$B$30-(C41*(1-A41)*'SEC-IRBA'!$B$13*'Capital released'!$B$9+A41*'SEC-IRBA'!$B$13*'Capital released'!$B$6)</f>
        <v>320125340.702342</v>
      </c>
      <c r="E41" s="12" t="n">
        <f aca="false">MAX(0.1,12.5*IF((1)&lt;=('SEC-IRBA'!$B$5),1,IF((A41)&gt;=('SEC-IRBA'!$B$5),(EXP((-1/(('Capital released'!$B$44)*('SEC-IRBA'!$B$5)))*((1)-('SEC-IRBA'!$B$5)))-EXP((-1/(('Capital released'!$B$44)*('SEC-IRBA'!$B$5)))*MAX((A41)-('SEC-IRBA'!$B$5),0)))/((-1/(('Capital released'!$B$44)*('SEC-IRBA'!$B$5)))*(((1)-('SEC-IRBA'!$B$5))-MAX((A41)-('SEC-IRBA'!$B$5),0))),(('SEC-IRBA'!$B$5)-(A41))/((1)-(A41))+(1-(('SEC-IRBA'!$B$5)-(A41))/((1)-(A41)))*(EXP((-1/(('Capital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41" s="13" t="n">
        <f aca="false">'Capital released'!$B$30-(E41*(1-A41)*'SEC-IRBA'!$B$13*'Capital released'!$B$9+A41*'SEC-IRBA'!$B$13*'Capital released'!$B$6)</f>
        <v>343885340.702342</v>
      </c>
      <c r="G41" s="13" t="n">
        <f aca="false">'Capital released'!$B$30-(MIN(C41,'Capital released'!$B$19)*(1-A41)*'SEC-IRBA'!$B$13*'Capital released'!$B$9+A41*'SEC-IRBA'!$B$13*'Capital released'!$B$6)</f>
        <v>320125340.702342</v>
      </c>
    </row>
    <row r="42" customFormat="false" ht="15" hidden="false" customHeight="false" outlineLevel="0" collapsed="false">
      <c r="A42" s="12" t="n">
        <f aca="false">0.03+0.0025*37</f>
        <v>0.1225</v>
      </c>
      <c r="B42" s="4" t="str">
        <f aca="false">IF(A42&lt;'SEC-IRBA'!$B$5,"below KIRB",IF(C42&lt;=0.15,"floor binds",""))</f>
        <v>floor binds</v>
      </c>
      <c r="C42" s="12" t="n">
        <f aca="false">MAX(0.15,12.5*IF((1)&lt;=('SEC-IRBA'!$B$5),1,IF((A42)&gt;=('SEC-IRBA'!$B$5),(EXP((-1/(('Capital released'!$B$15)*('SEC-IRBA'!$B$5)))*((1)-('SEC-IRBA'!$B$5)))-EXP((-1/(('Capital released'!$B$15)*('SEC-IRBA'!$B$5)))*MAX((A42)-('SEC-IRBA'!$B$5),0)))/((-1/(('Capital released'!$B$15)*('SEC-IRBA'!$B$5)))*(((1)-('SEC-IRBA'!$B$5))-MAX((A42)-('SEC-IRBA'!$B$5),0))),(('SEC-IRBA'!$B$5)-(A42))/((1)-(A42))+(1-(('SEC-IRBA'!$B$5)-(A42))/((1)-(A42)))*(EXP((-1/(('Capital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42" s="13" t="n">
        <f aca="false">'Capital released'!$B$30-(C42*(1-A42)*'SEC-IRBA'!$B$13*'Capital released'!$B$9+A42*'SEC-IRBA'!$B$13*'Capital released'!$B$6)</f>
        <v>319827840.702342</v>
      </c>
      <c r="E42" s="12" t="n">
        <f aca="false">MAX(0.1,12.5*IF((1)&lt;=('SEC-IRBA'!$B$5),1,IF((A42)&gt;=('SEC-IRBA'!$B$5),(EXP((-1/(('Capital released'!$B$44)*('SEC-IRBA'!$B$5)))*((1)-('SEC-IRBA'!$B$5)))-EXP((-1/(('Capital released'!$B$44)*('SEC-IRBA'!$B$5)))*MAX((A42)-('SEC-IRBA'!$B$5),0)))/((-1/(('Capital released'!$B$44)*('SEC-IRBA'!$B$5)))*(((1)-('SEC-IRBA'!$B$5))-MAX((A42)-('SEC-IRBA'!$B$5),0))),(('SEC-IRBA'!$B$5)-(A42))/((1)-(A42))+(1-(('SEC-IRBA'!$B$5)-(A42))/((1)-(A42)))*(EXP((-1/(('Capital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42" s="13" t="n">
        <f aca="false">'Capital released'!$B$30-(E42*(1-A42)*'SEC-IRBA'!$B$13*'Capital released'!$B$9+A42*'SEC-IRBA'!$B$13*'Capital released'!$B$6)</f>
        <v>343520340.702342</v>
      </c>
      <c r="G42" s="13" t="n">
        <f aca="false">'Capital released'!$B$30-(MIN(C42,'Capital released'!$B$19)*(1-A42)*'SEC-IRBA'!$B$13*'Capital released'!$B$9+A42*'SEC-IRBA'!$B$13*'Capital released'!$B$6)</f>
        <v>319827840.702342</v>
      </c>
    </row>
    <row r="43" customFormat="false" ht="15" hidden="false" customHeight="false" outlineLevel="0" collapsed="false">
      <c r="A43" s="12" t="n">
        <f aca="false">0.03+0.0025*38</f>
        <v>0.125</v>
      </c>
      <c r="B43" s="4" t="str">
        <f aca="false">IF(A43&lt;'SEC-IRBA'!$B$5,"below KIRB",IF(C43&lt;=0.15,"floor binds",""))</f>
        <v>floor binds</v>
      </c>
      <c r="C43" s="12" t="n">
        <f aca="false">MAX(0.15,12.5*IF((1)&lt;=('SEC-IRBA'!$B$5),1,IF((A43)&gt;=('SEC-IRBA'!$B$5),(EXP((-1/(('Capital released'!$B$15)*('SEC-IRBA'!$B$5)))*((1)-('SEC-IRBA'!$B$5)))-EXP((-1/(('Capital released'!$B$15)*('SEC-IRBA'!$B$5)))*MAX((A43)-('SEC-IRBA'!$B$5),0)))/((-1/(('Capital released'!$B$15)*('SEC-IRBA'!$B$5)))*(((1)-('SEC-IRBA'!$B$5))-MAX((A43)-('SEC-IRBA'!$B$5),0))),(('SEC-IRBA'!$B$5)-(A43))/((1)-(A43))+(1-(('SEC-IRBA'!$B$5)-(A43))/((1)-(A43)))*(EXP((-1/(('Capital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43" s="13" t="n">
        <f aca="false">'Capital released'!$B$30-(C43*(1-A43)*'SEC-IRBA'!$B$13*'Capital released'!$B$9+A43*'SEC-IRBA'!$B$13*'Capital released'!$B$6)</f>
        <v>319530340.702342</v>
      </c>
      <c r="E43" s="12" t="n">
        <f aca="false">MAX(0.1,12.5*IF((1)&lt;=('SEC-IRBA'!$B$5),1,IF((A43)&gt;=('SEC-IRBA'!$B$5),(EXP((-1/(('Capital released'!$B$44)*('SEC-IRBA'!$B$5)))*((1)-('SEC-IRBA'!$B$5)))-EXP((-1/(('Capital released'!$B$44)*('SEC-IRBA'!$B$5)))*MAX((A43)-('SEC-IRBA'!$B$5),0)))/((-1/(('Capital released'!$B$44)*('SEC-IRBA'!$B$5)))*(((1)-('SEC-IRBA'!$B$5))-MAX((A43)-('SEC-IRBA'!$B$5),0))),(('SEC-IRBA'!$B$5)-(A43))/((1)-(A43))+(1-(('SEC-IRBA'!$B$5)-(A43))/((1)-(A43)))*(EXP((-1/(('Capital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43" s="13" t="n">
        <f aca="false">'Capital released'!$B$30-(E43*(1-A43)*'SEC-IRBA'!$B$13*'Capital released'!$B$9+A43*'SEC-IRBA'!$B$13*'Capital released'!$B$6)</f>
        <v>343155340.702342</v>
      </c>
      <c r="G43" s="13" t="n">
        <f aca="false">'Capital released'!$B$30-(MIN(C43,'Capital released'!$B$19)*(1-A43)*'SEC-IRBA'!$B$13*'Capital released'!$B$9+A43*'SEC-IRBA'!$B$13*'Capital released'!$B$6)</f>
        <v>319530340.702342</v>
      </c>
    </row>
    <row r="44" customFormat="false" ht="15" hidden="false" customHeight="false" outlineLevel="0" collapsed="false">
      <c r="A44" s="12" t="n">
        <f aca="false">0.03+0.0025*39</f>
        <v>0.1275</v>
      </c>
      <c r="B44" s="4" t="str">
        <f aca="false">IF(A44&lt;'SEC-IRBA'!$B$5,"below KIRB",IF(C44&lt;=0.15,"floor binds",""))</f>
        <v>floor binds</v>
      </c>
      <c r="C44" s="12" t="n">
        <f aca="false">MAX(0.15,12.5*IF((1)&lt;=('SEC-IRBA'!$B$5),1,IF((A44)&gt;=('SEC-IRBA'!$B$5),(EXP((-1/(('Capital released'!$B$15)*('SEC-IRBA'!$B$5)))*((1)-('SEC-IRBA'!$B$5)))-EXP((-1/(('Capital released'!$B$15)*('SEC-IRBA'!$B$5)))*MAX((A44)-('SEC-IRBA'!$B$5),0)))/((-1/(('Capital released'!$B$15)*('SEC-IRBA'!$B$5)))*(((1)-('SEC-IRBA'!$B$5))-MAX((A44)-('SEC-IRBA'!$B$5),0))),(('SEC-IRBA'!$B$5)-(A44))/((1)-(A44))+(1-(('SEC-IRBA'!$B$5)-(A44))/((1)-(A44)))*(EXP((-1/(('Capital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44" s="13" t="n">
        <f aca="false">'Capital released'!$B$30-(C44*(1-A44)*'SEC-IRBA'!$B$13*'Capital released'!$B$9+A44*'SEC-IRBA'!$B$13*'Capital released'!$B$6)</f>
        <v>319232840.702342</v>
      </c>
      <c r="E44" s="12" t="n">
        <f aca="false">MAX(0.1,12.5*IF((1)&lt;=('SEC-IRBA'!$B$5),1,IF((A44)&gt;=('SEC-IRBA'!$B$5),(EXP((-1/(('Capital released'!$B$44)*('SEC-IRBA'!$B$5)))*((1)-('SEC-IRBA'!$B$5)))-EXP((-1/(('Capital released'!$B$44)*('SEC-IRBA'!$B$5)))*MAX((A44)-('SEC-IRBA'!$B$5),0)))/((-1/(('Capital released'!$B$44)*('SEC-IRBA'!$B$5)))*(((1)-('SEC-IRBA'!$B$5))-MAX((A44)-('SEC-IRBA'!$B$5),0))),(('SEC-IRBA'!$B$5)-(A44))/((1)-(A44))+(1-(('SEC-IRBA'!$B$5)-(A44))/((1)-(A44)))*(EXP((-1/(('Capital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44" s="13" t="n">
        <f aca="false">'Capital released'!$B$30-(E44*(1-A44)*'SEC-IRBA'!$B$13*'Capital released'!$B$9+A44*'SEC-IRBA'!$B$13*'Capital released'!$B$6)</f>
        <v>342790340.702342</v>
      </c>
      <c r="G44" s="13" t="n">
        <f aca="false">'Capital released'!$B$30-(MIN(C44,'Capital released'!$B$19)*(1-A44)*'SEC-IRBA'!$B$13*'Capital released'!$B$9+A44*'SEC-IRBA'!$B$13*'Capital released'!$B$6)</f>
        <v>319232840.702342</v>
      </c>
    </row>
    <row r="45" customFormat="false" ht="15" hidden="false" customHeight="false" outlineLevel="0" collapsed="false">
      <c r="A45" s="12" t="n">
        <f aca="false">0.03+0.0025*40</f>
        <v>0.13</v>
      </c>
      <c r="B45" s="4" t="str">
        <f aca="false">IF(A45&lt;'SEC-IRBA'!$B$5,"below KIRB",IF(C45&lt;=0.15,"floor binds",""))</f>
        <v>floor binds</v>
      </c>
      <c r="C45" s="12" t="n">
        <f aca="false">MAX(0.15,12.5*IF((1)&lt;=('SEC-IRBA'!$B$5),1,IF((A45)&gt;=('SEC-IRBA'!$B$5),(EXP((-1/(('Capital released'!$B$15)*('SEC-IRBA'!$B$5)))*((1)-('SEC-IRBA'!$B$5)))-EXP((-1/(('Capital released'!$B$15)*('SEC-IRBA'!$B$5)))*MAX((A45)-('SEC-IRBA'!$B$5),0)))/((-1/(('Capital released'!$B$15)*('SEC-IRBA'!$B$5)))*(((1)-('SEC-IRBA'!$B$5))-MAX((A45)-('SEC-IRBA'!$B$5),0))),(('SEC-IRBA'!$B$5)-(A45))/((1)-(A45))+(1-(('SEC-IRBA'!$B$5)-(A45))/((1)-(A45)))*(EXP((-1/(('Capital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45" s="13" t="n">
        <f aca="false">'Capital released'!$B$30-(C45*(1-A45)*'SEC-IRBA'!$B$13*'Capital released'!$B$9+A45*'SEC-IRBA'!$B$13*'Capital released'!$B$6)</f>
        <v>318935340.702342</v>
      </c>
      <c r="E45" s="12" t="n">
        <f aca="false">MAX(0.1,12.5*IF((1)&lt;=('SEC-IRBA'!$B$5),1,IF((A45)&gt;=('SEC-IRBA'!$B$5),(EXP((-1/(('Capital released'!$B$44)*('SEC-IRBA'!$B$5)))*((1)-('SEC-IRBA'!$B$5)))-EXP((-1/(('Capital released'!$B$44)*('SEC-IRBA'!$B$5)))*MAX((A45)-('SEC-IRBA'!$B$5),0)))/((-1/(('Capital released'!$B$44)*('SEC-IRBA'!$B$5)))*(((1)-('SEC-IRBA'!$B$5))-MAX((A45)-('SEC-IRBA'!$B$5),0))),(('SEC-IRBA'!$B$5)-(A45))/((1)-(A45))+(1-(('SEC-IRBA'!$B$5)-(A45))/((1)-(A45)))*(EXP((-1/(('Capital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45" s="13" t="n">
        <f aca="false">'Capital released'!$B$30-(E45*(1-A45)*'SEC-IRBA'!$B$13*'Capital released'!$B$9+A45*'SEC-IRBA'!$B$13*'Capital released'!$B$6)</f>
        <v>342425340.702342</v>
      </c>
      <c r="G45" s="13" t="n">
        <f aca="false">'Capital released'!$B$30-(MIN(C45,'Capital released'!$B$19)*(1-A45)*'SEC-IRBA'!$B$13*'Capital released'!$B$9+A45*'SEC-IRBA'!$B$13*'Capital released'!$B$6)</f>
        <v>318935340.702342</v>
      </c>
    </row>
    <row r="46" customFormat="false" ht="15" hidden="false" customHeight="false" outlineLevel="0" collapsed="false">
      <c r="A46" s="12" t="n">
        <f aca="false">0.03+0.0025*41</f>
        <v>0.1325</v>
      </c>
      <c r="B46" s="4" t="str">
        <f aca="false">IF(A46&lt;'SEC-IRBA'!$B$5,"below KIRB",IF(C46&lt;=0.15,"floor binds",""))</f>
        <v>floor binds</v>
      </c>
      <c r="C46" s="12" t="n">
        <f aca="false">MAX(0.15,12.5*IF((1)&lt;=('SEC-IRBA'!$B$5),1,IF((A46)&gt;=('SEC-IRBA'!$B$5),(EXP((-1/(('Capital released'!$B$15)*('SEC-IRBA'!$B$5)))*((1)-('SEC-IRBA'!$B$5)))-EXP((-1/(('Capital released'!$B$15)*('SEC-IRBA'!$B$5)))*MAX((A46)-('SEC-IRBA'!$B$5),0)))/((-1/(('Capital released'!$B$15)*('SEC-IRBA'!$B$5)))*(((1)-('SEC-IRBA'!$B$5))-MAX((A46)-('SEC-IRBA'!$B$5),0))),(('SEC-IRBA'!$B$5)-(A46))/((1)-(A46))+(1-(('SEC-IRBA'!$B$5)-(A46))/((1)-(A46)))*(EXP((-1/(('Capital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46" s="13" t="n">
        <f aca="false">'Capital released'!$B$30-(C46*(1-A46)*'SEC-IRBA'!$B$13*'Capital released'!$B$9+A46*'SEC-IRBA'!$B$13*'Capital released'!$B$6)</f>
        <v>318637840.702342</v>
      </c>
      <c r="E46" s="12" t="n">
        <f aca="false">MAX(0.1,12.5*IF((1)&lt;=('SEC-IRBA'!$B$5),1,IF((A46)&gt;=('SEC-IRBA'!$B$5),(EXP((-1/(('Capital released'!$B$44)*('SEC-IRBA'!$B$5)))*((1)-('SEC-IRBA'!$B$5)))-EXP((-1/(('Capital released'!$B$44)*('SEC-IRBA'!$B$5)))*MAX((A46)-('SEC-IRBA'!$B$5),0)))/((-1/(('Capital released'!$B$44)*('SEC-IRBA'!$B$5)))*(((1)-('SEC-IRBA'!$B$5))-MAX((A46)-('SEC-IRBA'!$B$5),0))),(('SEC-IRBA'!$B$5)-(A46))/((1)-(A46))+(1-(('SEC-IRBA'!$B$5)-(A46))/((1)-(A46)))*(EXP((-1/(('Capital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46" s="13" t="n">
        <f aca="false">'Capital released'!$B$30-(E46*(1-A46)*'SEC-IRBA'!$B$13*'Capital released'!$B$9+A46*'SEC-IRBA'!$B$13*'Capital released'!$B$6)</f>
        <v>342060340.702342</v>
      </c>
      <c r="G46" s="13" t="n">
        <f aca="false">'Capital released'!$B$30-(MIN(C46,'Capital released'!$B$19)*(1-A46)*'SEC-IRBA'!$B$13*'Capital released'!$B$9+A46*'SEC-IRBA'!$B$13*'Capital released'!$B$6)</f>
        <v>318637840.702342</v>
      </c>
    </row>
    <row r="47" customFormat="false" ht="15" hidden="false" customHeight="false" outlineLevel="0" collapsed="false">
      <c r="A47" s="12" t="n">
        <f aca="false">0.03+0.0025*42</f>
        <v>0.135</v>
      </c>
      <c r="B47" s="4" t="str">
        <f aca="false">IF(A47&lt;'SEC-IRBA'!$B$5,"below KIRB",IF(C47&lt;=0.15,"floor binds",""))</f>
        <v>floor binds</v>
      </c>
      <c r="C47" s="12" t="n">
        <f aca="false">MAX(0.15,12.5*IF((1)&lt;=('SEC-IRBA'!$B$5),1,IF((A47)&gt;=('SEC-IRBA'!$B$5),(EXP((-1/(('Capital released'!$B$15)*('SEC-IRBA'!$B$5)))*((1)-('SEC-IRBA'!$B$5)))-EXP((-1/(('Capital released'!$B$15)*('SEC-IRBA'!$B$5)))*MAX((A47)-('SEC-IRBA'!$B$5),0)))/((-1/(('Capital released'!$B$15)*('SEC-IRBA'!$B$5)))*(((1)-('SEC-IRBA'!$B$5))-MAX((A47)-('SEC-IRBA'!$B$5),0))),(('SEC-IRBA'!$B$5)-(A47))/((1)-(A47))+(1-(('SEC-IRBA'!$B$5)-(A47))/((1)-(A47)))*(EXP((-1/(('Capital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47" s="13" t="n">
        <f aca="false">'Capital released'!$B$30-(C47*(1-A47)*'SEC-IRBA'!$B$13*'Capital released'!$B$9+A47*'SEC-IRBA'!$B$13*'Capital released'!$B$6)</f>
        <v>318340340.702342</v>
      </c>
      <c r="E47" s="12" t="n">
        <f aca="false">MAX(0.1,12.5*IF((1)&lt;=('SEC-IRBA'!$B$5),1,IF((A47)&gt;=('SEC-IRBA'!$B$5),(EXP((-1/(('Capital released'!$B$44)*('SEC-IRBA'!$B$5)))*((1)-('SEC-IRBA'!$B$5)))-EXP((-1/(('Capital released'!$B$44)*('SEC-IRBA'!$B$5)))*MAX((A47)-('SEC-IRBA'!$B$5),0)))/((-1/(('Capital released'!$B$44)*('SEC-IRBA'!$B$5)))*(((1)-('SEC-IRBA'!$B$5))-MAX((A47)-('SEC-IRBA'!$B$5),0))),(('SEC-IRBA'!$B$5)-(A47))/((1)-(A47))+(1-(('SEC-IRBA'!$B$5)-(A47))/((1)-(A47)))*(EXP((-1/(('Capital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47" s="13" t="n">
        <f aca="false">'Capital released'!$B$30-(E47*(1-A47)*'SEC-IRBA'!$B$13*'Capital released'!$B$9+A47*'SEC-IRBA'!$B$13*'Capital released'!$B$6)</f>
        <v>341695340.702342</v>
      </c>
      <c r="G47" s="13" t="n">
        <f aca="false">'Capital released'!$B$30-(MIN(C47,'Capital released'!$B$19)*(1-A47)*'SEC-IRBA'!$B$13*'Capital released'!$B$9+A47*'SEC-IRBA'!$B$13*'Capital released'!$B$6)</f>
        <v>318340340.702342</v>
      </c>
    </row>
    <row r="48" customFormat="false" ht="15" hidden="false" customHeight="false" outlineLevel="0" collapsed="false">
      <c r="A48" s="12" t="n">
        <f aca="false">0.03+0.0025*43</f>
        <v>0.1375</v>
      </c>
      <c r="B48" s="4" t="str">
        <f aca="false">IF(A48&lt;'SEC-IRBA'!$B$5,"below KIRB",IF(C48&lt;=0.15,"floor binds",""))</f>
        <v>floor binds</v>
      </c>
      <c r="C48" s="12" t="n">
        <f aca="false">MAX(0.15,12.5*IF((1)&lt;=('SEC-IRBA'!$B$5),1,IF((A48)&gt;=('SEC-IRBA'!$B$5),(EXP((-1/(('Capital released'!$B$15)*('SEC-IRBA'!$B$5)))*((1)-('SEC-IRBA'!$B$5)))-EXP((-1/(('Capital released'!$B$15)*('SEC-IRBA'!$B$5)))*MAX((A48)-('SEC-IRBA'!$B$5),0)))/((-1/(('Capital released'!$B$15)*('SEC-IRBA'!$B$5)))*(((1)-('SEC-IRBA'!$B$5))-MAX((A48)-('SEC-IRBA'!$B$5),0))),(('SEC-IRBA'!$B$5)-(A48))/((1)-(A48))+(1-(('SEC-IRBA'!$B$5)-(A48))/((1)-(A48)))*(EXP((-1/(('Capital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48" s="13" t="n">
        <f aca="false">'Capital released'!$B$30-(C48*(1-A48)*'SEC-IRBA'!$B$13*'Capital released'!$B$9+A48*'SEC-IRBA'!$B$13*'Capital released'!$B$6)</f>
        <v>318042840.702342</v>
      </c>
      <c r="E48" s="12" t="n">
        <f aca="false">MAX(0.1,12.5*IF((1)&lt;=('SEC-IRBA'!$B$5),1,IF((A48)&gt;=('SEC-IRBA'!$B$5),(EXP((-1/(('Capital released'!$B$44)*('SEC-IRBA'!$B$5)))*((1)-('SEC-IRBA'!$B$5)))-EXP((-1/(('Capital released'!$B$44)*('SEC-IRBA'!$B$5)))*MAX((A48)-('SEC-IRBA'!$B$5),0)))/((-1/(('Capital released'!$B$44)*('SEC-IRBA'!$B$5)))*(((1)-('SEC-IRBA'!$B$5))-MAX((A48)-('SEC-IRBA'!$B$5),0))),(('SEC-IRBA'!$B$5)-(A48))/((1)-(A48))+(1-(('SEC-IRBA'!$B$5)-(A48))/((1)-(A48)))*(EXP((-1/(('Capital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48" s="13" t="n">
        <f aca="false">'Capital released'!$B$30-(E48*(1-A48)*'SEC-IRBA'!$B$13*'Capital released'!$B$9+A48*'SEC-IRBA'!$B$13*'Capital released'!$B$6)</f>
        <v>341330340.702342</v>
      </c>
      <c r="G48" s="13" t="n">
        <f aca="false">'Capital released'!$B$30-(MIN(C48,'Capital released'!$B$19)*(1-A48)*'SEC-IRBA'!$B$13*'Capital released'!$B$9+A48*'SEC-IRBA'!$B$13*'Capital released'!$B$6)</f>
        <v>318042840.702342</v>
      </c>
    </row>
    <row r="49" customFormat="false" ht="15" hidden="false" customHeight="false" outlineLevel="0" collapsed="false">
      <c r="A49" s="12" t="n">
        <f aca="false">0.03+0.0025*44</f>
        <v>0.14</v>
      </c>
      <c r="B49" s="4" t="str">
        <f aca="false">IF(A49&lt;'SEC-IRBA'!$B$5,"below KIRB",IF(C49&lt;=0.15,"floor binds",""))</f>
        <v>floor binds</v>
      </c>
      <c r="C49" s="12" t="n">
        <f aca="false">MAX(0.15,12.5*IF((1)&lt;=('SEC-IRBA'!$B$5),1,IF((A49)&gt;=('SEC-IRBA'!$B$5),(EXP((-1/(('Capital released'!$B$15)*('SEC-IRBA'!$B$5)))*((1)-('SEC-IRBA'!$B$5)))-EXP((-1/(('Capital released'!$B$15)*('SEC-IRBA'!$B$5)))*MAX((A49)-('SEC-IRBA'!$B$5),0)))/((-1/(('Capital released'!$B$15)*('SEC-IRBA'!$B$5)))*(((1)-('SEC-IRBA'!$B$5))-MAX((A49)-('SEC-IRBA'!$B$5),0))),(('SEC-IRBA'!$B$5)-(A49))/((1)-(A49))+(1-(('SEC-IRBA'!$B$5)-(A49))/((1)-(A49)))*(EXP((-1/(('Capital released'!$B$15)*('SEC-IRBA'!$B$5)))*((1)-('SEC-IRBA'!$B$5)))-EXP((-1/(('Capital released'!$B$15)*('SEC-IRBA'!$B$5)))*MAX(('SEC-IRBA'!$B$5)-('SEC-IRBA'!$B$5),0)))/((-1/(('Capital released'!$B$15)*('SEC-IRBA'!$B$5)))*(((1)-('SEC-IRBA'!$B$5))-MAX(('SEC-IRBA'!$B$5)-('SEC-IRBA'!$B$5),0))))))</f>
        <v>0.15</v>
      </c>
      <c r="D49" s="13" t="n">
        <f aca="false">'Capital released'!$B$30-(C49*(1-A49)*'SEC-IRBA'!$B$13*'Capital released'!$B$9+A49*'SEC-IRBA'!$B$13*'Capital released'!$B$6)</f>
        <v>317745340.702342</v>
      </c>
      <c r="E49" s="12" t="n">
        <f aca="false">MAX(0.1,12.5*IF((1)&lt;=('SEC-IRBA'!$B$5),1,IF((A49)&gt;=('SEC-IRBA'!$B$5),(EXP((-1/(('Capital released'!$B$44)*('SEC-IRBA'!$B$5)))*((1)-('SEC-IRBA'!$B$5)))-EXP((-1/(('Capital released'!$B$44)*('SEC-IRBA'!$B$5)))*MAX((A49)-('SEC-IRBA'!$B$5),0)))/((-1/(('Capital released'!$B$44)*('SEC-IRBA'!$B$5)))*(((1)-('SEC-IRBA'!$B$5))-MAX((A49)-('SEC-IRBA'!$B$5),0))),(('SEC-IRBA'!$B$5)-(A49))/((1)-(A49))+(1-(('SEC-IRBA'!$B$5)-(A49))/((1)-(A49)))*(EXP((-1/(('Capital released'!$B$44)*('SEC-IRBA'!$B$5)))*((1)-('SEC-IRBA'!$B$5)))-EXP((-1/(('Capital released'!$B$44)*('SEC-IRBA'!$B$5)))*MAX(('SEC-IRBA'!$B$5)-('SEC-IRBA'!$B$5),0)))/((-1/(('Capital released'!$B$44)*('SEC-IRBA'!$B$5)))*(((1)-('SEC-IRBA'!$B$5))-MAX(('SEC-IRBA'!$B$5)-('SEC-IRBA'!$B$5),0))))))</f>
        <v>0.1</v>
      </c>
      <c r="F49" s="13" t="n">
        <f aca="false">'Capital released'!$B$30-(E49*(1-A49)*'SEC-IRBA'!$B$13*'Capital released'!$B$9+A49*'SEC-IRBA'!$B$13*'Capital released'!$B$6)</f>
        <v>340965340.702342</v>
      </c>
      <c r="G49" s="13" t="n">
        <f aca="false">'Capital released'!$B$30-(MIN(C49,'Capital released'!$B$19)*(1-A49)*'SEC-IRBA'!$B$13*'Capital released'!$B$9+A49*'SEC-IRBA'!$B$13*'Capital released'!$B$6)</f>
        <v>317745340.702342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14"/>
    <col collapsed="false" customWidth="true" hidden="false" outlineLevel="0" max="5" min="5" style="0" width="16"/>
    <col collapsed="false" customWidth="true" hidden="false" outlineLevel="0" max="6" min="6" style="0" width="4"/>
    <col collapsed="false" customWidth="true" hidden="false" outlineLevel="0" max="9" min="7" style="0" width="14"/>
    <col collapsed="false" customWidth="true" hidden="false" outlineLevel="0" max="10" min="10" style="0" width="18"/>
  </cols>
  <sheetData>
    <row r="1" customFormat="false" ht="15" hidden="false" customHeight="false" outlineLevel="0" collapsed="false">
      <c r="A1" s="1" t="s">
        <v>77</v>
      </c>
    </row>
    <row r="2" customFormat="false" ht="15" hidden="false" customHeight="false" outlineLevel="0" collapsed="false">
      <c r="A2" s="14" t="s">
        <v>78</v>
      </c>
    </row>
    <row r="4" customFormat="false" ht="23.85" hidden="false" customHeight="false" outlineLevel="0" collapsed="false">
      <c r="A4" s="18" t="s">
        <v>79</v>
      </c>
      <c r="B4" s="18" t="s">
        <v>80</v>
      </c>
      <c r="C4" s="18" t="s">
        <v>81</v>
      </c>
      <c r="D4" s="18" t="s">
        <v>82</v>
      </c>
      <c r="E4" s="18" t="s">
        <v>83</v>
      </c>
      <c r="G4" s="18" t="s">
        <v>80</v>
      </c>
      <c r="H4" s="18" t="s">
        <v>81</v>
      </c>
      <c r="I4" s="18" t="s">
        <v>82</v>
      </c>
      <c r="J4" s="18" t="s">
        <v>48</v>
      </c>
    </row>
    <row r="5" customFormat="false" ht="15" hidden="false" customHeight="false" outlineLevel="0" collapsed="false">
      <c r="A5" s="4" t="n">
        <v>1</v>
      </c>
      <c r="B5" s="21" t="n">
        <f aca="false">'SEC-IRBA'!$B$5</f>
        <v>0.0650502119559025</v>
      </c>
      <c r="C5" s="21" t="n">
        <f aca="false">0.5</f>
        <v>0.5</v>
      </c>
      <c r="D5" s="21" t="n">
        <f aca="false">(B5+C5)/2</f>
        <v>0.282525105977951</v>
      </c>
      <c r="E5" s="12" t="n">
        <f aca="false">12.5*IF((1)&lt;=('SEC-IRBA'!$B$5),1,IF((D5)&gt;=('SEC-IRBA'!$B$5),(EXP((-1/(('Capital released'!$B$16)*('SEC-IRBA'!$B$5)))*((1)-('SEC-IRBA'!$B$5)))-EXP((-1/(('Capital released'!$B$16)*('SEC-IRBA'!$B$5)))*MAX((D5)-('SEC-IRBA'!$B$5),0)))/((-1/(('Capital released'!$B$16)*('SEC-IRBA'!$B$5)))*(((1)-('SEC-IRBA'!$B$5))-MAX((D5)-('SEC-IRBA'!$B$5),0))),(('SEC-IRBA'!$B$5)-(D5))/((1)-(D5))+(1-(('SEC-IRBA'!$B$5)-(D5))/((1)-(D5)))*(EXP((-1/(('Capital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0.00046807256027695</v>
      </c>
      <c r="G5" s="21" t="n">
        <f aca="false">0.005</f>
        <v>0.005</v>
      </c>
      <c r="H5" s="21" t="n">
        <f aca="false">'SEC-IRBA'!$B$5+0.05</f>
        <v>0.115050211955902</v>
      </c>
      <c r="I5" s="21" t="n">
        <f aca="false">(G5+H5)/2</f>
        <v>0.0600251059779512</v>
      </c>
      <c r="J5" s="13" t="n">
        <f aca="false">'Capital released'!$B$30-(IF('Capital released'!$B$12=1,MIN(MAX(IF('Capital released'!$B$11=1,0.1,0.15),12.5*IF((1)&lt;=('SEC-IRBA'!$B$5),1,IF((I5)&gt;=('SEC-IRBA'!$B$5),(EXP((-1/(('Capital released'!$B$16)*('SEC-IRBA'!$B$5)))*((1)-('SEC-IRBA'!$B$5)))-EXP((-1/(('Capital released'!$B$16)*('SEC-IRBA'!$B$5)))*MAX((I5)-('SEC-IRBA'!$B$5),0)))/((-1/(('Capital released'!$B$16)*('SEC-IRBA'!$B$5)))*(((1)-('SEC-IRBA'!$B$5))-MAX((I5)-('SEC-IRBA'!$B$5),0))),(('SEC-IRBA'!$B$5)-(I5))/((1)-(I5))+(1-(('SEC-IRBA'!$B$5)-(I5))/((1)-(I5)))*(EXP((-1/(('Capital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released'!$B$11=1,0.1,0.15),12.5*IF((1)&lt;=('SEC-IRBA'!$B$5),1,IF((I5)&gt;=('SEC-IRBA'!$B$5),(EXP((-1/(('Capital released'!$B$16)*('SEC-IRBA'!$B$5)))*((1)-('SEC-IRBA'!$B$5)))-EXP((-1/(('Capital released'!$B$16)*('SEC-IRBA'!$B$5)))*MAX((I5)-('SEC-IRBA'!$B$5),0)))/((-1/(('Capital released'!$B$16)*('SEC-IRBA'!$B$5)))*(((1)-('SEC-IRBA'!$B$5))-MAX((I5)-('SEC-IRBA'!$B$5),0))),(('SEC-IRBA'!$B$5)-(I5))/((1)-(I5))+(1-(('SEC-IRBA'!$B$5)-(I5))/((1)-(I5)))*(EXP((-1/(('Capital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released'!$B$11=1,0.1,0.15),12.5*IF((1)&lt;=('SEC-IRBA'!$B$5),1,IF((I5)&gt;=('SEC-IRBA'!$B$5),(EXP((-1/(('Capital released'!$B$16)*('SEC-IRBA'!$B$5)))*((1)-('SEC-IRBA'!$B$5)))-EXP((-1/(('Capital released'!$B$16)*('SEC-IRBA'!$B$5)))*MAX((I5)-('SEC-IRBA'!$B$5),0)))/((-1/(('Capital released'!$B$16)*('SEC-IRBA'!$B$5)))*(((1)-('SEC-IRBA'!$B$5))-MAX((I5)-('SEC-IRBA'!$B$5),0))),(('SEC-IRBA'!$B$5)-(I5))/((1)-(I5))+(1-(('SEC-IRBA'!$B$5)-(I5))/((1)-(I5)))*(EXP((-1/(('Capital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released'!$B$16)*('SEC-IRBA'!$B$5)))*(((1)-('SEC-IRBA'!$B$5))-MAX(('SEC-IRBA'!$B$5)-('SEC-IRBA'!$B$5),0))))))))*(1-I5)*'SEC-IRBA'!$B$13*'Capital released'!$B$9+I5*'SEC-IRBA'!$B$13*'Capital released'!$B$6)</f>
        <v>161154982.924542</v>
      </c>
    </row>
    <row r="6" customFormat="false" ht="15" hidden="false" customHeight="false" outlineLevel="0" collapsed="false">
      <c r="A6" s="4" t="n">
        <v>2</v>
      </c>
      <c r="B6" s="21" t="n">
        <f aca="false">IF(E5&gt;IF('Capital released'!$B$11=1,0.1,0.15),D5,B5)</f>
        <v>0.0650502119559025</v>
      </c>
      <c r="C6" s="21" t="n">
        <f aca="false">IF(E5&gt;IF('Capital released'!$B$11=1,0.1,0.15),C5,D5)</f>
        <v>0.282525105977951</v>
      </c>
      <c r="D6" s="21" t="n">
        <f aca="false">(B6+C6)/2</f>
        <v>0.173787658966927</v>
      </c>
      <c r="E6" s="12" t="n">
        <f aca="false">12.5*IF((1)&lt;=('SEC-IRBA'!$B$5),1,IF((D6)&gt;=('SEC-IRBA'!$B$5),(EXP((-1/(('Capital released'!$B$16)*('SEC-IRBA'!$B$5)))*((1)-('SEC-IRBA'!$B$5)))-EXP((-1/(('Capital released'!$B$16)*('SEC-IRBA'!$B$5)))*MAX((D6)-('SEC-IRBA'!$B$5),0)))/((-1/(('Capital released'!$B$16)*('SEC-IRBA'!$B$5)))*(((1)-('SEC-IRBA'!$B$5))-MAX((D6)-('SEC-IRBA'!$B$5),0))),(('SEC-IRBA'!$B$5)-(D6))/((1)-(D6))+(1-(('SEC-IRBA'!$B$5)-(D6))/((1)-(D6)))*(EXP((-1/(('Capital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0.013776629893743</v>
      </c>
      <c r="G6" s="21" t="n">
        <f aca="false">IF(J5&lt;0,I5,G5)</f>
        <v>0.005</v>
      </c>
      <c r="H6" s="21" t="n">
        <f aca="false">IF(J5&lt;0,H5,I5)</f>
        <v>0.0600251059779512</v>
      </c>
      <c r="I6" s="21" t="n">
        <f aca="false">(G6+H6)/2</f>
        <v>0.0325125529889756</v>
      </c>
      <c r="J6" s="13" t="n">
        <f aca="false">'Capital released'!$B$30-(IF('Capital released'!$B$12=1,MIN(MAX(IF('Capital released'!$B$11=1,0.1,0.15),12.5*IF((1)&lt;=('SEC-IRBA'!$B$5),1,IF((I6)&gt;=('SEC-IRBA'!$B$5),(EXP((-1/(('Capital released'!$B$16)*('SEC-IRBA'!$B$5)))*((1)-('SEC-IRBA'!$B$5)))-EXP((-1/(('Capital released'!$B$16)*('SEC-IRBA'!$B$5)))*MAX((I6)-('SEC-IRBA'!$B$5),0)))/((-1/(('Capital released'!$B$16)*('SEC-IRBA'!$B$5)))*(((1)-('SEC-IRBA'!$B$5))-MAX((I6)-('SEC-IRBA'!$B$5),0))),(('SEC-IRBA'!$B$5)-(I6))/((1)-(I6))+(1-(('SEC-IRBA'!$B$5)-(I6))/((1)-(I6)))*(EXP((-1/(('Capital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released'!$B$11=1,0.1,0.15),12.5*IF((1)&lt;=('SEC-IRBA'!$B$5),1,IF((I6)&gt;=('SEC-IRBA'!$B$5),(EXP((-1/(('Capital released'!$B$16)*('SEC-IRBA'!$B$5)))*((1)-('SEC-IRBA'!$B$5)))-EXP((-1/(('Capital released'!$B$16)*('SEC-IRBA'!$B$5)))*MAX((I6)-('SEC-IRBA'!$B$5),0)))/((-1/(('Capital released'!$B$16)*('SEC-IRBA'!$B$5)))*(((1)-('SEC-IRBA'!$B$5))-MAX((I6)-('SEC-IRBA'!$B$5),0))),(('SEC-IRBA'!$B$5)-(I6))/((1)-(I6))+(1-(('SEC-IRBA'!$B$5)-(I6))/((1)-(I6)))*(EXP((-1/(('Capital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released'!$B$11=1,0.1,0.15),12.5*IF((1)&lt;=('SEC-IRBA'!$B$5),1,IF((I6)&gt;=('SEC-IRBA'!$B$5),(EXP((-1/(('Capital released'!$B$16)*('SEC-IRBA'!$B$5)))*((1)-('SEC-IRBA'!$B$5)))-EXP((-1/(('Capital released'!$B$16)*('SEC-IRBA'!$B$5)))*MAX((I6)-('SEC-IRBA'!$B$5),0)))/((-1/(('Capital released'!$B$16)*('SEC-IRBA'!$B$5)))*(((1)-('SEC-IRBA'!$B$5))-MAX((I6)-('SEC-IRBA'!$B$5),0))),(('SEC-IRBA'!$B$5)-(I6))/((1)-(I6))+(1-(('SEC-IRBA'!$B$5)-(I6))/((1)-(I6)))*(EXP((-1/(('Capital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released'!$B$16)*('SEC-IRBA'!$B$5)))*(((1)-('SEC-IRBA'!$B$5))-MAX(('SEC-IRBA'!$B$5)-('SEC-IRBA'!$B$5),0))))))))*(1-I6)*'SEC-IRBA'!$B$13*'Capital released'!$B$9+I6*'SEC-IRBA'!$B$13*'Capital released'!$B$6)</f>
        <v>-19052239.153248</v>
      </c>
    </row>
    <row r="7" customFormat="false" ht="15" hidden="false" customHeight="false" outlineLevel="0" collapsed="false">
      <c r="A7" s="4" t="n">
        <v>3</v>
      </c>
      <c r="B7" s="21" t="n">
        <f aca="false">IF(E6&gt;IF('Capital released'!$B$11=1,0.1,0.15),D6,B6)</f>
        <v>0.0650502119559025</v>
      </c>
      <c r="C7" s="21" t="n">
        <f aca="false">IF(E6&gt;IF('Capital released'!$B$11=1,0.1,0.15),C6,D6)</f>
        <v>0.173787658966927</v>
      </c>
      <c r="D7" s="21" t="n">
        <f aca="false">(B7+C7)/2</f>
        <v>0.119418935461415</v>
      </c>
      <c r="E7" s="12" t="n">
        <f aca="false">12.5*IF((1)&lt;=('SEC-IRBA'!$B$5),1,IF((D7)&gt;=('SEC-IRBA'!$B$5),(EXP((-1/(('Capital released'!$B$16)*('SEC-IRBA'!$B$5)))*((1)-('SEC-IRBA'!$B$5)))-EXP((-1/(('Capital released'!$B$16)*('SEC-IRBA'!$B$5)))*MAX((D7)-('SEC-IRBA'!$B$5),0)))/((-1/(('Capital released'!$B$16)*('SEC-IRBA'!$B$5)))*(((1)-('SEC-IRBA'!$B$5))-MAX((D7)-('SEC-IRBA'!$B$5),0))),(('SEC-IRBA'!$B$5)-(D7))/((1)-(D7))+(1-(('SEC-IRBA'!$B$5)-(D7))/((1)-(D7)))*(EXP((-1/(('Capital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0.0752528089734575</v>
      </c>
      <c r="G7" s="21" t="n">
        <f aca="false">IF(J6&lt;0,I6,G6)</f>
        <v>0.0325125529889756</v>
      </c>
      <c r="H7" s="21" t="n">
        <f aca="false">IF(J6&lt;0,H6,I6)</f>
        <v>0.0600251059779512</v>
      </c>
      <c r="I7" s="21" t="n">
        <f aca="false">(G7+H7)/2</f>
        <v>0.0462688294834634</v>
      </c>
      <c r="J7" s="13" t="n">
        <f aca="false">'Capital released'!$B$30-(IF('Capital released'!$B$12=1,MIN(MAX(IF('Capital released'!$B$11=1,0.1,0.15),12.5*IF((1)&lt;=('SEC-IRBA'!$B$5),1,IF((I7)&gt;=('SEC-IRBA'!$B$5),(EXP((-1/(('Capital released'!$B$16)*('SEC-IRBA'!$B$5)))*((1)-('SEC-IRBA'!$B$5)))-EXP((-1/(('Capital released'!$B$16)*('SEC-IRBA'!$B$5)))*MAX((I7)-('SEC-IRBA'!$B$5),0)))/((-1/(('Capital released'!$B$16)*('SEC-IRBA'!$B$5)))*(((1)-('SEC-IRBA'!$B$5))-MAX((I7)-('SEC-IRBA'!$B$5),0))),(('SEC-IRBA'!$B$5)-(I7))/((1)-(I7))+(1-(('SEC-IRBA'!$B$5)-(I7))/((1)-(I7)))*(EXP((-1/(('Capital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released'!$B$11=1,0.1,0.15),12.5*IF((1)&lt;=('SEC-IRBA'!$B$5),1,IF((I7)&gt;=('SEC-IRBA'!$B$5),(EXP((-1/(('Capital released'!$B$16)*('SEC-IRBA'!$B$5)))*((1)-('SEC-IRBA'!$B$5)))-EXP((-1/(('Capital released'!$B$16)*('SEC-IRBA'!$B$5)))*MAX((I7)-('SEC-IRBA'!$B$5),0)))/((-1/(('Capital released'!$B$16)*('SEC-IRBA'!$B$5)))*(((1)-('SEC-IRBA'!$B$5))-MAX((I7)-('SEC-IRBA'!$B$5),0))),(('SEC-IRBA'!$B$5)-(I7))/((1)-(I7))+(1-(('SEC-IRBA'!$B$5)-(I7))/((1)-(I7)))*(EXP((-1/(('Capital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released'!$B$11=1,0.1,0.15),12.5*IF((1)&lt;=('SEC-IRBA'!$B$5),1,IF((I7)&gt;=('SEC-IRBA'!$B$5),(EXP((-1/(('Capital released'!$B$16)*('SEC-IRBA'!$B$5)))*((1)-('SEC-IRBA'!$B$5)))-EXP((-1/(('Capital released'!$B$16)*('SEC-IRBA'!$B$5)))*MAX((I7)-('SEC-IRBA'!$B$5),0)))/((-1/(('Capital released'!$B$16)*('SEC-IRBA'!$B$5)))*(((1)-('SEC-IRBA'!$B$5))-MAX((I7)-('SEC-IRBA'!$B$5),0))),(('SEC-IRBA'!$B$5)-(I7))/((1)-(I7))+(1-(('SEC-IRBA'!$B$5)-(I7))/((1)-(I7)))*(EXP((-1/(('Capital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released'!$B$16)*('SEC-IRBA'!$B$5)))*(((1)-('SEC-IRBA'!$B$5))-MAX(('SEC-IRBA'!$B$5)-('SEC-IRBA'!$B$5),0))))))))*(1-I7)*'SEC-IRBA'!$B$13*'Capital released'!$B$9+I7*'SEC-IRBA'!$B$13*'Capital released'!$B$6)</f>
        <v>71051371.8856471</v>
      </c>
    </row>
    <row r="8" customFormat="false" ht="15" hidden="false" customHeight="false" outlineLevel="0" collapsed="false">
      <c r="A8" s="4" t="n">
        <v>4</v>
      </c>
      <c r="B8" s="21" t="n">
        <f aca="false">IF(E7&gt;IF('Capital released'!$B$11=1,0.1,0.15),D7,B7)</f>
        <v>0.0650502119559025</v>
      </c>
      <c r="C8" s="21" t="n">
        <f aca="false">IF(E7&gt;IF('Capital released'!$B$11=1,0.1,0.15),C7,D7)</f>
        <v>0.119418935461415</v>
      </c>
      <c r="D8" s="21" t="n">
        <f aca="false">(B8+C8)/2</f>
        <v>0.0922345737086585</v>
      </c>
      <c r="E8" s="12" t="n">
        <f aca="false">12.5*IF((1)&lt;=('SEC-IRBA'!$B$5),1,IF((D8)&gt;=('SEC-IRBA'!$B$5),(EXP((-1/(('Capital released'!$B$16)*('SEC-IRBA'!$B$5)))*((1)-('SEC-IRBA'!$B$5)))-EXP((-1/(('Capital released'!$B$16)*('SEC-IRBA'!$B$5)))*MAX((D8)-('SEC-IRBA'!$B$5),0)))/((-1/(('Capital released'!$B$16)*('SEC-IRBA'!$B$5)))*(((1)-('SEC-IRBA'!$B$5))-MAX((D8)-('SEC-IRBA'!$B$5),0))),(('SEC-IRBA'!$B$5)-(D8))/((1)-(D8))+(1-(('SEC-IRBA'!$B$5)-(D8))/((1)-(D8)))*(EXP((-1/(('Capital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0.176135588398109</v>
      </c>
      <c r="G8" s="21" t="n">
        <f aca="false">IF(J7&lt;0,I7,G7)</f>
        <v>0.0325125529889756</v>
      </c>
      <c r="H8" s="21" t="n">
        <f aca="false">IF(J7&lt;0,H7,I7)</f>
        <v>0.0462688294834634</v>
      </c>
      <c r="I8" s="21" t="n">
        <f aca="false">(G8+H8)/2</f>
        <v>0.0393906912362195</v>
      </c>
      <c r="J8" s="13" t="n">
        <f aca="false">'Capital released'!$B$30-(IF('Capital released'!$B$12=1,MIN(MAX(IF('Capital released'!$B$11=1,0.1,0.15),12.5*IF((1)&lt;=('SEC-IRBA'!$B$5),1,IF((I8)&gt;=('SEC-IRBA'!$B$5),(EXP((-1/(('Capital released'!$B$16)*('SEC-IRBA'!$B$5)))*((1)-('SEC-IRBA'!$B$5)))-EXP((-1/(('Capital released'!$B$16)*('SEC-IRBA'!$B$5)))*MAX((I8)-('SEC-IRBA'!$B$5),0)))/((-1/(('Capital released'!$B$16)*('SEC-IRBA'!$B$5)))*(((1)-('SEC-IRBA'!$B$5))-MAX((I8)-('SEC-IRBA'!$B$5),0))),(('SEC-IRBA'!$B$5)-(I8))/((1)-(I8))+(1-(('SEC-IRBA'!$B$5)-(I8))/((1)-(I8)))*(EXP((-1/(('Capital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released'!$B$11=1,0.1,0.15),12.5*IF((1)&lt;=('SEC-IRBA'!$B$5),1,IF((I8)&gt;=('SEC-IRBA'!$B$5),(EXP((-1/(('Capital released'!$B$16)*('SEC-IRBA'!$B$5)))*((1)-('SEC-IRBA'!$B$5)))-EXP((-1/(('Capital released'!$B$16)*('SEC-IRBA'!$B$5)))*MAX((I8)-('SEC-IRBA'!$B$5),0)))/((-1/(('Capital released'!$B$16)*('SEC-IRBA'!$B$5)))*(((1)-('SEC-IRBA'!$B$5))-MAX((I8)-('SEC-IRBA'!$B$5),0))),(('SEC-IRBA'!$B$5)-(I8))/((1)-(I8))+(1-(('SEC-IRBA'!$B$5)-(I8))/((1)-(I8)))*(EXP((-1/(('Capital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released'!$B$11=1,0.1,0.15),12.5*IF((1)&lt;=('SEC-IRBA'!$B$5),1,IF((I8)&gt;=('SEC-IRBA'!$B$5),(EXP((-1/(('Capital released'!$B$16)*('SEC-IRBA'!$B$5)))*((1)-('SEC-IRBA'!$B$5)))-EXP((-1/(('Capital released'!$B$16)*('SEC-IRBA'!$B$5)))*MAX((I8)-('SEC-IRBA'!$B$5),0)))/((-1/(('Capital released'!$B$16)*('SEC-IRBA'!$B$5)))*(((1)-('SEC-IRBA'!$B$5))-MAX((I8)-('SEC-IRBA'!$B$5),0))),(('SEC-IRBA'!$B$5)-(I8))/((1)-(I8))+(1-(('SEC-IRBA'!$B$5)-(I8))/((1)-(I8)))*(EXP((-1/(('Capital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released'!$B$16)*('SEC-IRBA'!$B$5)))*(((1)-('SEC-IRBA'!$B$5))-MAX(('SEC-IRBA'!$B$5)-('SEC-IRBA'!$B$5),0))))))))*(1-I8)*'SEC-IRBA'!$B$13*'Capital released'!$B$9+I8*'SEC-IRBA'!$B$13*'Capital released'!$B$6)</f>
        <v>25999566.3661996</v>
      </c>
    </row>
    <row r="9" customFormat="false" ht="15" hidden="false" customHeight="false" outlineLevel="0" collapsed="false">
      <c r="A9" s="4" t="n">
        <v>5</v>
      </c>
      <c r="B9" s="21" t="n">
        <f aca="false">IF(E8&gt;IF('Capital released'!$B$11=1,0.1,0.15),D8,B8)</f>
        <v>0.0922345737086585</v>
      </c>
      <c r="C9" s="21" t="n">
        <f aca="false">IF(E8&gt;IF('Capital released'!$B$11=1,0.1,0.15),C8,D8)</f>
        <v>0.119418935461415</v>
      </c>
      <c r="D9" s="21" t="n">
        <f aca="false">(B9+C9)/2</f>
        <v>0.105826754585037</v>
      </c>
      <c r="E9" s="12" t="n">
        <f aca="false">12.5*IF((1)&lt;=('SEC-IRBA'!$B$5),1,IF((D9)&gt;=('SEC-IRBA'!$B$5),(EXP((-1/(('Capital released'!$B$16)*('SEC-IRBA'!$B$5)))*((1)-('SEC-IRBA'!$B$5)))-EXP((-1/(('Capital released'!$B$16)*('SEC-IRBA'!$B$5)))*MAX((D9)-('SEC-IRBA'!$B$5),0)))/((-1/(('Capital released'!$B$16)*('SEC-IRBA'!$B$5)))*(((1)-('SEC-IRBA'!$B$5))-MAX((D9)-('SEC-IRBA'!$B$5),0))),(('SEC-IRBA'!$B$5)-(D9))/((1)-(D9))+(1-(('SEC-IRBA'!$B$5)-(D9))/((1)-(D9)))*(EXP((-1/(('Capital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0.115115746468053</v>
      </c>
      <c r="G9" s="21" t="n">
        <f aca="false">IF(J8&lt;0,I8,G8)</f>
        <v>0.0325125529889756</v>
      </c>
      <c r="H9" s="21" t="n">
        <f aca="false">IF(J8&lt;0,H8,I8)</f>
        <v>0.0393906912362195</v>
      </c>
      <c r="I9" s="21" t="n">
        <f aca="false">(G9+H9)/2</f>
        <v>0.0359516221125976</v>
      </c>
      <c r="J9" s="13" t="n">
        <f aca="false">'Capital released'!$B$30-(IF('Capital released'!$B$12=1,MIN(MAX(IF('Capital released'!$B$11=1,0.1,0.15),12.5*IF((1)&lt;=('SEC-IRBA'!$B$5),1,IF((I9)&gt;=('SEC-IRBA'!$B$5),(EXP((-1/(('Capital released'!$B$16)*('SEC-IRBA'!$B$5)))*((1)-('SEC-IRBA'!$B$5)))-EXP((-1/(('Capital released'!$B$16)*('SEC-IRBA'!$B$5)))*MAX((I9)-('SEC-IRBA'!$B$5),0)))/((-1/(('Capital released'!$B$16)*('SEC-IRBA'!$B$5)))*(((1)-('SEC-IRBA'!$B$5))-MAX((I9)-('SEC-IRBA'!$B$5),0))),(('SEC-IRBA'!$B$5)-(I9))/((1)-(I9))+(1-(('SEC-IRBA'!$B$5)-(I9))/((1)-(I9)))*(EXP((-1/(('Capital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released'!$B$11=1,0.1,0.15),12.5*IF((1)&lt;=('SEC-IRBA'!$B$5),1,IF((I9)&gt;=('SEC-IRBA'!$B$5),(EXP((-1/(('Capital released'!$B$16)*('SEC-IRBA'!$B$5)))*((1)-('SEC-IRBA'!$B$5)))-EXP((-1/(('Capital released'!$B$16)*('SEC-IRBA'!$B$5)))*MAX((I9)-('SEC-IRBA'!$B$5),0)))/((-1/(('Capital released'!$B$16)*('SEC-IRBA'!$B$5)))*(((1)-('SEC-IRBA'!$B$5))-MAX((I9)-('SEC-IRBA'!$B$5),0))),(('SEC-IRBA'!$B$5)-(I9))/((1)-(I9))+(1-(('SEC-IRBA'!$B$5)-(I9))/((1)-(I9)))*(EXP((-1/(('Capital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released'!$B$11=1,0.1,0.15),12.5*IF((1)&lt;=('SEC-IRBA'!$B$5),1,IF((I9)&gt;=('SEC-IRBA'!$B$5),(EXP((-1/(('Capital released'!$B$16)*('SEC-IRBA'!$B$5)))*((1)-('SEC-IRBA'!$B$5)))-EXP((-1/(('Capital released'!$B$16)*('SEC-IRBA'!$B$5)))*MAX((I9)-('SEC-IRBA'!$B$5),0)))/((-1/(('Capital released'!$B$16)*('SEC-IRBA'!$B$5)))*(((1)-('SEC-IRBA'!$B$5))-MAX((I9)-('SEC-IRBA'!$B$5),0))),(('SEC-IRBA'!$B$5)-(I9))/((1)-(I9))+(1-(('SEC-IRBA'!$B$5)-(I9))/((1)-(I9)))*(EXP((-1/(('Capital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released'!$B$16)*('SEC-IRBA'!$B$5)))*(((1)-('SEC-IRBA'!$B$5))-MAX(('SEC-IRBA'!$B$5)-('SEC-IRBA'!$B$5),0))))))))*(1-I9)*'SEC-IRBA'!$B$13*'Capital released'!$B$9+I9*'SEC-IRBA'!$B$13*'Capital released'!$B$6)</f>
        <v>3473663.60647577</v>
      </c>
    </row>
    <row r="10" customFormat="false" ht="15" hidden="false" customHeight="false" outlineLevel="0" collapsed="false">
      <c r="A10" s="4" t="n">
        <v>6</v>
      </c>
      <c r="B10" s="21" t="n">
        <f aca="false">IF(E9&gt;IF('Capital released'!$B$11=1,0.1,0.15),D9,B9)</f>
        <v>0.0922345737086585</v>
      </c>
      <c r="C10" s="21" t="n">
        <f aca="false">IF(E9&gt;IF('Capital released'!$B$11=1,0.1,0.15),C9,D9)</f>
        <v>0.105826754585037</v>
      </c>
      <c r="D10" s="21" t="n">
        <f aca="false">(B10+C10)/2</f>
        <v>0.0990306641468476</v>
      </c>
      <c r="E10" s="12" t="n">
        <f aca="false">12.5*IF((1)&lt;=('SEC-IRBA'!$B$5),1,IF((D10)&gt;=('SEC-IRBA'!$B$5),(EXP((-1/(('Capital released'!$B$16)*('SEC-IRBA'!$B$5)))*((1)-('SEC-IRBA'!$B$5)))-EXP((-1/(('Capital released'!$B$16)*('SEC-IRBA'!$B$5)))*MAX((D10)-('SEC-IRBA'!$B$5),0)))/((-1/(('Capital released'!$B$16)*('SEC-IRBA'!$B$5)))*(((1)-('SEC-IRBA'!$B$5))-MAX((D10)-('SEC-IRBA'!$B$5),0))),(('SEC-IRBA'!$B$5)-(D10))/((1)-(D10))+(1-(('SEC-IRBA'!$B$5)-(D10))/((1)-(D10)))*(EXP((-1/(('Capital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0.142389697913679</v>
      </c>
      <c r="G10" s="21" t="n">
        <f aca="false">IF(J9&lt;0,I9,G9)</f>
        <v>0.0325125529889756</v>
      </c>
      <c r="H10" s="21" t="n">
        <f aca="false">IF(J9&lt;0,H9,I9)</f>
        <v>0.0359516221125976</v>
      </c>
      <c r="I10" s="21" t="n">
        <f aca="false">(G10+H10)/2</f>
        <v>0.0342320875507866</v>
      </c>
      <c r="J10" s="13" t="n">
        <f aca="false">'Capital released'!$B$30-(IF('Capital released'!$B$12=1,MIN(MAX(IF('Capital released'!$B$11=1,0.1,0.15),12.5*IF((1)&lt;=('SEC-IRBA'!$B$5),1,IF((I10)&gt;=('SEC-IRBA'!$B$5),(EXP((-1/(('Capital released'!$B$16)*('SEC-IRBA'!$B$5)))*((1)-('SEC-IRBA'!$B$5)))-EXP((-1/(('Capital released'!$B$16)*('SEC-IRBA'!$B$5)))*MAX((I10)-('SEC-IRBA'!$B$5),0)))/((-1/(('Capital released'!$B$16)*('SEC-IRBA'!$B$5)))*(((1)-('SEC-IRBA'!$B$5))-MAX((I10)-('SEC-IRBA'!$B$5),0))),(('SEC-IRBA'!$B$5)-(I10))/((1)-(I10))+(1-(('SEC-IRBA'!$B$5)-(I10))/((1)-(I10)))*(EXP((-1/(('Capital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released'!$B$11=1,0.1,0.15),12.5*IF((1)&lt;=('SEC-IRBA'!$B$5),1,IF((I10)&gt;=('SEC-IRBA'!$B$5),(EXP((-1/(('Capital released'!$B$16)*('SEC-IRBA'!$B$5)))*((1)-('SEC-IRBA'!$B$5)))-EXP((-1/(('Capital released'!$B$16)*('SEC-IRBA'!$B$5)))*MAX((I10)-('SEC-IRBA'!$B$5),0)))/((-1/(('Capital released'!$B$16)*('SEC-IRBA'!$B$5)))*(((1)-('SEC-IRBA'!$B$5))-MAX((I10)-('SEC-IRBA'!$B$5),0))),(('SEC-IRBA'!$B$5)-(I10))/((1)-(I10))+(1-(('SEC-IRBA'!$B$5)-(I10))/((1)-(I10)))*(EXP((-1/(('Capital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released'!$B$11=1,0.1,0.15),12.5*IF((1)&lt;=('SEC-IRBA'!$B$5),1,IF((I10)&gt;=('SEC-IRBA'!$B$5),(EXP((-1/(('Capital released'!$B$16)*('SEC-IRBA'!$B$5)))*((1)-('SEC-IRBA'!$B$5)))-EXP((-1/(('Capital released'!$B$16)*('SEC-IRBA'!$B$5)))*MAX((I10)-('SEC-IRBA'!$B$5),0)))/((-1/(('Capital released'!$B$16)*('SEC-IRBA'!$B$5)))*(((1)-('SEC-IRBA'!$B$5))-MAX((I10)-('SEC-IRBA'!$B$5),0))),(('SEC-IRBA'!$B$5)-(I10))/((1)-(I10))+(1-(('SEC-IRBA'!$B$5)-(I10))/((1)-(I10)))*(EXP((-1/(('Capital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released'!$B$16)*('SEC-IRBA'!$B$5)))*(((1)-('SEC-IRBA'!$B$5))-MAX(('SEC-IRBA'!$B$5)-('SEC-IRBA'!$B$5),0))))))))*(1-I10)*'SEC-IRBA'!$B$13*'Capital released'!$B$9+I10*'SEC-IRBA'!$B$13*'Capital released'!$B$6)</f>
        <v>-7789287.77338618</v>
      </c>
    </row>
    <row r="11" customFormat="false" ht="15" hidden="false" customHeight="false" outlineLevel="0" collapsed="false">
      <c r="A11" s="4" t="n">
        <v>7</v>
      </c>
      <c r="B11" s="21" t="n">
        <f aca="false">IF(E10&gt;IF('Capital released'!$B$11=1,0.1,0.15),D10,B10)</f>
        <v>0.0922345737086585</v>
      </c>
      <c r="C11" s="21" t="n">
        <f aca="false">IF(E10&gt;IF('Capital released'!$B$11=1,0.1,0.15),C10,D10)</f>
        <v>0.0990306641468476</v>
      </c>
      <c r="D11" s="21" t="n">
        <f aca="false">(B11+C11)/2</f>
        <v>0.095632618927753</v>
      </c>
      <c r="E11" s="12" t="n">
        <f aca="false">12.5*IF((1)&lt;=('SEC-IRBA'!$B$5),1,IF((D11)&gt;=('SEC-IRBA'!$B$5),(EXP((-1/(('Capital released'!$B$16)*('SEC-IRBA'!$B$5)))*((1)-('SEC-IRBA'!$B$5)))-EXP((-1/(('Capital released'!$B$16)*('SEC-IRBA'!$B$5)))*MAX((D11)-('SEC-IRBA'!$B$5),0)))/((-1/(('Capital released'!$B$16)*('SEC-IRBA'!$B$5)))*(((1)-('SEC-IRBA'!$B$5))-MAX((D11)-('SEC-IRBA'!$B$5),0))),(('SEC-IRBA'!$B$5)-(D11))/((1)-(D11))+(1-(('SEC-IRBA'!$B$5)-(D11))/((1)-(D11)))*(EXP((-1/(('Capital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0.158365208141539</v>
      </c>
      <c r="G11" s="21" t="n">
        <f aca="false">IF(J10&lt;0,I10,G10)</f>
        <v>0.0342320875507866</v>
      </c>
      <c r="H11" s="21" t="n">
        <f aca="false">IF(J10&lt;0,H10,I10)</f>
        <v>0.0359516221125976</v>
      </c>
      <c r="I11" s="21" t="n">
        <f aca="false">(G11+H11)/2</f>
        <v>0.0350918548316921</v>
      </c>
      <c r="J11" s="13" t="n">
        <f aca="false">'Capital released'!$B$30-(IF('Capital released'!$B$12=1,MIN(MAX(IF('Capital released'!$B$11=1,0.1,0.15),12.5*IF((1)&lt;=('SEC-IRBA'!$B$5),1,IF((I11)&gt;=('SEC-IRBA'!$B$5),(EXP((-1/(('Capital released'!$B$16)*('SEC-IRBA'!$B$5)))*((1)-('SEC-IRBA'!$B$5)))-EXP((-1/(('Capital released'!$B$16)*('SEC-IRBA'!$B$5)))*MAX((I11)-('SEC-IRBA'!$B$5),0)))/((-1/(('Capital released'!$B$16)*('SEC-IRBA'!$B$5)))*(((1)-('SEC-IRBA'!$B$5))-MAX((I11)-('SEC-IRBA'!$B$5),0))),(('SEC-IRBA'!$B$5)-(I11))/((1)-(I11))+(1-(('SEC-IRBA'!$B$5)-(I11))/((1)-(I11)))*(EXP((-1/(('Capital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released'!$B$11=1,0.1,0.15),12.5*IF((1)&lt;=('SEC-IRBA'!$B$5),1,IF((I11)&gt;=('SEC-IRBA'!$B$5),(EXP((-1/(('Capital released'!$B$16)*('SEC-IRBA'!$B$5)))*((1)-('SEC-IRBA'!$B$5)))-EXP((-1/(('Capital released'!$B$16)*('SEC-IRBA'!$B$5)))*MAX((I11)-('SEC-IRBA'!$B$5),0)))/((-1/(('Capital released'!$B$16)*('SEC-IRBA'!$B$5)))*(((1)-('SEC-IRBA'!$B$5))-MAX((I11)-('SEC-IRBA'!$B$5),0))),(('SEC-IRBA'!$B$5)-(I11))/((1)-(I11))+(1-(('SEC-IRBA'!$B$5)-(I11))/((1)-(I11)))*(EXP((-1/(('Capital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released'!$B$11=1,0.1,0.15),12.5*IF((1)&lt;=('SEC-IRBA'!$B$5),1,IF((I11)&gt;=('SEC-IRBA'!$B$5),(EXP((-1/(('Capital released'!$B$16)*('SEC-IRBA'!$B$5)))*((1)-('SEC-IRBA'!$B$5)))-EXP((-1/(('Capital released'!$B$16)*('SEC-IRBA'!$B$5)))*MAX((I11)-('SEC-IRBA'!$B$5),0)))/((-1/(('Capital released'!$B$16)*('SEC-IRBA'!$B$5)))*(((1)-('SEC-IRBA'!$B$5))-MAX((I11)-('SEC-IRBA'!$B$5),0))),(('SEC-IRBA'!$B$5)-(I11))/((1)-(I11))+(1-(('SEC-IRBA'!$B$5)-(I11))/((1)-(I11)))*(EXP((-1/(('Capital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released'!$B$16)*('SEC-IRBA'!$B$5)))*(((1)-('SEC-IRBA'!$B$5))-MAX(('SEC-IRBA'!$B$5)-('SEC-IRBA'!$B$5),0))))))))*(1-I11)*'SEC-IRBA'!$B$13*'Capital released'!$B$9+I11*'SEC-IRBA'!$B$13*'Capital released'!$B$6)</f>
        <v>-2157812.08345515</v>
      </c>
    </row>
    <row r="12" customFormat="false" ht="15" hidden="false" customHeight="false" outlineLevel="0" collapsed="false">
      <c r="A12" s="4" t="n">
        <v>8</v>
      </c>
      <c r="B12" s="21" t="n">
        <f aca="false">IF(E11&gt;IF('Capital released'!$B$11=1,0.1,0.15),D11,B11)</f>
        <v>0.095632618927753</v>
      </c>
      <c r="C12" s="21" t="n">
        <f aca="false">IF(E11&gt;IF('Capital released'!$B$11=1,0.1,0.15),C11,D11)</f>
        <v>0.0990306641468476</v>
      </c>
      <c r="D12" s="21" t="n">
        <f aca="false">(B12+C12)/2</f>
        <v>0.0973316415373003</v>
      </c>
      <c r="E12" s="12" t="n">
        <f aca="false">12.5*IF((1)&lt;=('SEC-IRBA'!$B$5),1,IF((D12)&gt;=('SEC-IRBA'!$B$5),(EXP((-1/(('Capital released'!$B$16)*('SEC-IRBA'!$B$5)))*((1)-('SEC-IRBA'!$B$5)))-EXP((-1/(('Capital released'!$B$16)*('SEC-IRBA'!$B$5)))*MAX((D12)-('SEC-IRBA'!$B$5),0)))/((-1/(('Capital released'!$B$16)*('SEC-IRBA'!$B$5)))*(((1)-('SEC-IRBA'!$B$5))-MAX((D12)-('SEC-IRBA'!$B$5),0))),(('SEC-IRBA'!$B$5)-(D12))/((1)-(D12))+(1-(('SEC-IRBA'!$B$5)-(D12))/((1)-(D12)))*(EXP((-1/(('Capital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0.150164890235882</v>
      </c>
      <c r="G12" s="21" t="n">
        <f aca="false">IF(J11&lt;0,I11,G11)</f>
        <v>0.0350918548316921</v>
      </c>
      <c r="H12" s="21" t="n">
        <f aca="false">IF(J11&lt;0,H11,I11)</f>
        <v>0.0359516221125976</v>
      </c>
      <c r="I12" s="21" t="n">
        <f aca="false">(G12+H12)/2</f>
        <v>0.0355217384721448</v>
      </c>
      <c r="J12" s="13" t="n">
        <f aca="false">'Capital released'!$B$30-(IF('Capital released'!$B$12=1,MIN(MAX(IF('Capital released'!$B$11=1,0.1,0.15),12.5*IF((1)&lt;=('SEC-IRBA'!$B$5),1,IF((I12)&gt;=('SEC-IRBA'!$B$5),(EXP((-1/(('Capital released'!$B$16)*('SEC-IRBA'!$B$5)))*((1)-('SEC-IRBA'!$B$5)))-EXP((-1/(('Capital released'!$B$16)*('SEC-IRBA'!$B$5)))*MAX((I12)-('SEC-IRBA'!$B$5),0)))/((-1/(('Capital released'!$B$16)*('SEC-IRBA'!$B$5)))*(((1)-('SEC-IRBA'!$B$5))-MAX((I12)-('SEC-IRBA'!$B$5),0))),(('SEC-IRBA'!$B$5)-(I12))/((1)-(I12))+(1-(('SEC-IRBA'!$B$5)-(I12))/((1)-(I12)))*(EXP((-1/(('Capital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released'!$B$11=1,0.1,0.15),12.5*IF((1)&lt;=('SEC-IRBA'!$B$5),1,IF((I12)&gt;=('SEC-IRBA'!$B$5),(EXP((-1/(('Capital released'!$B$16)*('SEC-IRBA'!$B$5)))*((1)-('SEC-IRBA'!$B$5)))-EXP((-1/(('Capital released'!$B$16)*('SEC-IRBA'!$B$5)))*MAX((I12)-('SEC-IRBA'!$B$5),0)))/((-1/(('Capital released'!$B$16)*('SEC-IRBA'!$B$5)))*(((1)-('SEC-IRBA'!$B$5))-MAX((I12)-('SEC-IRBA'!$B$5),0))),(('SEC-IRBA'!$B$5)-(I12))/((1)-(I12))+(1-(('SEC-IRBA'!$B$5)-(I12))/((1)-(I12)))*(EXP((-1/(('Capital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released'!$B$11=1,0.1,0.15),12.5*IF((1)&lt;=('SEC-IRBA'!$B$5),1,IF((I12)&gt;=('SEC-IRBA'!$B$5),(EXP((-1/(('Capital released'!$B$16)*('SEC-IRBA'!$B$5)))*((1)-('SEC-IRBA'!$B$5)))-EXP((-1/(('Capital released'!$B$16)*('SEC-IRBA'!$B$5)))*MAX((I12)-('SEC-IRBA'!$B$5),0)))/((-1/(('Capital released'!$B$16)*('SEC-IRBA'!$B$5)))*(((1)-('SEC-IRBA'!$B$5))-MAX((I12)-('SEC-IRBA'!$B$5),0))),(('SEC-IRBA'!$B$5)-(I12))/((1)-(I12))+(1-(('SEC-IRBA'!$B$5)-(I12))/((1)-(I12)))*(EXP((-1/(('Capital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released'!$B$16)*('SEC-IRBA'!$B$5)))*(((1)-('SEC-IRBA'!$B$5))-MAX(('SEC-IRBA'!$B$5)-('SEC-IRBA'!$B$5),0))))))))*(1-I12)*'SEC-IRBA'!$B$13*'Capital released'!$B$9+I12*'SEC-IRBA'!$B$13*'Capital released'!$B$6)</f>
        <v>657925.761510313</v>
      </c>
    </row>
    <row r="13" customFormat="false" ht="15" hidden="false" customHeight="false" outlineLevel="0" collapsed="false">
      <c r="A13" s="4" t="n">
        <v>9</v>
      </c>
      <c r="B13" s="21" t="n">
        <f aca="false">IF(E12&gt;IF('Capital released'!$B$11=1,0.1,0.15),D12,B12)</f>
        <v>0.0973316415373003</v>
      </c>
      <c r="C13" s="21" t="n">
        <f aca="false">IF(E12&gt;IF('Capital released'!$B$11=1,0.1,0.15),C12,D12)</f>
        <v>0.0990306641468476</v>
      </c>
      <c r="D13" s="21" t="n">
        <f aca="false">(B13+C13)/2</f>
        <v>0.0981811528420739</v>
      </c>
      <c r="E13" s="12" t="n">
        <f aca="false">12.5*IF((1)&lt;=('SEC-IRBA'!$B$5),1,IF((D13)&gt;=('SEC-IRBA'!$B$5),(EXP((-1/(('Capital released'!$B$16)*('SEC-IRBA'!$B$5)))*((1)-('SEC-IRBA'!$B$5)))-EXP((-1/(('Capital released'!$B$16)*('SEC-IRBA'!$B$5)))*MAX((D13)-('SEC-IRBA'!$B$5),0)))/((-1/(('Capital released'!$B$16)*('SEC-IRBA'!$B$5)))*(((1)-('SEC-IRBA'!$B$5))-MAX((D13)-('SEC-IRBA'!$B$5),0))),(('SEC-IRBA'!$B$5)-(D13))/((1)-(D13))+(1-(('SEC-IRBA'!$B$5)-(D13))/((1)-(D13)))*(EXP((-1/(('Capital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0.146225559956055</v>
      </c>
      <c r="G13" s="21" t="n">
        <f aca="false">IF(J12&lt;0,I12,G12)</f>
        <v>0.0350918548316921</v>
      </c>
      <c r="H13" s="21" t="n">
        <f aca="false">IF(J12&lt;0,H12,I12)</f>
        <v>0.0355217384721448</v>
      </c>
      <c r="I13" s="21" t="n">
        <f aca="false">(G13+H13)/2</f>
        <v>0.0353067966519185</v>
      </c>
      <c r="J13" s="13" t="n">
        <f aca="false">'Capital released'!$B$30-(IF('Capital released'!$B$12=1,MIN(MAX(IF('Capital released'!$B$11=1,0.1,0.15),12.5*IF((1)&lt;=('SEC-IRBA'!$B$5),1,IF((I13)&gt;=('SEC-IRBA'!$B$5),(EXP((-1/(('Capital released'!$B$16)*('SEC-IRBA'!$B$5)))*((1)-('SEC-IRBA'!$B$5)))-EXP((-1/(('Capital released'!$B$16)*('SEC-IRBA'!$B$5)))*MAX((I13)-('SEC-IRBA'!$B$5),0)))/((-1/(('Capital released'!$B$16)*('SEC-IRBA'!$B$5)))*(((1)-('SEC-IRBA'!$B$5))-MAX((I13)-('SEC-IRBA'!$B$5),0))),(('SEC-IRBA'!$B$5)-(I13))/((1)-(I13))+(1-(('SEC-IRBA'!$B$5)-(I13))/((1)-(I13)))*(EXP((-1/(('Capital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released'!$B$11=1,0.1,0.15),12.5*IF((1)&lt;=('SEC-IRBA'!$B$5),1,IF((I13)&gt;=('SEC-IRBA'!$B$5),(EXP((-1/(('Capital released'!$B$16)*('SEC-IRBA'!$B$5)))*((1)-('SEC-IRBA'!$B$5)))-EXP((-1/(('Capital released'!$B$16)*('SEC-IRBA'!$B$5)))*MAX((I13)-('SEC-IRBA'!$B$5),0)))/((-1/(('Capital released'!$B$16)*('SEC-IRBA'!$B$5)))*(((1)-('SEC-IRBA'!$B$5))-MAX((I13)-('SEC-IRBA'!$B$5),0))),(('SEC-IRBA'!$B$5)-(I13))/((1)-(I13))+(1-(('SEC-IRBA'!$B$5)-(I13))/((1)-(I13)))*(EXP((-1/(('Capital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released'!$B$11=1,0.1,0.15),12.5*IF((1)&lt;=('SEC-IRBA'!$B$5),1,IF((I13)&gt;=('SEC-IRBA'!$B$5),(EXP((-1/(('Capital released'!$B$16)*('SEC-IRBA'!$B$5)))*((1)-('SEC-IRBA'!$B$5)))-EXP((-1/(('Capital released'!$B$16)*('SEC-IRBA'!$B$5)))*MAX((I13)-('SEC-IRBA'!$B$5),0)))/((-1/(('Capital released'!$B$16)*('SEC-IRBA'!$B$5)))*(((1)-('SEC-IRBA'!$B$5))-MAX((I13)-('SEC-IRBA'!$B$5),0))),(('SEC-IRBA'!$B$5)-(I13))/((1)-(I13))+(1-(('SEC-IRBA'!$B$5)-(I13))/((1)-(I13)))*(EXP((-1/(('Capital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released'!$B$16)*('SEC-IRBA'!$B$5)))*(((1)-('SEC-IRBA'!$B$5))-MAX(('SEC-IRBA'!$B$5)-('SEC-IRBA'!$B$5),0))))))))*(1-I13)*'SEC-IRBA'!$B$13*'Capital released'!$B$9+I13*'SEC-IRBA'!$B$13*'Capital released'!$B$6)</f>
        <v>-749943.160972536</v>
      </c>
    </row>
    <row r="14" customFormat="false" ht="15" hidden="false" customHeight="false" outlineLevel="0" collapsed="false">
      <c r="A14" s="4" t="n">
        <v>10</v>
      </c>
      <c r="B14" s="21" t="n">
        <f aca="false">IF(E13&gt;IF('Capital released'!$B$11=1,0.1,0.15),D13,B13)</f>
        <v>0.0973316415373003</v>
      </c>
      <c r="C14" s="21" t="n">
        <f aca="false">IF(E13&gt;IF('Capital released'!$B$11=1,0.1,0.15),C13,D13)</f>
        <v>0.0981811528420739</v>
      </c>
      <c r="D14" s="21" t="n">
        <f aca="false">(B14+C14)/2</f>
        <v>0.0977563971896871</v>
      </c>
      <c r="E14" s="12" t="n">
        <f aca="false">12.5*IF((1)&lt;=('SEC-IRBA'!$B$5),1,IF((D14)&gt;=('SEC-IRBA'!$B$5),(EXP((-1/(('Capital released'!$B$16)*('SEC-IRBA'!$B$5)))*((1)-('SEC-IRBA'!$B$5)))-EXP((-1/(('Capital released'!$B$16)*('SEC-IRBA'!$B$5)))*MAX((D14)-('SEC-IRBA'!$B$5),0)))/((-1/(('Capital released'!$B$16)*('SEC-IRBA'!$B$5)))*(((1)-('SEC-IRBA'!$B$5))-MAX((D14)-('SEC-IRBA'!$B$5),0))),(('SEC-IRBA'!$B$5)-(D14))/((1)-(D14))+(1-(('SEC-IRBA'!$B$5)-(D14))/((1)-(D14)))*(EXP((-1/(('Capital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0.148182118671308</v>
      </c>
      <c r="G14" s="21" t="n">
        <f aca="false">IF(J13&lt;0,I13,G13)</f>
        <v>0.0353067966519185</v>
      </c>
      <c r="H14" s="21" t="n">
        <f aca="false">IF(J13&lt;0,H13,I13)</f>
        <v>0.0355217384721448</v>
      </c>
      <c r="I14" s="21" t="n">
        <f aca="false">(G14+H14)/2</f>
        <v>0.0354142675620316</v>
      </c>
      <c r="J14" s="13" t="n">
        <f aca="false">'Capital released'!$B$30-(IF('Capital released'!$B$12=1,MIN(MAX(IF('Capital released'!$B$11=1,0.1,0.15),12.5*IF((1)&lt;=('SEC-IRBA'!$B$5),1,IF((I14)&gt;=('SEC-IRBA'!$B$5),(EXP((-1/(('Capital released'!$B$16)*('SEC-IRBA'!$B$5)))*((1)-('SEC-IRBA'!$B$5)))-EXP((-1/(('Capital released'!$B$16)*('SEC-IRBA'!$B$5)))*MAX((I14)-('SEC-IRBA'!$B$5),0)))/((-1/(('Capital released'!$B$16)*('SEC-IRBA'!$B$5)))*(((1)-('SEC-IRBA'!$B$5))-MAX((I14)-('SEC-IRBA'!$B$5),0))),(('SEC-IRBA'!$B$5)-(I14))/((1)-(I14))+(1-(('SEC-IRBA'!$B$5)-(I14))/((1)-(I14)))*(EXP((-1/(('Capital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released'!$B$11=1,0.1,0.15),12.5*IF((1)&lt;=('SEC-IRBA'!$B$5),1,IF((I14)&gt;=('SEC-IRBA'!$B$5),(EXP((-1/(('Capital released'!$B$16)*('SEC-IRBA'!$B$5)))*((1)-('SEC-IRBA'!$B$5)))-EXP((-1/(('Capital released'!$B$16)*('SEC-IRBA'!$B$5)))*MAX((I14)-('SEC-IRBA'!$B$5),0)))/((-1/(('Capital released'!$B$16)*('SEC-IRBA'!$B$5)))*(((1)-('SEC-IRBA'!$B$5))-MAX((I14)-('SEC-IRBA'!$B$5),0))),(('SEC-IRBA'!$B$5)-(I14))/((1)-(I14))+(1-(('SEC-IRBA'!$B$5)-(I14))/((1)-(I14)))*(EXP((-1/(('Capital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released'!$B$11=1,0.1,0.15),12.5*IF((1)&lt;=('SEC-IRBA'!$B$5),1,IF((I14)&gt;=('SEC-IRBA'!$B$5),(EXP((-1/(('Capital released'!$B$16)*('SEC-IRBA'!$B$5)))*((1)-('SEC-IRBA'!$B$5)))-EXP((-1/(('Capital released'!$B$16)*('SEC-IRBA'!$B$5)))*MAX((I14)-('SEC-IRBA'!$B$5),0)))/((-1/(('Capital released'!$B$16)*('SEC-IRBA'!$B$5)))*(((1)-('SEC-IRBA'!$B$5))-MAX((I14)-('SEC-IRBA'!$B$5),0))),(('SEC-IRBA'!$B$5)-(I14))/((1)-(I14))+(1-(('SEC-IRBA'!$B$5)-(I14))/((1)-(I14)))*(EXP((-1/(('Capital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released'!$B$16)*('SEC-IRBA'!$B$5)))*(((1)-('SEC-IRBA'!$B$5))-MAX(('SEC-IRBA'!$B$5)-('SEC-IRBA'!$B$5),0))))))))*(1-I14)*'SEC-IRBA'!$B$13*'Capital released'!$B$9+I14*'SEC-IRBA'!$B$13*'Capital released'!$B$6)</f>
        <v>-46008.6997311115</v>
      </c>
    </row>
    <row r="15" customFormat="false" ht="15" hidden="false" customHeight="false" outlineLevel="0" collapsed="false">
      <c r="A15" s="4" t="n">
        <v>11</v>
      </c>
      <c r="B15" s="21" t="n">
        <f aca="false">IF(E14&gt;IF('Capital released'!$B$11=1,0.1,0.15),D14,B14)</f>
        <v>0.0973316415373003</v>
      </c>
      <c r="C15" s="21" t="n">
        <f aca="false">IF(E14&gt;IF('Capital released'!$B$11=1,0.1,0.15),C14,D14)</f>
        <v>0.0977563971896871</v>
      </c>
      <c r="D15" s="21" t="n">
        <f aca="false">(B15+C15)/2</f>
        <v>0.0975440193634937</v>
      </c>
      <c r="E15" s="12" t="n">
        <f aca="false">12.5*IF((1)&lt;=('SEC-IRBA'!$B$5),1,IF((D15)&gt;=('SEC-IRBA'!$B$5),(EXP((-1/(('Capital released'!$B$16)*('SEC-IRBA'!$B$5)))*((1)-('SEC-IRBA'!$B$5)))-EXP((-1/(('Capital released'!$B$16)*('SEC-IRBA'!$B$5)))*MAX((D15)-('SEC-IRBA'!$B$5),0)))/((-1/(('Capital released'!$B$16)*('SEC-IRBA'!$B$5)))*(((1)-('SEC-IRBA'!$B$5))-MAX((D15)-('SEC-IRBA'!$B$5),0))),(('SEC-IRBA'!$B$5)-(D15))/((1)-(D15))+(1-(('SEC-IRBA'!$B$5)-(D15))/((1)-(D15)))*(EXP((-1/(('Capital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0.149170205982487</v>
      </c>
      <c r="G15" s="21" t="n">
        <f aca="false">IF(J14&lt;0,I14,G14)</f>
        <v>0.0354142675620316</v>
      </c>
      <c r="H15" s="21" t="n">
        <f aca="false">IF(J14&lt;0,H14,I14)</f>
        <v>0.0355217384721448</v>
      </c>
      <c r="I15" s="21" t="n">
        <f aca="false">(G15+H15)/2</f>
        <v>0.0354680030170882</v>
      </c>
      <c r="J15" s="13" t="n">
        <f aca="false">'Capital released'!$B$30-(IF('Capital released'!$B$12=1,MIN(MAX(IF('Capital released'!$B$11=1,0.1,0.15),12.5*IF((1)&lt;=('SEC-IRBA'!$B$5),1,IF((I15)&gt;=('SEC-IRBA'!$B$5),(EXP((-1/(('Capital released'!$B$16)*('SEC-IRBA'!$B$5)))*((1)-('SEC-IRBA'!$B$5)))-EXP((-1/(('Capital released'!$B$16)*('SEC-IRBA'!$B$5)))*MAX((I15)-('SEC-IRBA'!$B$5),0)))/((-1/(('Capital released'!$B$16)*('SEC-IRBA'!$B$5)))*(((1)-('SEC-IRBA'!$B$5))-MAX((I15)-('SEC-IRBA'!$B$5),0))),(('SEC-IRBA'!$B$5)-(I15))/((1)-(I15))+(1-(('SEC-IRBA'!$B$5)-(I15))/((1)-(I15)))*(EXP((-1/(('Capital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released'!$B$11=1,0.1,0.15),12.5*IF((1)&lt;=('SEC-IRBA'!$B$5),1,IF((I15)&gt;=('SEC-IRBA'!$B$5),(EXP((-1/(('Capital released'!$B$16)*('SEC-IRBA'!$B$5)))*((1)-('SEC-IRBA'!$B$5)))-EXP((-1/(('Capital released'!$B$16)*('SEC-IRBA'!$B$5)))*MAX((I15)-('SEC-IRBA'!$B$5),0)))/((-1/(('Capital released'!$B$16)*('SEC-IRBA'!$B$5)))*(((1)-('SEC-IRBA'!$B$5))-MAX((I15)-('SEC-IRBA'!$B$5),0))),(('SEC-IRBA'!$B$5)-(I15))/((1)-(I15))+(1-(('SEC-IRBA'!$B$5)-(I15))/((1)-(I15)))*(EXP((-1/(('Capital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released'!$B$11=1,0.1,0.15),12.5*IF((1)&lt;=('SEC-IRBA'!$B$5),1,IF((I15)&gt;=('SEC-IRBA'!$B$5),(EXP((-1/(('Capital released'!$B$16)*('SEC-IRBA'!$B$5)))*((1)-('SEC-IRBA'!$B$5)))-EXP((-1/(('Capital released'!$B$16)*('SEC-IRBA'!$B$5)))*MAX((I15)-('SEC-IRBA'!$B$5),0)))/((-1/(('Capital released'!$B$16)*('SEC-IRBA'!$B$5)))*(((1)-('SEC-IRBA'!$B$5))-MAX((I15)-('SEC-IRBA'!$B$5),0))),(('SEC-IRBA'!$B$5)-(I15))/((1)-(I15))+(1-(('SEC-IRBA'!$B$5)-(I15))/((1)-(I15)))*(EXP((-1/(('Capital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released'!$B$16)*('SEC-IRBA'!$B$5)))*(((1)-('SEC-IRBA'!$B$5))-MAX(('SEC-IRBA'!$B$5)-('SEC-IRBA'!$B$5),0))))))))*(1-I15)*'SEC-IRBA'!$B$13*'Capital released'!$B$9+I15*'SEC-IRBA'!$B$13*'Capital released'!$B$6)</f>
        <v>305958.53088969</v>
      </c>
    </row>
    <row r="16" customFormat="false" ht="15" hidden="false" customHeight="false" outlineLevel="0" collapsed="false">
      <c r="A16" s="4" t="n">
        <v>12</v>
      </c>
      <c r="B16" s="21" t="n">
        <f aca="false">IF(E15&gt;IF('Capital released'!$B$11=1,0.1,0.15),D15,B15)</f>
        <v>0.0973316415373003</v>
      </c>
      <c r="C16" s="21" t="n">
        <f aca="false">IF(E15&gt;IF('Capital released'!$B$11=1,0.1,0.15),C15,D15)</f>
        <v>0.0975440193634937</v>
      </c>
      <c r="D16" s="21" t="n">
        <f aca="false">(B16+C16)/2</f>
        <v>0.097437830450397</v>
      </c>
      <c r="E16" s="12" t="n">
        <f aca="false">12.5*IF((1)&lt;=('SEC-IRBA'!$B$5),1,IF((D16)&gt;=('SEC-IRBA'!$B$5),(EXP((-1/(('Capital released'!$B$16)*('SEC-IRBA'!$B$5)))*((1)-('SEC-IRBA'!$B$5)))-EXP((-1/(('Capital released'!$B$16)*('SEC-IRBA'!$B$5)))*MAX((D16)-('SEC-IRBA'!$B$5),0)))/((-1/(('Capital released'!$B$16)*('SEC-IRBA'!$B$5)))*(((1)-('SEC-IRBA'!$B$5))-MAX((D16)-('SEC-IRBA'!$B$5),0))),(('SEC-IRBA'!$B$5)-(D16))/((1)-(D16))+(1-(('SEC-IRBA'!$B$5)-(D16))/((1)-(D16)))*(EXP((-1/(('Capital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0.149666720742314</v>
      </c>
      <c r="G16" s="21" t="n">
        <f aca="false">IF(J15&lt;0,I15,G15)</f>
        <v>0.0354142675620316</v>
      </c>
      <c r="H16" s="21" t="n">
        <f aca="false">IF(J15&lt;0,H15,I15)</f>
        <v>0.0354680030170882</v>
      </c>
      <c r="I16" s="21" t="n">
        <f aca="false">(G16+H16)/2</f>
        <v>0.0354411352895599</v>
      </c>
      <c r="J16" s="13" t="n">
        <f aca="false">'Capital released'!$B$30-(IF('Capital released'!$B$12=1,MIN(MAX(IF('Capital released'!$B$11=1,0.1,0.15),12.5*IF((1)&lt;=('SEC-IRBA'!$B$5),1,IF((I16)&gt;=('SEC-IRBA'!$B$5),(EXP((-1/(('Capital released'!$B$16)*('SEC-IRBA'!$B$5)))*((1)-('SEC-IRBA'!$B$5)))-EXP((-1/(('Capital released'!$B$16)*('SEC-IRBA'!$B$5)))*MAX((I16)-('SEC-IRBA'!$B$5),0)))/((-1/(('Capital released'!$B$16)*('SEC-IRBA'!$B$5)))*(((1)-('SEC-IRBA'!$B$5))-MAX((I16)-('SEC-IRBA'!$B$5),0))),(('SEC-IRBA'!$B$5)-(I16))/((1)-(I16))+(1-(('SEC-IRBA'!$B$5)-(I16))/((1)-(I16)))*(EXP((-1/(('Capital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released'!$B$11=1,0.1,0.15),12.5*IF((1)&lt;=('SEC-IRBA'!$B$5),1,IF((I16)&gt;=('SEC-IRBA'!$B$5),(EXP((-1/(('Capital released'!$B$16)*('SEC-IRBA'!$B$5)))*((1)-('SEC-IRBA'!$B$5)))-EXP((-1/(('Capital released'!$B$16)*('SEC-IRBA'!$B$5)))*MAX((I16)-('SEC-IRBA'!$B$5),0)))/((-1/(('Capital released'!$B$16)*('SEC-IRBA'!$B$5)))*(((1)-('SEC-IRBA'!$B$5))-MAX((I16)-('SEC-IRBA'!$B$5),0))),(('SEC-IRBA'!$B$5)-(I16))/((1)-(I16))+(1-(('SEC-IRBA'!$B$5)-(I16))/((1)-(I16)))*(EXP((-1/(('Capital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released'!$B$11=1,0.1,0.15),12.5*IF((1)&lt;=('SEC-IRBA'!$B$5),1,IF((I16)&gt;=('SEC-IRBA'!$B$5),(EXP((-1/(('Capital released'!$B$16)*('SEC-IRBA'!$B$5)))*((1)-('SEC-IRBA'!$B$5)))-EXP((-1/(('Capital released'!$B$16)*('SEC-IRBA'!$B$5)))*MAX((I16)-('SEC-IRBA'!$B$5),0)))/((-1/(('Capital released'!$B$16)*('SEC-IRBA'!$B$5)))*(((1)-('SEC-IRBA'!$B$5))-MAX((I16)-('SEC-IRBA'!$B$5),0))),(('SEC-IRBA'!$B$5)-(I16))/((1)-(I16))+(1-(('SEC-IRBA'!$B$5)-(I16))/((1)-(I16)))*(EXP((-1/(('Capital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released'!$B$16)*('SEC-IRBA'!$B$5)))*(((1)-('SEC-IRBA'!$B$5))-MAX(('SEC-IRBA'!$B$5)-('SEC-IRBA'!$B$5),0))))))))*(1-I16)*'SEC-IRBA'!$B$13*'Capital released'!$B$9+I16*'SEC-IRBA'!$B$13*'Capital released'!$B$6)</f>
        <v>129974.915579319</v>
      </c>
    </row>
    <row r="17" customFormat="false" ht="15" hidden="false" customHeight="false" outlineLevel="0" collapsed="false">
      <c r="A17" s="4" t="n">
        <v>13</v>
      </c>
      <c r="B17" s="21" t="n">
        <f aca="false">IF(E16&gt;IF('Capital released'!$B$11=1,0.1,0.15),D16,B16)</f>
        <v>0.0973316415373003</v>
      </c>
      <c r="C17" s="21" t="n">
        <f aca="false">IF(E16&gt;IF('Capital released'!$B$11=1,0.1,0.15),C16,D16)</f>
        <v>0.097437830450397</v>
      </c>
      <c r="D17" s="21" t="n">
        <f aca="false">(B17+C17)/2</f>
        <v>0.0973847359938486</v>
      </c>
      <c r="E17" s="12" t="n">
        <f aca="false">12.5*IF((1)&lt;=('SEC-IRBA'!$B$5),1,IF((D17)&gt;=('SEC-IRBA'!$B$5),(EXP((-1/(('Capital released'!$B$16)*('SEC-IRBA'!$B$5)))*((1)-('SEC-IRBA'!$B$5)))-EXP((-1/(('Capital released'!$B$16)*('SEC-IRBA'!$B$5)))*MAX((D17)-('SEC-IRBA'!$B$5),0)))/((-1/(('Capital released'!$B$16)*('SEC-IRBA'!$B$5)))*(((1)-('SEC-IRBA'!$B$5))-MAX((D17)-('SEC-IRBA'!$B$5),0))),(('SEC-IRBA'!$B$5)-(D17))/((1)-(D17))+(1-(('SEC-IRBA'!$B$5)-(D17))/((1)-(D17)))*(EXP((-1/(('Capital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0.14991559830274</v>
      </c>
      <c r="G17" s="21" t="n">
        <f aca="false">IF(J16&lt;0,I16,G16)</f>
        <v>0.0354142675620316</v>
      </c>
      <c r="H17" s="21" t="n">
        <f aca="false">IF(J16&lt;0,H16,I16)</f>
        <v>0.0354411352895599</v>
      </c>
      <c r="I17" s="21" t="n">
        <f aca="false">(G17+H17)/2</f>
        <v>0.0354277014257958</v>
      </c>
      <c r="J17" s="13" t="n">
        <f aca="false">'Capital released'!$B$30-(IF('Capital released'!$B$12=1,MIN(MAX(IF('Capital released'!$B$11=1,0.1,0.15),12.5*IF((1)&lt;=('SEC-IRBA'!$B$5),1,IF((I17)&gt;=('SEC-IRBA'!$B$5),(EXP((-1/(('Capital released'!$B$16)*('SEC-IRBA'!$B$5)))*((1)-('SEC-IRBA'!$B$5)))-EXP((-1/(('Capital released'!$B$16)*('SEC-IRBA'!$B$5)))*MAX((I17)-('SEC-IRBA'!$B$5),0)))/((-1/(('Capital released'!$B$16)*('SEC-IRBA'!$B$5)))*(((1)-('SEC-IRBA'!$B$5))-MAX((I17)-('SEC-IRBA'!$B$5),0))),(('SEC-IRBA'!$B$5)-(I17))/((1)-(I17))+(1-(('SEC-IRBA'!$B$5)-(I17))/((1)-(I17)))*(EXP((-1/(('Capital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released'!$B$11=1,0.1,0.15),12.5*IF((1)&lt;=('SEC-IRBA'!$B$5),1,IF((I17)&gt;=('SEC-IRBA'!$B$5),(EXP((-1/(('Capital released'!$B$16)*('SEC-IRBA'!$B$5)))*((1)-('SEC-IRBA'!$B$5)))-EXP((-1/(('Capital released'!$B$16)*('SEC-IRBA'!$B$5)))*MAX((I17)-('SEC-IRBA'!$B$5),0)))/((-1/(('Capital released'!$B$16)*('SEC-IRBA'!$B$5)))*(((1)-('SEC-IRBA'!$B$5))-MAX((I17)-('SEC-IRBA'!$B$5),0))),(('SEC-IRBA'!$B$5)-(I17))/((1)-(I17))+(1-(('SEC-IRBA'!$B$5)-(I17))/((1)-(I17)))*(EXP((-1/(('Capital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released'!$B$11=1,0.1,0.15),12.5*IF((1)&lt;=('SEC-IRBA'!$B$5),1,IF((I17)&gt;=('SEC-IRBA'!$B$5),(EXP((-1/(('Capital released'!$B$16)*('SEC-IRBA'!$B$5)))*((1)-('SEC-IRBA'!$B$5)))-EXP((-1/(('Capital released'!$B$16)*('SEC-IRBA'!$B$5)))*MAX((I17)-('SEC-IRBA'!$B$5),0)))/((-1/(('Capital released'!$B$16)*('SEC-IRBA'!$B$5)))*(((1)-('SEC-IRBA'!$B$5))-MAX((I17)-('SEC-IRBA'!$B$5),0))),(('SEC-IRBA'!$B$5)-(I17))/((1)-(I17))+(1-(('SEC-IRBA'!$B$5)-(I17))/((1)-(I17)))*(EXP((-1/(('Capital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released'!$B$16)*('SEC-IRBA'!$B$5)))*(((1)-('SEC-IRBA'!$B$5))-MAX(('SEC-IRBA'!$B$5)-('SEC-IRBA'!$B$5),0))))))))*(1-I17)*'SEC-IRBA'!$B$13*'Capital released'!$B$9+I17*'SEC-IRBA'!$B$13*'Capital released'!$B$6)</f>
        <v>41983.1079241037</v>
      </c>
    </row>
    <row r="18" customFormat="false" ht="15" hidden="false" customHeight="false" outlineLevel="0" collapsed="false">
      <c r="A18" s="4" t="n">
        <v>14</v>
      </c>
      <c r="B18" s="21" t="n">
        <f aca="false">IF(E17&gt;IF('Capital released'!$B$11=1,0.1,0.15),D17,B17)</f>
        <v>0.0973316415373003</v>
      </c>
      <c r="C18" s="21" t="n">
        <f aca="false">IF(E17&gt;IF('Capital released'!$B$11=1,0.1,0.15),C17,D17)</f>
        <v>0.0973847359938486</v>
      </c>
      <c r="D18" s="21" t="n">
        <f aca="false">(B18+C18)/2</f>
        <v>0.0973581887655745</v>
      </c>
      <c r="E18" s="12" t="n">
        <f aca="false">12.5*IF((1)&lt;=('SEC-IRBA'!$B$5),1,IF((D18)&gt;=('SEC-IRBA'!$B$5),(EXP((-1/(('Capital released'!$B$16)*('SEC-IRBA'!$B$5)))*((1)-('SEC-IRBA'!$B$5)))-EXP((-1/(('Capital released'!$B$16)*('SEC-IRBA'!$B$5)))*MAX((D18)-('SEC-IRBA'!$B$5),0)))/((-1/(('Capital released'!$B$16)*('SEC-IRBA'!$B$5)))*(((1)-('SEC-IRBA'!$B$5))-MAX((D18)-('SEC-IRBA'!$B$5),0))),(('SEC-IRBA'!$B$5)-(D18))/((1)-(D18))+(1-(('SEC-IRBA'!$B$5)-(D18))/((1)-(D18)))*(EXP((-1/(('Capital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0.150040192429579</v>
      </c>
      <c r="G18" s="21" t="n">
        <f aca="false">IF(J17&lt;0,I17,G17)</f>
        <v>0.0354142675620316</v>
      </c>
      <c r="H18" s="21" t="n">
        <f aca="false">IF(J17&lt;0,H17,I17)</f>
        <v>0.0354277014257958</v>
      </c>
      <c r="I18" s="21" t="n">
        <f aca="false">(G18+H18)/2</f>
        <v>0.0354209844939137</v>
      </c>
      <c r="J18" s="13" t="n">
        <f aca="false">'Capital released'!$B$30-(IF('Capital released'!$B$12=1,MIN(MAX(IF('Capital released'!$B$11=1,0.1,0.15),12.5*IF((1)&lt;=('SEC-IRBA'!$B$5),1,IF((I18)&gt;=('SEC-IRBA'!$B$5),(EXP((-1/(('Capital released'!$B$16)*('SEC-IRBA'!$B$5)))*((1)-('SEC-IRBA'!$B$5)))-EXP((-1/(('Capital released'!$B$16)*('SEC-IRBA'!$B$5)))*MAX((I18)-('SEC-IRBA'!$B$5),0)))/((-1/(('Capital released'!$B$16)*('SEC-IRBA'!$B$5)))*(((1)-('SEC-IRBA'!$B$5))-MAX((I18)-('SEC-IRBA'!$B$5),0))),(('SEC-IRBA'!$B$5)-(I18))/((1)-(I18))+(1-(('SEC-IRBA'!$B$5)-(I18))/((1)-(I18)))*(EXP((-1/(('Capital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released'!$B$11=1,0.1,0.15),12.5*IF((1)&lt;=('SEC-IRBA'!$B$5),1,IF((I18)&gt;=('SEC-IRBA'!$B$5),(EXP((-1/(('Capital released'!$B$16)*('SEC-IRBA'!$B$5)))*((1)-('SEC-IRBA'!$B$5)))-EXP((-1/(('Capital released'!$B$16)*('SEC-IRBA'!$B$5)))*MAX((I18)-('SEC-IRBA'!$B$5),0)))/((-1/(('Capital released'!$B$16)*('SEC-IRBA'!$B$5)))*(((1)-('SEC-IRBA'!$B$5))-MAX((I18)-('SEC-IRBA'!$B$5),0))),(('SEC-IRBA'!$B$5)-(I18))/((1)-(I18))+(1-(('SEC-IRBA'!$B$5)-(I18))/((1)-(I18)))*(EXP((-1/(('Capital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released'!$B$11=1,0.1,0.15),12.5*IF((1)&lt;=('SEC-IRBA'!$B$5),1,IF((I18)&gt;=('SEC-IRBA'!$B$5),(EXP((-1/(('Capital released'!$B$16)*('SEC-IRBA'!$B$5)))*((1)-('SEC-IRBA'!$B$5)))-EXP((-1/(('Capital released'!$B$16)*('SEC-IRBA'!$B$5)))*MAX((I18)-('SEC-IRBA'!$B$5),0)))/((-1/(('Capital released'!$B$16)*('SEC-IRBA'!$B$5)))*(((1)-('SEC-IRBA'!$B$5))-MAX((I18)-('SEC-IRBA'!$B$5),0))),(('SEC-IRBA'!$B$5)-(I18))/((1)-(I18))+(1-(('SEC-IRBA'!$B$5)-(I18))/((1)-(I18)))*(EXP((-1/(('Capital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released'!$B$16)*('SEC-IRBA'!$B$5)))*(((1)-('SEC-IRBA'!$B$5))-MAX(('SEC-IRBA'!$B$5)-('SEC-IRBA'!$B$5),0))))))))*(1-I18)*'SEC-IRBA'!$B$13*'Capital released'!$B$9+I18*'SEC-IRBA'!$B$13*'Capital released'!$B$6)</f>
        <v>-2012.79590338469</v>
      </c>
    </row>
    <row r="19" customFormat="false" ht="15" hidden="false" customHeight="false" outlineLevel="0" collapsed="false">
      <c r="A19" s="4" t="n">
        <v>15</v>
      </c>
      <c r="B19" s="21" t="n">
        <f aca="false">IF(E18&gt;IF('Capital released'!$B$11=1,0.1,0.15),D18,B18)</f>
        <v>0.0973581887655745</v>
      </c>
      <c r="C19" s="21" t="n">
        <f aca="false">IF(E18&gt;IF('Capital released'!$B$11=1,0.1,0.15),C18,D18)</f>
        <v>0.0973847359938486</v>
      </c>
      <c r="D19" s="21" t="n">
        <f aca="false">(B19+C19)/2</f>
        <v>0.0973714623797116</v>
      </c>
      <c r="E19" s="12" t="n">
        <f aca="false">12.5*IF((1)&lt;=('SEC-IRBA'!$B$5),1,IF((D19)&gt;=('SEC-IRBA'!$B$5),(EXP((-1/(('Capital released'!$B$16)*('SEC-IRBA'!$B$5)))*((1)-('SEC-IRBA'!$B$5)))-EXP((-1/(('Capital released'!$B$16)*('SEC-IRBA'!$B$5)))*MAX((D19)-('SEC-IRBA'!$B$5),0)))/((-1/(('Capital released'!$B$16)*('SEC-IRBA'!$B$5)))*(((1)-('SEC-IRBA'!$B$5))-MAX((D19)-('SEC-IRBA'!$B$5),0))),(('SEC-IRBA'!$B$5)-(D19))/((1)-(D19))+(1-(('SEC-IRBA'!$B$5)-(D19))/((1)-(D19)))*(EXP((-1/(('Capital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0.149977882411622</v>
      </c>
      <c r="G19" s="21" t="n">
        <f aca="false">IF(J18&lt;0,I18,G18)</f>
        <v>0.0354209844939137</v>
      </c>
      <c r="H19" s="21" t="n">
        <f aca="false">IF(J18&lt;0,H18,I18)</f>
        <v>0.0354277014257958</v>
      </c>
      <c r="I19" s="21" t="n">
        <f aca="false">(G19+H19)/2</f>
        <v>0.0354243429598548</v>
      </c>
      <c r="J19" s="13" t="n">
        <f aca="false">'Capital released'!$B$30-(IF('Capital released'!$B$12=1,MIN(MAX(IF('Capital released'!$B$11=1,0.1,0.15),12.5*IF((1)&lt;=('SEC-IRBA'!$B$5),1,IF((I19)&gt;=('SEC-IRBA'!$B$5),(EXP((-1/(('Capital released'!$B$16)*('SEC-IRBA'!$B$5)))*((1)-('SEC-IRBA'!$B$5)))-EXP((-1/(('Capital released'!$B$16)*('SEC-IRBA'!$B$5)))*MAX((I19)-('SEC-IRBA'!$B$5),0)))/((-1/(('Capital released'!$B$16)*('SEC-IRBA'!$B$5)))*(((1)-('SEC-IRBA'!$B$5))-MAX((I19)-('SEC-IRBA'!$B$5),0))),(('SEC-IRBA'!$B$5)-(I19))/((1)-(I19))+(1-(('SEC-IRBA'!$B$5)-(I19))/((1)-(I19)))*(EXP((-1/(('Capital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released'!$B$11=1,0.1,0.15),12.5*IF((1)&lt;=('SEC-IRBA'!$B$5),1,IF((I19)&gt;=('SEC-IRBA'!$B$5),(EXP((-1/(('Capital released'!$B$16)*('SEC-IRBA'!$B$5)))*((1)-('SEC-IRBA'!$B$5)))-EXP((-1/(('Capital released'!$B$16)*('SEC-IRBA'!$B$5)))*MAX((I19)-('SEC-IRBA'!$B$5),0)))/((-1/(('Capital released'!$B$16)*('SEC-IRBA'!$B$5)))*(((1)-('SEC-IRBA'!$B$5))-MAX((I19)-('SEC-IRBA'!$B$5),0))),(('SEC-IRBA'!$B$5)-(I19))/((1)-(I19))+(1-(('SEC-IRBA'!$B$5)-(I19))/((1)-(I19)))*(EXP((-1/(('Capital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released'!$B$11=1,0.1,0.15),12.5*IF((1)&lt;=('SEC-IRBA'!$B$5),1,IF((I19)&gt;=('SEC-IRBA'!$B$5),(EXP((-1/(('Capital released'!$B$16)*('SEC-IRBA'!$B$5)))*((1)-('SEC-IRBA'!$B$5)))-EXP((-1/(('Capital released'!$B$16)*('SEC-IRBA'!$B$5)))*MAX((I19)-('SEC-IRBA'!$B$5),0)))/((-1/(('Capital released'!$B$16)*('SEC-IRBA'!$B$5)))*(((1)-('SEC-IRBA'!$B$5))-MAX((I19)-('SEC-IRBA'!$B$5),0))),(('SEC-IRBA'!$B$5)-(I19))/((1)-(I19))+(1-(('SEC-IRBA'!$B$5)-(I19))/((1)-(I19)))*(EXP((-1/(('Capital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released'!$B$16)*('SEC-IRBA'!$B$5)))*(((1)-('SEC-IRBA'!$B$5))-MAX(('SEC-IRBA'!$B$5)-('SEC-IRBA'!$B$5),0))))))))*(1-I19)*'SEC-IRBA'!$B$13*'Capital released'!$B$9+I19*'SEC-IRBA'!$B$13*'Capital released'!$B$6)</f>
        <v>19985.1560102701</v>
      </c>
    </row>
    <row r="20" customFormat="false" ht="15" hidden="false" customHeight="false" outlineLevel="0" collapsed="false">
      <c r="A20" s="4" t="n">
        <v>16</v>
      </c>
      <c r="B20" s="21" t="n">
        <f aca="false">IF(E19&gt;IF('Capital released'!$B$11=1,0.1,0.15),D19,B19)</f>
        <v>0.0973581887655745</v>
      </c>
      <c r="C20" s="21" t="n">
        <f aca="false">IF(E19&gt;IF('Capital released'!$B$11=1,0.1,0.15),C19,D19)</f>
        <v>0.0973714623797116</v>
      </c>
      <c r="D20" s="21" t="n">
        <f aca="false">(B20+C20)/2</f>
        <v>0.097364825572643</v>
      </c>
      <c r="E20" s="12" t="n">
        <f aca="false">12.5*IF((1)&lt;=('SEC-IRBA'!$B$5),1,IF((D20)&gt;=('SEC-IRBA'!$B$5),(EXP((-1/(('Capital released'!$B$16)*('SEC-IRBA'!$B$5)))*((1)-('SEC-IRBA'!$B$5)))-EXP((-1/(('Capital released'!$B$16)*('SEC-IRBA'!$B$5)))*MAX((D20)-('SEC-IRBA'!$B$5),0)))/((-1/(('Capital released'!$B$16)*('SEC-IRBA'!$B$5)))*(((1)-('SEC-IRBA'!$B$5))-MAX((D20)-('SEC-IRBA'!$B$5),0))),(('SEC-IRBA'!$B$5)-(D20))/((1)-(D20))+(1-(('SEC-IRBA'!$B$5)-(D20))/((1)-(D20)))*(EXP((-1/(('Capital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0.150009034181292</v>
      </c>
      <c r="G20" s="21" t="n">
        <f aca="false">IF(J19&lt;0,I19,G19)</f>
        <v>0.0354209844939137</v>
      </c>
      <c r="H20" s="21" t="n">
        <f aca="false">IF(J19&lt;0,H19,I19)</f>
        <v>0.0354243429598548</v>
      </c>
      <c r="I20" s="21" t="n">
        <f aca="false">(G20+H20)/2</f>
        <v>0.0354226637268842</v>
      </c>
      <c r="J20" s="13" t="n">
        <f aca="false">'Capital released'!$B$30-(IF('Capital released'!$B$12=1,MIN(MAX(IF('Capital released'!$B$11=1,0.1,0.15),12.5*IF((1)&lt;=('SEC-IRBA'!$B$5),1,IF((I20)&gt;=('SEC-IRBA'!$B$5),(EXP((-1/(('Capital released'!$B$16)*('SEC-IRBA'!$B$5)))*((1)-('SEC-IRBA'!$B$5)))-EXP((-1/(('Capital released'!$B$16)*('SEC-IRBA'!$B$5)))*MAX((I20)-('SEC-IRBA'!$B$5),0)))/((-1/(('Capital released'!$B$16)*('SEC-IRBA'!$B$5)))*(((1)-('SEC-IRBA'!$B$5))-MAX((I20)-('SEC-IRBA'!$B$5),0))),(('SEC-IRBA'!$B$5)-(I20))/((1)-(I20))+(1-(('SEC-IRBA'!$B$5)-(I20))/((1)-(I20)))*(EXP((-1/(('Capital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released'!$B$11=1,0.1,0.15),12.5*IF((1)&lt;=('SEC-IRBA'!$B$5),1,IF((I20)&gt;=('SEC-IRBA'!$B$5),(EXP((-1/(('Capital released'!$B$16)*('SEC-IRBA'!$B$5)))*((1)-('SEC-IRBA'!$B$5)))-EXP((-1/(('Capital released'!$B$16)*('SEC-IRBA'!$B$5)))*MAX((I20)-('SEC-IRBA'!$B$5),0)))/((-1/(('Capital released'!$B$16)*('SEC-IRBA'!$B$5)))*(((1)-('SEC-IRBA'!$B$5))-MAX((I20)-('SEC-IRBA'!$B$5),0))),(('SEC-IRBA'!$B$5)-(I20))/((1)-(I20))+(1-(('SEC-IRBA'!$B$5)-(I20))/((1)-(I20)))*(EXP((-1/(('Capital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released'!$B$11=1,0.1,0.15),12.5*IF((1)&lt;=('SEC-IRBA'!$B$5),1,IF((I20)&gt;=('SEC-IRBA'!$B$5),(EXP((-1/(('Capital released'!$B$16)*('SEC-IRBA'!$B$5)))*((1)-('SEC-IRBA'!$B$5)))-EXP((-1/(('Capital released'!$B$16)*('SEC-IRBA'!$B$5)))*MAX((I20)-('SEC-IRBA'!$B$5),0)))/((-1/(('Capital released'!$B$16)*('SEC-IRBA'!$B$5)))*(((1)-('SEC-IRBA'!$B$5))-MAX((I20)-('SEC-IRBA'!$B$5),0))),(('SEC-IRBA'!$B$5)-(I20))/((1)-(I20))+(1-(('SEC-IRBA'!$B$5)-(I20))/((1)-(I20)))*(EXP((-1/(('Capital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released'!$B$16)*('SEC-IRBA'!$B$5)))*(((1)-('SEC-IRBA'!$B$5))-MAX(('SEC-IRBA'!$B$5)-('SEC-IRBA'!$B$5),0))))))))*(1-I20)*'SEC-IRBA'!$B$13*'Capital released'!$B$9+I20*'SEC-IRBA'!$B$13*'Capital released'!$B$6)</f>
        <v>8986.18005347252</v>
      </c>
    </row>
    <row r="21" customFormat="false" ht="15" hidden="false" customHeight="false" outlineLevel="0" collapsed="false">
      <c r="A21" s="4" t="n">
        <v>17</v>
      </c>
      <c r="B21" s="21" t="n">
        <f aca="false">IF(E20&gt;IF('Capital released'!$B$11=1,0.1,0.15),D20,B20)</f>
        <v>0.097364825572643</v>
      </c>
      <c r="C21" s="21" t="n">
        <f aca="false">IF(E20&gt;IF('Capital released'!$B$11=1,0.1,0.15),C20,D20)</f>
        <v>0.0973714623797116</v>
      </c>
      <c r="D21" s="21" t="n">
        <f aca="false">(B21+C21)/2</f>
        <v>0.0973681439761773</v>
      </c>
      <c r="E21" s="12" t="n">
        <f aca="false">12.5*IF((1)&lt;=('SEC-IRBA'!$B$5),1,IF((D21)&gt;=('SEC-IRBA'!$B$5),(EXP((-1/(('Capital released'!$B$16)*('SEC-IRBA'!$B$5)))*((1)-('SEC-IRBA'!$B$5)))-EXP((-1/(('Capital released'!$B$16)*('SEC-IRBA'!$B$5)))*MAX((D21)-('SEC-IRBA'!$B$5),0)))/((-1/(('Capital released'!$B$16)*('SEC-IRBA'!$B$5)))*(((1)-('SEC-IRBA'!$B$5))-MAX((D21)-('SEC-IRBA'!$B$5),0))),(('SEC-IRBA'!$B$5)-(D21))/((1)-(D21))+(1-(('SEC-IRBA'!$B$5)-(D21))/((1)-(D21)))*(EXP((-1/(('Capital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0.149993457486714</v>
      </c>
      <c r="G21" s="21" t="n">
        <f aca="false">IF(J20&lt;0,I20,G20)</f>
        <v>0.0354209844939137</v>
      </c>
      <c r="H21" s="21" t="n">
        <f aca="false">IF(J20&lt;0,H20,I20)</f>
        <v>0.0354226637268842</v>
      </c>
      <c r="I21" s="21" t="n">
        <f aca="false">(G21+H21)/2</f>
        <v>0.035421824110399</v>
      </c>
      <c r="J21" s="13" t="n">
        <f aca="false">'Capital released'!$B$30-(IF('Capital released'!$B$12=1,MIN(MAX(IF('Capital released'!$B$11=1,0.1,0.15),12.5*IF((1)&lt;=('SEC-IRBA'!$B$5),1,IF((I21)&gt;=('SEC-IRBA'!$B$5),(EXP((-1/(('Capital released'!$B$16)*('SEC-IRBA'!$B$5)))*((1)-('SEC-IRBA'!$B$5)))-EXP((-1/(('Capital released'!$B$16)*('SEC-IRBA'!$B$5)))*MAX((I21)-('SEC-IRBA'!$B$5),0)))/((-1/(('Capital released'!$B$16)*('SEC-IRBA'!$B$5)))*(((1)-('SEC-IRBA'!$B$5))-MAX((I21)-('SEC-IRBA'!$B$5),0))),(('SEC-IRBA'!$B$5)-(I21))/((1)-(I21))+(1-(('SEC-IRBA'!$B$5)-(I21))/((1)-(I21)))*(EXP((-1/(('Capital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released'!$B$11=1,0.1,0.15),12.5*IF((1)&lt;=('SEC-IRBA'!$B$5),1,IF((I21)&gt;=('SEC-IRBA'!$B$5),(EXP((-1/(('Capital released'!$B$16)*('SEC-IRBA'!$B$5)))*((1)-('SEC-IRBA'!$B$5)))-EXP((-1/(('Capital released'!$B$16)*('SEC-IRBA'!$B$5)))*MAX((I21)-('SEC-IRBA'!$B$5),0)))/((-1/(('Capital released'!$B$16)*('SEC-IRBA'!$B$5)))*(((1)-('SEC-IRBA'!$B$5))-MAX((I21)-('SEC-IRBA'!$B$5),0))),(('SEC-IRBA'!$B$5)-(I21))/((1)-(I21))+(1-(('SEC-IRBA'!$B$5)-(I21))/((1)-(I21)))*(EXP((-1/(('Capital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released'!$B$11=1,0.1,0.15),12.5*IF((1)&lt;=('SEC-IRBA'!$B$5),1,IF((I21)&gt;=('SEC-IRBA'!$B$5),(EXP((-1/(('Capital released'!$B$16)*('SEC-IRBA'!$B$5)))*((1)-('SEC-IRBA'!$B$5)))-EXP((-1/(('Capital released'!$B$16)*('SEC-IRBA'!$B$5)))*MAX((I21)-('SEC-IRBA'!$B$5),0)))/((-1/(('Capital released'!$B$16)*('SEC-IRBA'!$B$5)))*(((1)-('SEC-IRBA'!$B$5))-MAX((I21)-('SEC-IRBA'!$B$5),0))),(('SEC-IRBA'!$B$5)-(I21))/((1)-(I21))+(1-(('SEC-IRBA'!$B$5)-(I21))/((1)-(I21)))*(EXP((-1/(('Capital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released'!$B$16)*('SEC-IRBA'!$B$5)))*(((1)-('SEC-IRBA'!$B$5))-MAX(('SEC-IRBA'!$B$5)-('SEC-IRBA'!$B$5),0))))))))*(1-I21)*'SEC-IRBA'!$B$13*'Capital released'!$B$9+I21*'SEC-IRBA'!$B$13*'Capital released'!$B$6)</f>
        <v>3486.69207501411</v>
      </c>
    </row>
    <row r="22" customFormat="false" ht="15" hidden="false" customHeight="false" outlineLevel="0" collapsed="false">
      <c r="A22" s="4" t="n">
        <v>18</v>
      </c>
      <c r="B22" s="21" t="n">
        <f aca="false">IF(E21&gt;IF('Capital released'!$B$11=1,0.1,0.15),D21,B21)</f>
        <v>0.097364825572643</v>
      </c>
      <c r="C22" s="21" t="n">
        <f aca="false">IF(E21&gt;IF('Capital released'!$B$11=1,0.1,0.15),C21,D21)</f>
        <v>0.0973681439761773</v>
      </c>
      <c r="D22" s="21" t="n">
        <f aca="false">(B22+C22)/2</f>
        <v>0.0973664847744102</v>
      </c>
      <c r="E22" s="12" t="n">
        <f aca="false">12.5*IF((1)&lt;=('SEC-IRBA'!$B$5),1,IF((D22)&gt;=('SEC-IRBA'!$B$5),(EXP((-1/(('Capital released'!$B$16)*('SEC-IRBA'!$B$5)))*((1)-('SEC-IRBA'!$B$5)))-EXP((-1/(('Capital released'!$B$16)*('SEC-IRBA'!$B$5)))*MAX((D22)-('SEC-IRBA'!$B$5),0)))/((-1/(('Capital released'!$B$16)*('SEC-IRBA'!$B$5)))*(((1)-('SEC-IRBA'!$B$5))-MAX((D22)-('SEC-IRBA'!$B$5),0))),(('SEC-IRBA'!$B$5)-(D22))/((1)-(D22))+(1-(('SEC-IRBA'!$B$5)-(D22))/((1)-(D22)))*(EXP((-1/(('Capital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0.150001245631557</v>
      </c>
      <c r="G22" s="21" t="n">
        <f aca="false">IF(J21&lt;0,I21,G21)</f>
        <v>0.0354209844939137</v>
      </c>
      <c r="H22" s="21" t="n">
        <f aca="false">IF(J21&lt;0,H21,I21)</f>
        <v>0.035421824110399</v>
      </c>
      <c r="I22" s="21" t="n">
        <f aca="false">(G22+H22)/2</f>
        <v>0.0354214043021563</v>
      </c>
      <c r="J22" s="13" t="n">
        <f aca="false">'Capital released'!$B$30-(IF('Capital released'!$B$12=1,MIN(MAX(IF('Capital released'!$B$11=1,0.1,0.15),12.5*IF((1)&lt;=('SEC-IRBA'!$B$5),1,IF((I22)&gt;=('SEC-IRBA'!$B$5),(EXP((-1/(('Capital released'!$B$16)*('SEC-IRBA'!$B$5)))*((1)-('SEC-IRBA'!$B$5)))-EXP((-1/(('Capital released'!$B$16)*('SEC-IRBA'!$B$5)))*MAX((I22)-('SEC-IRBA'!$B$5),0)))/((-1/(('Capital released'!$B$16)*('SEC-IRBA'!$B$5)))*(((1)-('SEC-IRBA'!$B$5))-MAX((I22)-('SEC-IRBA'!$B$5),0))),(('SEC-IRBA'!$B$5)-(I22))/((1)-(I22))+(1-(('SEC-IRBA'!$B$5)-(I22))/((1)-(I22)))*(EXP((-1/(('Capital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released'!$B$11=1,0.1,0.15),12.5*IF((1)&lt;=('SEC-IRBA'!$B$5),1,IF((I22)&gt;=('SEC-IRBA'!$B$5),(EXP((-1/(('Capital released'!$B$16)*('SEC-IRBA'!$B$5)))*((1)-('SEC-IRBA'!$B$5)))-EXP((-1/(('Capital released'!$B$16)*('SEC-IRBA'!$B$5)))*MAX((I22)-('SEC-IRBA'!$B$5),0)))/((-1/(('Capital released'!$B$16)*('SEC-IRBA'!$B$5)))*(((1)-('SEC-IRBA'!$B$5))-MAX((I22)-('SEC-IRBA'!$B$5),0))),(('SEC-IRBA'!$B$5)-(I22))/((1)-(I22))+(1-(('SEC-IRBA'!$B$5)-(I22))/((1)-(I22)))*(EXP((-1/(('Capital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released'!$B$11=1,0.1,0.15),12.5*IF((1)&lt;=('SEC-IRBA'!$B$5),1,IF((I22)&gt;=('SEC-IRBA'!$B$5),(EXP((-1/(('Capital released'!$B$16)*('SEC-IRBA'!$B$5)))*((1)-('SEC-IRBA'!$B$5)))-EXP((-1/(('Capital released'!$B$16)*('SEC-IRBA'!$B$5)))*MAX((I22)-('SEC-IRBA'!$B$5),0)))/((-1/(('Capital released'!$B$16)*('SEC-IRBA'!$B$5)))*(((1)-('SEC-IRBA'!$B$5))-MAX((I22)-('SEC-IRBA'!$B$5),0))),(('SEC-IRBA'!$B$5)-(I22))/((1)-(I22))+(1-(('SEC-IRBA'!$B$5)-(I22))/((1)-(I22)))*(EXP((-1/(('Capital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released'!$B$16)*('SEC-IRBA'!$B$5)))*(((1)-('SEC-IRBA'!$B$5))-MAX(('SEC-IRBA'!$B$5)-('SEC-IRBA'!$B$5),0))))))))*(1-I22)*'SEC-IRBA'!$B$13*'Capital released'!$B$9+I22*'SEC-IRBA'!$B$13*'Capital released'!$B$6)</f>
        <v>736.948085844517</v>
      </c>
    </row>
    <row r="23" customFormat="false" ht="15" hidden="false" customHeight="false" outlineLevel="0" collapsed="false">
      <c r="A23" s="4" t="n">
        <v>19</v>
      </c>
      <c r="B23" s="21" t="n">
        <f aca="false">IF(E22&gt;IF('Capital released'!$B$11=1,0.1,0.15),D22,B22)</f>
        <v>0.0973664847744102</v>
      </c>
      <c r="C23" s="21" t="n">
        <f aca="false">IF(E22&gt;IF('Capital released'!$B$11=1,0.1,0.15),C22,D22)</f>
        <v>0.0973681439761773</v>
      </c>
      <c r="D23" s="21" t="n">
        <f aca="false">(B23+C23)/2</f>
        <v>0.0973673143752937</v>
      </c>
      <c r="E23" s="12" t="n">
        <f aca="false">12.5*IF((1)&lt;=('SEC-IRBA'!$B$5),1,IF((D23)&gt;=('SEC-IRBA'!$B$5),(EXP((-1/(('Capital released'!$B$16)*('SEC-IRBA'!$B$5)))*((1)-('SEC-IRBA'!$B$5)))-EXP((-1/(('Capital released'!$B$16)*('SEC-IRBA'!$B$5)))*MAX((D23)-('SEC-IRBA'!$B$5),0)))/((-1/(('Capital released'!$B$16)*('SEC-IRBA'!$B$5)))*(((1)-('SEC-IRBA'!$B$5))-MAX((D23)-('SEC-IRBA'!$B$5),0))),(('SEC-IRBA'!$B$5)-(D23))/((1)-(D23))+(1-(('SEC-IRBA'!$B$5)-(D23))/((1)-(D23)))*(EXP((-1/(('Capital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0.149997351508525</v>
      </c>
      <c r="G23" s="21" t="n">
        <f aca="false">IF(J22&lt;0,I22,G22)</f>
        <v>0.0354209844939137</v>
      </c>
      <c r="H23" s="21" t="n">
        <f aca="false">IF(J22&lt;0,H22,I22)</f>
        <v>0.0354214043021563</v>
      </c>
      <c r="I23" s="21" t="n">
        <f aca="false">(G23+H23)/2</f>
        <v>0.035421194398035</v>
      </c>
      <c r="J23" s="13" t="n">
        <f aca="false">'Capital released'!$B$30-(IF('Capital released'!$B$12=1,MIN(MAX(IF('Capital released'!$B$11=1,0.1,0.15),12.5*IF((1)&lt;=('SEC-IRBA'!$B$5),1,IF((I23)&gt;=('SEC-IRBA'!$B$5),(EXP((-1/(('Capital released'!$B$16)*('SEC-IRBA'!$B$5)))*((1)-('SEC-IRBA'!$B$5)))-EXP((-1/(('Capital released'!$B$16)*('SEC-IRBA'!$B$5)))*MAX((I23)-('SEC-IRBA'!$B$5),0)))/((-1/(('Capital released'!$B$16)*('SEC-IRBA'!$B$5)))*(((1)-('SEC-IRBA'!$B$5))-MAX((I23)-('SEC-IRBA'!$B$5),0))),(('SEC-IRBA'!$B$5)-(I23))/((1)-(I23))+(1-(('SEC-IRBA'!$B$5)-(I23))/((1)-(I23)))*(EXP((-1/(('Capital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released'!$B$11=1,0.1,0.15),12.5*IF((1)&lt;=('SEC-IRBA'!$B$5),1,IF((I23)&gt;=('SEC-IRBA'!$B$5),(EXP((-1/(('Capital released'!$B$16)*('SEC-IRBA'!$B$5)))*((1)-('SEC-IRBA'!$B$5)))-EXP((-1/(('Capital released'!$B$16)*('SEC-IRBA'!$B$5)))*MAX((I23)-('SEC-IRBA'!$B$5),0)))/((-1/(('Capital released'!$B$16)*('SEC-IRBA'!$B$5)))*(((1)-('SEC-IRBA'!$B$5))-MAX((I23)-('SEC-IRBA'!$B$5),0))),(('SEC-IRBA'!$B$5)-(I23))/((1)-(I23))+(1-(('SEC-IRBA'!$B$5)-(I23))/((1)-(I23)))*(EXP((-1/(('Capital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released'!$B$11=1,0.1,0.15),12.5*IF((1)&lt;=('SEC-IRBA'!$B$5),1,IF((I23)&gt;=('SEC-IRBA'!$B$5),(EXP((-1/(('Capital released'!$B$16)*('SEC-IRBA'!$B$5)))*((1)-('SEC-IRBA'!$B$5)))-EXP((-1/(('Capital released'!$B$16)*('SEC-IRBA'!$B$5)))*MAX((I23)-('SEC-IRBA'!$B$5),0)))/((-1/(('Capital released'!$B$16)*('SEC-IRBA'!$B$5)))*(((1)-('SEC-IRBA'!$B$5))-MAX((I23)-('SEC-IRBA'!$B$5),0))),(('SEC-IRBA'!$B$5)-(I23))/((1)-(I23))+(1-(('SEC-IRBA'!$B$5)-(I23))/((1)-(I23)))*(EXP((-1/(('Capital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released'!$B$16)*('SEC-IRBA'!$B$5)))*(((1)-('SEC-IRBA'!$B$5))-MAX(('SEC-IRBA'!$B$5)-('SEC-IRBA'!$B$5),0))))))))*(1-I23)*'SEC-IRBA'!$B$13*'Capital released'!$B$9+I23*'SEC-IRBA'!$B$13*'Capital released'!$B$6)</f>
        <v>-637.923908889294</v>
      </c>
    </row>
    <row r="24" customFormat="false" ht="15" hidden="false" customHeight="false" outlineLevel="0" collapsed="false">
      <c r="A24" s="4" t="n">
        <v>20</v>
      </c>
      <c r="B24" s="21" t="n">
        <f aca="false">IF(E23&gt;IF('Capital released'!$B$11=1,0.1,0.15),D23,B23)</f>
        <v>0.0973664847744102</v>
      </c>
      <c r="C24" s="21" t="n">
        <f aca="false">IF(E23&gt;IF('Capital released'!$B$11=1,0.1,0.15),C23,D23)</f>
        <v>0.0973673143752937</v>
      </c>
      <c r="D24" s="21" t="n">
        <f aca="false">(B24+C24)/2</f>
        <v>0.0973668995748519</v>
      </c>
      <c r="E24" s="12" t="n">
        <f aca="false">12.5*IF((1)&lt;=('SEC-IRBA'!$B$5),1,IF((D24)&gt;=('SEC-IRBA'!$B$5),(EXP((-1/(('Capital released'!$B$16)*('SEC-IRBA'!$B$5)))*((1)-('SEC-IRBA'!$B$5)))-EXP((-1/(('Capital released'!$B$16)*('SEC-IRBA'!$B$5)))*MAX((D24)-('SEC-IRBA'!$B$5),0)))/((-1/(('Capital released'!$B$16)*('SEC-IRBA'!$B$5)))*(((1)-('SEC-IRBA'!$B$5))-MAX((D24)-('SEC-IRBA'!$B$5),0))),(('SEC-IRBA'!$B$5)-(D24))/((1)-(D24))+(1-(('SEC-IRBA'!$B$5)-(D24))/((1)-(D24)))*(EXP((-1/(('Capital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0.149999298557388</v>
      </c>
      <c r="G24" s="21" t="n">
        <f aca="false">IF(J23&lt;0,I23,G23)</f>
        <v>0.035421194398035</v>
      </c>
      <c r="H24" s="21" t="n">
        <f aca="false">IF(J23&lt;0,H23,I23)</f>
        <v>0.0354214043021563</v>
      </c>
      <c r="I24" s="21" t="n">
        <f aca="false">(G24+H24)/2</f>
        <v>0.0354212993500957</v>
      </c>
      <c r="J24" s="13" t="n">
        <f aca="false">'Capital released'!$B$30-(IF('Capital released'!$B$12=1,MIN(MAX(IF('Capital released'!$B$11=1,0.1,0.15),12.5*IF((1)&lt;=('SEC-IRBA'!$B$5),1,IF((I24)&gt;=('SEC-IRBA'!$B$5),(EXP((-1/(('Capital released'!$B$16)*('SEC-IRBA'!$B$5)))*((1)-('SEC-IRBA'!$B$5)))-EXP((-1/(('Capital released'!$B$16)*('SEC-IRBA'!$B$5)))*MAX((I24)-('SEC-IRBA'!$B$5),0)))/((-1/(('Capital released'!$B$16)*('SEC-IRBA'!$B$5)))*(((1)-('SEC-IRBA'!$B$5))-MAX((I24)-('SEC-IRBA'!$B$5),0))),(('SEC-IRBA'!$B$5)-(I24))/((1)-(I24))+(1-(('SEC-IRBA'!$B$5)-(I24))/((1)-(I24)))*(EXP((-1/(('Capital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released'!$B$11=1,0.1,0.15),12.5*IF((1)&lt;=('SEC-IRBA'!$B$5),1,IF((I24)&gt;=('SEC-IRBA'!$B$5),(EXP((-1/(('Capital released'!$B$16)*('SEC-IRBA'!$B$5)))*((1)-('SEC-IRBA'!$B$5)))-EXP((-1/(('Capital released'!$B$16)*('SEC-IRBA'!$B$5)))*MAX((I24)-('SEC-IRBA'!$B$5),0)))/((-1/(('Capital released'!$B$16)*('SEC-IRBA'!$B$5)))*(((1)-('SEC-IRBA'!$B$5))-MAX((I24)-('SEC-IRBA'!$B$5),0))),(('SEC-IRBA'!$B$5)-(I24))/((1)-(I24))+(1-(('SEC-IRBA'!$B$5)-(I24))/((1)-(I24)))*(EXP((-1/(('Capital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released'!$B$11=1,0.1,0.15),12.5*IF((1)&lt;=('SEC-IRBA'!$B$5),1,IF((I24)&gt;=('SEC-IRBA'!$B$5),(EXP((-1/(('Capital released'!$B$16)*('SEC-IRBA'!$B$5)))*((1)-('SEC-IRBA'!$B$5)))-EXP((-1/(('Capital released'!$B$16)*('SEC-IRBA'!$B$5)))*MAX((I24)-('SEC-IRBA'!$B$5),0)))/((-1/(('Capital released'!$B$16)*('SEC-IRBA'!$B$5)))*(((1)-('SEC-IRBA'!$B$5))-MAX((I24)-('SEC-IRBA'!$B$5),0))),(('SEC-IRBA'!$B$5)-(I24))/((1)-(I24))+(1-(('SEC-IRBA'!$B$5)-(I24))/((1)-(I24)))*(EXP((-1/(('Capital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released'!$B$16)*('SEC-IRBA'!$B$5)))*(((1)-('SEC-IRBA'!$B$5))-MAX(('SEC-IRBA'!$B$5)-('SEC-IRBA'!$B$5),0))))))))*(1-I24)*'SEC-IRBA'!$B$13*'Capital released'!$B$9+I24*'SEC-IRBA'!$B$13*'Capital released'!$B$6)</f>
        <v>49.5120884776115</v>
      </c>
    </row>
    <row r="25" customFormat="false" ht="15" hidden="false" customHeight="false" outlineLevel="0" collapsed="false">
      <c r="A25" s="4" t="n">
        <v>21</v>
      </c>
      <c r="B25" s="21" t="n">
        <f aca="false">IF(E24&gt;IF('Capital released'!$B$11=1,0.1,0.15),D24,B24)</f>
        <v>0.0973664847744102</v>
      </c>
      <c r="C25" s="21" t="n">
        <f aca="false">IF(E24&gt;IF('Capital released'!$B$11=1,0.1,0.15),C24,D24)</f>
        <v>0.0973668995748519</v>
      </c>
      <c r="D25" s="21" t="n">
        <f aca="false">(B25+C25)/2</f>
        <v>0.097366692174631</v>
      </c>
      <c r="E25" s="12" t="n">
        <f aca="false">12.5*IF((1)&lt;=('SEC-IRBA'!$B$5),1,IF((D25)&gt;=('SEC-IRBA'!$B$5),(EXP((-1/(('Capital released'!$B$16)*('SEC-IRBA'!$B$5)))*((1)-('SEC-IRBA'!$B$5)))-EXP((-1/(('Capital released'!$B$16)*('SEC-IRBA'!$B$5)))*MAX((D25)-('SEC-IRBA'!$B$5),0)))/((-1/(('Capital released'!$B$16)*('SEC-IRBA'!$B$5)))*(((1)-('SEC-IRBA'!$B$5))-MAX((D25)-('SEC-IRBA'!$B$5),0))),(('SEC-IRBA'!$B$5)-(D25))/((1)-(D25))+(1-(('SEC-IRBA'!$B$5)-(D25))/((1)-(D25)))*(EXP((-1/(('Capital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0.150000272091309</v>
      </c>
      <c r="G25" s="21" t="n">
        <f aca="false">IF(J24&lt;0,I24,G24)</f>
        <v>0.035421194398035</v>
      </c>
      <c r="H25" s="21" t="n">
        <f aca="false">IF(J24&lt;0,H24,I24)</f>
        <v>0.0354212993500957</v>
      </c>
      <c r="I25" s="21" t="n">
        <f aca="false">(G25+H25)/2</f>
        <v>0.0354212468740654</v>
      </c>
      <c r="J25" s="13" t="n">
        <f aca="false">'Capital released'!$B$30-(IF('Capital released'!$B$12=1,MIN(MAX(IF('Capital released'!$B$11=1,0.1,0.15),12.5*IF((1)&lt;=('SEC-IRBA'!$B$5),1,IF((I25)&gt;=('SEC-IRBA'!$B$5),(EXP((-1/(('Capital released'!$B$16)*('SEC-IRBA'!$B$5)))*((1)-('SEC-IRBA'!$B$5)))-EXP((-1/(('Capital released'!$B$16)*('SEC-IRBA'!$B$5)))*MAX((I25)-('SEC-IRBA'!$B$5),0)))/((-1/(('Capital released'!$B$16)*('SEC-IRBA'!$B$5)))*(((1)-('SEC-IRBA'!$B$5))-MAX((I25)-('SEC-IRBA'!$B$5),0))),(('SEC-IRBA'!$B$5)-(I25))/((1)-(I25))+(1-(('SEC-IRBA'!$B$5)-(I25))/((1)-(I25)))*(EXP((-1/(('Capital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released'!$B$11=1,0.1,0.15),12.5*IF((1)&lt;=('SEC-IRBA'!$B$5),1,IF((I25)&gt;=('SEC-IRBA'!$B$5),(EXP((-1/(('Capital released'!$B$16)*('SEC-IRBA'!$B$5)))*((1)-('SEC-IRBA'!$B$5)))-EXP((-1/(('Capital released'!$B$16)*('SEC-IRBA'!$B$5)))*MAX((I25)-('SEC-IRBA'!$B$5),0)))/((-1/(('Capital released'!$B$16)*('SEC-IRBA'!$B$5)))*(((1)-('SEC-IRBA'!$B$5))-MAX((I25)-('SEC-IRBA'!$B$5),0))),(('SEC-IRBA'!$B$5)-(I25))/((1)-(I25))+(1-(('SEC-IRBA'!$B$5)-(I25))/((1)-(I25)))*(EXP((-1/(('Capital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released'!$B$11=1,0.1,0.15),12.5*IF((1)&lt;=('SEC-IRBA'!$B$5),1,IF((I25)&gt;=('SEC-IRBA'!$B$5),(EXP((-1/(('Capital released'!$B$16)*('SEC-IRBA'!$B$5)))*((1)-('SEC-IRBA'!$B$5)))-EXP((-1/(('Capital released'!$B$16)*('SEC-IRBA'!$B$5)))*MAX((I25)-('SEC-IRBA'!$B$5),0)))/((-1/(('Capital released'!$B$16)*('SEC-IRBA'!$B$5)))*(((1)-('SEC-IRBA'!$B$5))-MAX((I25)-('SEC-IRBA'!$B$5),0))),(('SEC-IRBA'!$B$5)-(I25))/((1)-(I25))+(1-(('SEC-IRBA'!$B$5)-(I25))/((1)-(I25)))*(EXP((-1/(('Capital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released'!$B$16)*('SEC-IRBA'!$B$5)))*(((1)-('SEC-IRBA'!$B$5))-MAX(('SEC-IRBA'!$B$5)-('SEC-IRBA'!$B$5),0))))))))*(1-I25)*'SEC-IRBA'!$B$13*'Capital released'!$B$9+I25*'SEC-IRBA'!$B$13*'Capital released'!$B$6)</f>
        <v>-294.205910265446</v>
      </c>
    </row>
    <row r="26" customFormat="false" ht="15" hidden="false" customHeight="false" outlineLevel="0" collapsed="false">
      <c r="A26" s="4" t="n">
        <v>22</v>
      </c>
      <c r="B26" s="21" t="n">
        <f aca="false">IF(E25&gt;IF('Capital released'!$B$11=1,0.1,0.15),D25,B25)</f>
        <v>0.097366692174631</v>
      </c>
      <c r="C26" s="21" t="n">
        <f aca="false">IF(E25&gt;IF('Capital released'!$B$11=1,0.1,0.15),C25,D25)</f>
        <v>0.0973668995748519</v>
      </c>
      <c r="D26" s="21" t="n">
        <f aca="false">(B26+C26)/2</f>
        <v>0.0973667958747415</v>
      </c>
      <c r="E26" s="12" t="n">
        <f aca="false">12.5*IF((1)&lt;=('SEC-IRBA'!$B$5),1,IF((D26)&gt;=('SEC-IRBA'!$B$5),(EXP((-1/(('Capital released'!$B$16)*('SEC-IRBA'!$B$5)))*((1)-('SEC-IRBA'!$B$5)))-EXP((-1/(('Capital released'!$B$16)*('SEC-IRBA'!$B$5)))*MAX((D26)-('SEC-IRBA'!$B$5),0)))/((-1/(('Capital released'!$B$16)*('SEC-IRBA'!$B$5)))*(((1)-('SEC-IRBA'!$B$5))-MAX((D26)-('SEC-IRBA'!$B$5),0))),(('SEC-IRBA'!$B$5)-(D26))/((1)-(D26))+(1-(('SEC-IRBA'!$B$5)-(D26))/((1)-(D26)))*(EXP((-1/(('Capital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0.149999785323558</v>
      </c>
      <c r="G26" s="21" t="n">
        <f aca="false">IF(J25&lt;0,I25,G25)</f>
        <v>0.0354212468740654</v>
      </c>
      <c r="H26" s="21" t="n">
        <f aca="false">IF(J25&lt;0,H25,I25)</f>
        <v>0.0354212993500957</v>
      </c>
      <c r="I26" s="21" t="n">
        <f aca="false">(G26+H26)/2</f>
        <v>0.0354212731120805</v>
      </c>
      <c r="J26" s="13" t="n">
        <f aca="false">'Capital released'!$B$30-(IF('Capital released'!$B$12=1,MIN(MAX(IF('Capital released'!$B$11=1,0.1,0.15),12.5*IF((1)&lt;=('SEC-IRBA'!$B$5),1,IF((I26)&gt;=('SEC-IRBA'!$B$5),(EXP((-1/(('Capital released'!$B$16)*('SEC-IRBA'!$B$5)))*((1)-('SEC-IRBA'!$B$5)))-EXP((-1/(('Capital released'!$B$16)*('SEC-IRBA'!$B$5)))*MAX((I26)-('SEC-IRBA'!$B$5),0)))/((-1/(('Capital released'!$B$16)*('SEC-IRBA'!$B$5)))*(((1)-('SEC-IRBA'!$B$5))-MAX((I26)-('SEC-IRBA'!$B$5),0))),(('SEC-IRBA'!$B$5)-(I26))/((1)-(I26))+(1-(('SEC-IRBA'!$B$5)-(I26))/((1)-(I26)))*(EXP((-1/(('Capital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released'!$B$11=1,0.1,0.15),12.5*IF((1)&lt;=('SEC-IRBA'!$B$5),1,IF((I26)&gt;=('SEC-IRBA'!$B$5),(EXP((-1/(('Capital released'!$B$16)*('SEC-IRBA'!$B$5)))*((1)-('SEC-IRBA'!$B$5)))-EXP((-1/(('Capital released'!$B$16)*('SEC-IRBA'!$B$5)))*MAX((I26)-('SEC-IRBA'!$B$5),0)))/((-1/(('Capital released'!$B$16)*('SEC-IRBA'!$B$5)))*(((1)-('SEC-IRBA'!$B$5))-MAX((I26)-('SEC-IRBA'!$B$5),0))),(('SEC-IRBA'!$B$5)-(I26))/((1)-(I26))+(1-(('SEC-IRBA'!$B$5)-(I26))/((1)-(I26)))*(EXP((-1/(('Capital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released'!$B$11=1,0.1,0.15),12.5*IF((1)&lt;=('SEC-IRBA'!$B$5),1,IF((I26)&gt;=('SEC-IRBA'!$B$5),(EXP((-1/(('Capital released'!$B$16)*('SEC-IRBA'!$B$5)))*((1)-('SEC-IRBA'!$B$5)))-EXP((-1/(('Capital released'!$B$16)*('SEC-IRBA'!$B$5)))*MAX((I26)-('SEC-IRBA'!$B$5),0)))/((-1/(('Capital released'!$B$16)*('SEC-IRBA'!$B$5)))*(((1)-('SEC-IRBA'!$B$5))-MAX((I26)-('SEC-IRBA'!$B$5),0))),(('SEC-IRBA'!$B$5)-(I26))/((1)-(I26))+(1-(('SEC-IRBA'!$B$5)-(I26))/((1)-(I26)))*(EXP((-1/(('Capital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released'!$B$16)*('SEC-IRBA'!$B$5)))*(((1)-('SEC-IRBA'!$B$5))-MAX(('SEC-IRBA'!$B$5)-('SEC-IRBA'!$B$5),0))))))))*(1-I26)*'SEC-IRBA'!$B$13*'Capital released'!$B$9+I26*'SEC-IRBA'!$B$13*'Capital released'!$B$6)</f>
        <v>-122.346910715103</v>
      </c>
    </row>
    <row r="27" customFormat="false" ht="15" hidden="false" customHeight="false" outlineLevel="0" collapsed="false">
      <c r="A27" s="4" t="n">
        <v>23</v>
      </c>
      <c r="B27" s="21" t="n">
        <f aca="false">IF(E26&gt;IF('Capital released'!$B$11=1,0.1,0.15),D26,B26)</f>
        <v>0.097366692174631</v>
      </c>
      <c r="C27" s="21" t="n">
        <f aca="false">IF(E26&gt;IF('Capital released'!$B$11=1,0.1,0.15),C26,D26)</f>
        <v>0.0973667958747415</v>
      </c>
      <c r="D27" s="21" t="n">
        <f aca="false">(B27+C27)/2</f>
        <v>0.0973667440246863</v>
      </c>
      <c r="E27" s="12" t="n">
        <f aca="false">12.5*IF((1)&lt;=('SEC-IRBA'!$B$5),1,IF((D27)&gt;=('SEC-IRBA'!$B$5),(EXP((-1/(('Capital released'!$B$16)*('SEC-IRBA'!$B$5)))*((1)-('SEC-IRBA'!$B$5)))-EXP((-1/(('Capital released'!$B$16)*('SEC-IRBA'!$B$5)))*MAX((D27)-('SEC-IRBA'!$B$5),0)))/((-1/(('Capital released'!$B$16)*('SEC-IRBA'!$B$5)))*(((1)-('SEC-IRBA'!$B$5))-MAX((D27)-('SEC-IRBA'!$B$5),0))),(('SEC-IRBA'!$B$5)-(D27))/((1)-(D27))+(1-(('SEC-IRBA'!$B$5)-(D27))/((1)-(D27)))*(EXP((-1/(('Capital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0.150000028707236</v>
      </c>
      <c r="G27" s="21" t="n">
        <f aca="false">IF(J26&lt;0,I26,G26)</f>
        <v>0.0354212731120805</v>
      </c>
      <c r="H27" s="21" t="n">
        <f aca="false">IF(J26&lt;0,H26,I26)</f>
        <v>0.0354212993500957</v>
      </c>
      <c r="I27" s="21" t="n">
        <f aca="false">(G27+H27)/2</f>
        <v>0.0354212862310881</v>
      </c>
      <c r="J27" s="13" t="n">
        <f aca="false">'Capital released'!$B$30-(IF('Capital released'!$B$12=1,MIN(MAX(IF('Capital released'!$B$11=1,0.1,0.15),12.5*IF((1)&lt;=('SEC-IRBA'!$B$5),1,IF((I27)&gt;=('SEC-IRBA'!$B$5),(EXP((-1/(('Capital released'!$B$16)*('SEC-IRBA'!$B$5)))*((1)-('SEC-IRBA'!$B$5)))-EXP((-1/(('Capital released'!$B$16)*('SEC-IRBA'!$B$5)))*MAX((I27)-('SEC-IRBA'!$B$5),0)))/((-1/(('Capital released'!$B$16)*('SEC-IRBA'!$B$5)))*(((1)-('SEC-IRBA'!$B$5))-MAX((I27)-('SEC-IRBA'!$B$5),0))),(('SEC-IRBA'!$B$5)-(I27))/((1)-(I27))+(1-(('SEC-IRBA'!$B$5)-(I27))/((1)-(I27)))*(EXP((-1/(('Capital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released'!$B$11=1,0.1,0.15),12.5*IF((1)&lt;=('SEC-IRBA'!$B$5),1,IF((I27)&gt;=('SEC-IRBA'!$B$5),(EXP((-1/(('Capital released'!$B$16)*('SEC-IRBA'!$B$5)))*((1)-('SEC-IRBA'!$B$5)))-EXP((-1/(('Capital released'!$B$16)*('SEC-IRBA'!$B$5)))*MAX((I27)-('SEC-IRBA'!$B$5),0)))/((-1/(('Capital released'!$B$16)*('SEC-IRBA'!$B$5)))*(((1)-('SEC-IRBA'!$B$5))-MAX((I27)-('SEC-IRBA'!$B$5),0))),(('SEC-IRBA'!$B$5)-(I27))/((1)-(I27))+(1-(('SEC-IRBA'!$B$5)-(I27))/((1)-(I27)))*(EXP((-1/(('Capital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released'!$B$11=1,0.1,0.15),12.5*IF((1)&lt;=('SEC-IRBA'!$B$5),1,IF((I27)&gt;=('SEC-IRBA'!$B$5),(EXP((-1/(('Capital released'!$B$16)*('SEC-IRBA'!$B$5)))*((1)-('SEC-IRBA'!$B$5)))-EXP((-1/(('Capital released'!$B$16)*('SEC-IRBA'!$B$5)))*MAX((I27)-('SEC-IRBA'!$B$5),0)))/((-1/(('Capital released'!$B$16)*('SEC-IRBA'!$B$5)))*(((1)-('SEC-IRBA'!$B$5))-MAX((I27)-('SEC-IRBA'!$B$5),0))),(('SEC-IRBA'!$B$5)-(I27))/((1)-(I27))+(1-(('SEC-IRBA'!$B$5)-(I27))/((1)-(I27)))*(EXP((-1/(('Capital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released'!$B$16)*('SEC-IRBA'!$B$5)))*(((1)-('SEC-IRBA'!$B$5))-MAX(('SEC-IRBA'!$B$5)-('SEC-IRBA'!$B$5),0))))))))*(1-I27)*'SEC-IRBA'!$B$13*'Capital released'!$B$9+I27*'SEC-IRBA'!$B$13*'Capital released'!$B$6)</f>
        <v>-36.4174111485481</v>
      </c>
    </row>
    <row r="28" customFormat="false" ht="15" hidden="false" customHeight="false" outlineLevel="0" collapsed="false">
      <c r="A28" s="4" t="n">
        <v>24</v>
      </c>
      <c r="B28" s="21" t="n">
        <f aca="false">IF(E27&gt;IF('Capital released'!$B$11=1,0.1,0.15),D27,B27)</f>
        <v>0.0973667440246863</v>
      </c>
      <c r="C28" s="21" t="n">
        <f aca="false">IF(E27&gt;IF('Capital released'!$B$11=1,0.1,0.15),C27,D27)</f>
        <v>0.0973667958747415</v>
      </c>
      <c r="D28" s="21" t="n">
        <f aca="false">(B28+C28)/2</f>
        <v>0.0973667699497139</v>
      </c>
      <c r="E28" s="12" t="n">
        <f aca="false">12.5*IF((1)&lt;=('SEC-IRBA'!$B$5),1,IF((D28)&gt;=('SEC-IRBA'!$B$5),(EXP((-1/(('Capital released'!$B$16)*('SEC-IRBA'!$B$5)))*((1)-('SEC-IRBA'!$B$5)))-EXP((-1/(('Capital released'!$B$16)*('SEC-IRBA'!$B$5)))*MAX((D28)-('SEC-IRBA'!$B$5),0)))/((-1/(('Capital released'!$B$16)*('SEC-IRBA'!$B$5)))*(((1)-('SEC-IRBA'!$B$5))-MAX((D28)-('SEC-IRBA'!$B$5),0))),(('SEC-IRBA'!$B$5)-(D28))/((1)-(D28))+(1-(('SEC-IRBA'!$B$5)-(D28))/((1)-(D28)))*(EXP((-1/(('Capital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0.149999907015348</v>
      </c>
      <c r="G28" s="21" t="n">
        <f aca="false">IF(J27&lt;0,I27,G27)</f>
        <v>0.0354212862310881</v>
      </c>
      <c r="H28" s="21" t="n">
        <f aca="false">IF(J27&lt;0,H27,I27)</f>
        <v>0.0354212993500957</v>
      </c>
      <c r="I28" s="21" t="n">
        <f aca="false">(G28+H28)/2</f>
        <v>0.0354212927905919</v>
      </c>
      <c r="J28" s="13" t="n">
        <f aca="false">'Capital released'!$B$30-(IF('Capital released'!$B$12=1,MIN(MAX(IF('Capital released'!$B$11=1,0.1,0.15),12.5*IF((1)&lt;=('SEC-IRBA'!$B$5),1,IF((I28)&gt;=('SEC-IRBA'!$B$5),(EXP((-1/(('Capital released'!$B$16)*('SEC-IRBA'!$B$5)))*((1)-('SEC-IRBA'!$B$5)))-EXP((-1/(('Capital released'!$B$16)*('SEC-IRBA'!$B$5)))*MAX((I28)-('SEC-IRBA'!$B$5),0)))/((-1/(('Capital released'!$B$16)*('SEC-IRBA'!$B$5)))*(((1)-('SEC-IRBA'!$B$5))-MAX((I28)-('SEC-IRBA'!$B$5),0))),(('SEC-IRBA'!$B$5)-(I28))/((1)-(I28))+(1-(('SEC-IRBA'!$B$5)-(I28))/((1)-(I28)))*(EXP((-1/(('Capital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released'!$B$11=1,0.1,0.15),12.5*IF((1)&lt;=('SEC-IRBA'!$B$5),1,IF((I28)&gt;=('SEC-IRBA'!$B$5),(EXP((-1/(('Capital released'!$B$16)*('SEC-IRBA'!$B$5)))*((1)-('SEC-IRBA'!$B$5)))-EXP((-1/(('Capital released'!$B$16)*('SEC-IRBA'!$B$5)))*MAX((I28)-('SEC-IRBA'!$B$5),0)))/((-1/(('Capital released'!$B$16)*('SEC-IRBA'!$B$5)))*(((1)-('SEC-IRBA'!$B$5))-MAX((I28)-('SEC-IRBA'!$B$5),0))),(('SEC-IRBA'!$B$5)-(I28))/((1)-(I28))+(1-(('SEC-IRBA'!$B$5)-(I28))/((1)-(I28)))*(EXP((-1/(('Capital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released'!$B$11=1,0.1,0.15),12.5*IF((1)&lt;=('SEC-IRBA'!$B$5),1,IF((I28)&gt;=('SEC-IRBA'!$B$5),(EXP((-1/(('Capital released'!$B$16)*('SEC-IRBA'!$B$5)))*((1)-('SEC-IRBA'!$B$5)))-EXP((-1/(('Capital released'!$B$16)*('SEC-IRBA'!$B$5)))*MAX((I28)-('SEC-IRBA'!$B$5),0)))/((-1/(('Capital released'!$B$16)*('SEC-IRBA'!$B$5)))*(((1)-('SEC-IRBA'!$B$5))-MAX((I28)-('SEC-IRBA'!$B$5),0))),(('SEC-IRBA'!$B$5)-(I28))/((1)-(I28))+(1-(('SEC-IRBA'!$B$5)-(I28))/((1)-(I28)))*(EXP((-1/(('Capital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released'!$B$16)*('SEC-IRBA'!$B$5)))*(((1)-('SEC-IRBA'!$B$5))-MAX(('SEC-IRBA'!$B$5)-('SEC-IRBA'!$B$5),0))))))))*(1-I28)*'SEC-IRBA'!$B$13*'Capital released'!$B$9+I28*'SEC-IRBA'!$B$13*'Capital released'!$B$6)</f>
        <v>6.54733866453171</v>
      </c>
    </row>
    <row r="29" customFormat="false" ht="15" hidden="false" customHeight="false" outlineLevel="0" collapsed="false">
      <c r="A29" s="4" t="n">
        <v>25</v>
      </c>
      <c r="B29" s="21" t="n">
        <f aca="false">IF(E28&gt;IF('Capital released'!$B$11=1,0.1,0.15),D28,B28)</f>
        <v>0.0973667440246863</v>
      </c>
      <c r="C29" s="21" t="n">
        <f aca="false">IF(E28&gt;IF('Capital released'!$B$11=1,0.1,0.15),C28,D28)</f>
        <v>0.0973667699497139</v>
      </c>
      <c r="D29" s="21" t="n">
        <f aca="false">(B29+C29)/2</f>
        <v>0.0973667569872001</v>
      </c>
      <c r="E29" s="12" t="n">
        <f aca="false">12.5*IF((1)&lt;=('SEC-IRBA'!$B$5),1,IF((D29)&gt;=('SEC-IRBA'!$B$5),(EXP((-1/(('Capital released'!$B$16)*('SEC-IRBA'!$B$5)))*((1)-('SEC-IRBA'!$B$5)))-EXP((-1/(('Capital released'!$B$16)*('SEC-IRBA'!$B$5)))*MAX((D29)-('SEC-IRBA'!$B$5),0)))/((-1/(('Capital released'!$B$16)*('SEC-IRBA'!$B$5)))*(((1)-('SEC-IRBA'!$B$5))-MAX((D29)-('SEC-IRBA'!$B$5),0))),(('SEC-IRBA'!$B$5)-(D29))/((1)-(D29))+(1-(('SEC-IRBA'!$B$5)-(D29))/((1)-(D29)))*(EXP((-1/(('Capital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0.149999967861279</v>
      </c>
      <c r="G29" s="21" t="n">
        <f aca="false">IF(J28&lt;0,I28,G28)</f>
        <v>0.0354212862310881</v>
      </c>
      <c r="H29" s="21" t="n">
        <f aca="false">IF(J28&lt;0,H28,I28)</f>
        <v>0.0354212927905919</v>
      </c>
      <c r="I29" s="21" t="n">
        <f aca="false">(G29+H29)/2</f>
        <v>0.03542128951084</v>
      </c>
      <c r="J29" s="13" t="n">
        <f aca="false">'Capital released'!$B$30-(IF('Capital released'!$B$12=1,MIN(MAX(IF('Capital released'!$B$11=1,0.1,0.15),12.5*IF((1)&lt;=('SEC-IRBA'!$B$5),1,IF((I29)&gt;=('SEC-IRBA'!$B$5),(EXP((-1/(('Capital released'!$B$16)*('SEC-IRBA'!$B$5)))*((1)-('SEC-IRBA'!$B$5)))-EXP((-1/(('Capital released'!$B$16)*('SEC-IRBA'!$B$5)))*MAX((I29)-('SEC-IRBA'!$B$5),0)))/((-1/(('Capital released'!$B$16)*('SEC-IRBA'!$B$5)))*(((1)-('SEC-IRBA'!$B$5))-MAX((I29)-('SEC-IRBA'!$B$5),0))),(('SEC-IRBA'!$B$5)-(I29))/((1)-(I29))+(1-(('SEC-IRBA'!$B$5)-(I29))/((1)-(I29)))*(EXP((-1/(('Capital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released'!$B$11=1,0.1,0.15),12.5*IF((1)&lt;=('SEC-IRBA'!$B$5),1,IF((I29)&gt;=('SEC-IRBA'!$B$5),(EXP((-1/(('Capital released'!$B$16)*('SEC-IRBA'!$B$5)))*((1)-('SEC-IRBA'!$B$5)))-EXP((-1/(('Capital released'!$B$16)*('SEC-IRBA'!$B$5)))*MAX((I29)-('SEC-IRBA'!$B$5),0)))/((-1/(('Capital released'!$B$16)*('SEC-IRBA'!$B$5)))*(((1)-('SEC-IRBA'!$B$5))-MAX((I29)-('SEC-IRBA'!$B$5),0))),(('SEC-IRBA'!$B$5)-(I29))/((1)-(I29))+(1-(('SEC-IRBA'!$B$5)-(I29))/((1)-(I29)))*(EXP((-1/(('Capital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released'!$B$11=1,0.1,0.15),12.5*IF((1)&lt;=('SEC-IRBA'!$B$5),1,IF((I29)&gt;=('SEC-IRBA'!$B$5),(EXP((-1/(('Capital released'!$B$16)*('SEC-IRBA'!$B$5)))*((1)-('SEC-IRBA'!$B$5)))-EXP((-1/(('Capital released'!$B$16)*('SEC-IRBA'!$B$5)))*MAX((I29)-('SEC-IRBA'!$B$5),0)))/((-1/(('Capital released'!$B$16)*('SEC-IRBA'!$B$5)))*(((1)-('SEC-IRBA'!$B$5))-MAX((I29)-('SEC-IRBA'!$B$5),0))),(('SEC-IRBA'!$B$5)-(I29))/((1)-(I29))+(1-(('SEC-IRBA'!$B$5)-(I29))/((1)-(I29)))*(EXP((-1/(('Capital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released'!$B$16)*('SEC-IRBA'!$B$5)))*(((1)-('SEC-IRBA'!$B$5))-MAX(('SEC-IRBA'!$B$5)-('SEC-IRBA'!$B$5),0))))))))*(1-I29)*'SEC-IRBA'!$B$13*'Capital released'!$B$9+I29*'SEC-IRBA'!$B$13*'Capital released'!$B$6)</f>
        <v>-14.9350361824036</v>
      </c>
    </row>
    <row r="30" customFormat="false" ht="15" hidden="false" customHeight="false" outlineLevel="0" collapsed="false">
      <c r="A30" s="4" t="n">
        <v>26</v>
      </c>
      <c r="B30" s="21" t="n">
        <f aca="false">IF(E29&gt;IF('Capital released'!$B$11=1,0.1,0.15),D29,B29)</f>
        <v>0.0973667440246863</v>
      </c>
      <c r="C30" s="21" t="n">
        <f aca="false">IF(E29&gt;IF('Capital released'!$B$11=1,0.1,0.15),C29,D29)</f>
        <v>0.0973667569872001</v>
      </c>
      <c r="D30" s="21" t="n">
        <f aca="false">(B30+C30)/2</f>
        <v>0.0973667505059432</v>
      </c>
      <c r="E30" s="12" t="n">
        <f aca="false">12.5*IF((1)&lt;=('SEC-IRBA'!$B$5),1,IF((D30)&gt;=('SEC-IRBA'!$B$5),(EXP((-1/(('Capital released'!$B$16)*('SEC-IRBA'!$B$5)))*((1)-('SEC-IRBA'!$B$5)))-EXP((-1/(('Capital released'!$B$16)*('SEC-IRBA'!$B$5)))*MAX((D30)-('SEC-IRBA'!$B$5),0)))/((-1/(('Capital released'!$B$16)*('SEC-IRBA'!$B$5)))*(((1)-('SEC-IRBA'!$B$5))-MAX((D30)-('SEC-IRBA'!$B$5),0))),(('SEC-IRBA'!$B$5)-(D30))/((1)-(D30))+(1-(('SEC-IRBA'!$B$5)-(D30))/((1)-(D30)))*(EXP((-1/(('Capital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0.149999998284255</v>
      </c>
      <c r="G30" s="21" t="n">
        <f aca="false">IF(J29&lt;0,I29,G29)</f>
        <v>0.03542128951084</v>
      </c>
      <c r="H30" s="21" t="n">
        <f aca="false">IF(J29&lt;0,H29,I29)</f>
        <v>0.0354212927905919</v>
      </c>
      <c r="I30" s="21" t="n">
        <f aca="false">(G30+H30)/2</f>
        <v>0.035421291150716</v>
      </c>
      <c r="J30" s="13" t="n">
        <f aca="false">'Capital released'!$B$30-(IF('Capital released'!$B$12=1,MIN(MAX(IF('Capital released'!$B$11=1,0.1,0.15),12.5*IF((1)&lt;=('SEC-IRBA'!$B$5),1,IF((I30)&gt;=('SEC-IRBA'!$B$5),(EXP((-1/(('Capital released'!$B$16)*('SEC-IRBA'!$B$5)))*((1)-('SEC-IRBA'!$B$5)))-EXP((-1/(('Capital released'!$B$16)*('SEC-IRBA'!$B$5)))*MAX((I30)-('SEC-IRBA'!$B$5),0)))/((-1/(('Capital released'!$B$16)*('SEC-IRBA'!$B$5)))*(((1)-('SEC-IRBA'!$B$5))-MAX((I30)-('SEC-IRBA'!$B$5),0))),(('SEC-IRBA'!$B$5)-(I30))/((1)-(I30))+(1-(('SEC-IRBA'!$B$5)-(I30))/((1)-(I30)))*(EXP((-1/(('Capital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released'!$B$11=1,0.1,0.15),12.5*IF((1)&lt;=('SEC-IRBA'!$B$5),1,IF((I30)&gt;=('SEC-IRBA'!$B$5),(EXP((-1/(('Capital released'!$B$16)*('SEC-IRBA'!$B$5)))*((1)-('SEC-IRBA'!$B$5)))-EXP((-1/(('Capital released'!$B$16)*('SEC-IRBA'!$B$5)))*MAX((I30)-('SEC-IRBA'!$B$5),0)))/((-1/(('Capital released'!$B$16)*('SEC-IRBA'!$B$5)))*(((1)-('SEC-IRBA'!$B$5))-MAX((I30)-('SEC-IRBA'!$B$5),0))),(('SEC-IRBA'!$B$5)-(I30))/((1)-(I30))+(1-(('SEC-IRBA'!$B$5)-(I30))/((1)-(I30)))*(EXP((-1/(('Capital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released'!$B$11=1,0.1,0.15),12.5*IF((1)&lt;=('SEC-IRBA'!$B$5),1,IF((I30)&gt;=('SEC-IRBA'!$B$5),(EXP((-1/(('Capital released'!$B$16)*('SEC-IRBA'!$B$5)))*((1)-('SEC-IRBA'!$B$5)))-EXP((-1/(('Capital released'!$B$16)*('SEC-IRBA'!$B$5)))*MAX((I30)-('SEC-IRBA'!$B$5),0)))/((-1/(('Capital released'!$B$16)*('SEC-IRBA'!$B$5)))*(((1)-('SEC-IRBA'!$B$5))-MAX((I30)-('SEC-IRBA'!$B$5),0))),(('SEC-IRBA'!$B$5)-(I30))/((1)-(I30))+(1-(('SEC-IRBA'!$B$5)-(I30))/((1)-(I30)))*(EXP((-1/(('Capital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released'!$B$16)*('SEC-IRBA'!$B$5)))*(((1)-('SEC-IRBA'!$B$5))-MAX(('SEC-IRBA'!$B$5)-('SEC-IRBA'!$B$5),0))))))))*(1-I30)*'SEC-IRBA'!$B$13*'Capital released'!$B$9+I30*'SEC-IRBA'!$B$13*'Capital released'!$B$6)</f>
        <v>-4.19384878873825</v>
      </c>
    </row>
    <row r="31" customFormat="false" ht="15" hidden="false" customHeight="false" outlineLevel="0" collapsed="false">
      <c r="A31" s="4" t="n">
        <v>27</v>
      </c>
      <c r="B31" s="21" t="n">
        <f aca="false">IF(E30&gt;IF('Capital released'!$B$11=1,0.1,0.15),D30,B30)</f>
        <v>0.0973667440246863</v>
      </c>
      <c r="C31" s="21" t="n">
        <f aca="false">IF(E30&gt;IF('Capital released'!$B$11=1,0.1,0.15),C30,D30)</f>
        <v>0.0973667505059432</v>
      </c>
      <c r="D31" s="21" t="n">
        <f aca="false">(B31+C31)/2</f>
        <v>0.0973667472653147</v>
      </c>
      <c r="E31" s="12" t="n">
        <f aca="false">12.5*IF((1)&lt;=('SEC-IRBA'!$B$5),1,IF((D31)&gt;=('SEC-IRBA'!$B$5),(EXP((-1/(('Capital released'!$B$16)*('SEC-IRBA'!$B$5)))*((1)-('SEC-IRBA'!$B$5)))-EXP((-1/(('Capital released'!$B$16)*('SEC-IRBA'!$B$5)))*MAX((D31)-('SEC-IRBA'!$B$5),0)))/((-1/(('Capital released'!$B$16)*('SEC-IRBA'!$B$5)))*(((1)-('SEC-IRBA'!$B$5))-MAX((D31)-('SEC-IRBA'!$B$5),0))),(('SEC-IRBA'!$B$5)-(D31))/((1)-(D31))+(1-(('SEC-IRBA'!$B$5)-(D31))/((1)-(D31)))*(EXP((-1/(('Capital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0.150000013495745</v>
      </c>
      <c r="G31" s="21" t="n">
        <f aca="false">IF(J30&lt;0,I30,G30)</f>
        <v>0.035421291150716</v>
      </c>
      <c r="H31" s="21" t="n">
        <f aca="false">IF(J30&lt;0,H30,I30)</f>
        <v>0.0354212927905919</v>
      </c>
      <c r="I31" s="21" t="n">
        <f aca="false">(G31+H31)/2</f>
        <v>0.0354212919706539</v>
      </c>
      <c r="J31" s="13" t="n">
        <f aca="false">'Capital released'!$B$30-(IF('Capital released'!$B$12=1,MIN(MAX(IF('Capital released'!$B$11=1,0.1,0.15),12.5*IF((1)&lt;=('SEC-IRBA'!$B$5),1,IF((I31)&gt;=('SEC-IRBA'!$B$5),(EXP((-1/(('Capital released'!$B$16)*('SEC-IRBA'!$B$5)))*((1)-('SEC-IRBA'!$B$5)))-EXP((-1/(('Capital released'!$B$16)*('SEC-IRBA'!$B$5)))*MAX((I31)-('SEC-IRBA'!$B$5),0)))/((-1/(('Capital released'!$B$16)*('SEC-IRBA'!$B$5)))*(((1)-('SEC-IRBA'!$B$5))-MAX((I31)-('SEC-IRBA'!$B$5),0))),(('SEC-IRBA'!$B$5)-(I31))/((1)-(I31))+(1-(('SEC-IRBA'!$B$5)-(I31))/((1)-(I31)))*(EXP((-1/(('Capital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released'!$B$11=1,0.1,0.15),12.5*IF((1)&lt;=('SEC-IRBA'!$B$5),1,IF((I31)&gt;=('SEC-IRBA'!$B$5),(EXP((-1/(('Capital released'!$B$16)*('SEC-IRBA'!$B$5)))*((1)-('SEC-IRBA'!$B$5)))-EXP((-1/(('Capital released'!$B$16)*('SEC-IRBA'!$B$5)))*MAX((I31)-('SEC-IRBA'!$B$5),0)))/((-1/(('Capital released'!$B$16)*('SEC-IRBA'!$B$5)))*(((1)-('SEC-IRBA'!$B$5))-MAX((I31)-('SEC-IRBA'!$B$5),0))),(('SEC-IRBA'!$B$5)-(I31))/((1)-(I31))+(1-(('SEC-IRBA'!$B$5)-(I31))/((1)-(I31)))*(EXP((-1/(('Capital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released'!$B$11=1,0.1,0.15),12.5*IF((1)&lt;=('SEC-IRBA'!$B$5),1,IF((I31)&gt;=('SEC-IRBA'!$B$5),(EXP((-1/(('Capital released'!$B$16)*('SEC-IRBA'!$B$5)))*((1)-('SEC-IRBA'!$B$5)))-EXP((-1/(('Capital released'!$B$16)*('SEC-IRBA'!$B$5)))*MAX((I31)-('SEC-IRBA'!$B$5),0)))/((-1/(('Capital released'!$B$16)*('SEC-IRBA'!$B$5)))*(((1)-('SEC-IRBA'!$B$5))-MAX((I31)-('SEC-IRBA'!$B$5),0))),(('SEC-IRBA'!$B$5)-(I31))/((1)-(I31))+(1-(('SEC-IRBA'!$B$5)-(I31))/((1)-(I31)))*(EXP((-1/(('Capital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released'!$B$16)*('SEC-IRBA'!$B$5)))*(((1)-('SEC-IRBA'!$B$5))-MAX(('SEC-IRBA'!$B$5)-('SEC-IRBA'!$B$5),0))))))))*(1-I31)*'SEC-IRBA'!$B$13*'Capital released'!$B$9+I31*'SEC-IRBA'!$B$13*'Capital released'!$B$6)</f>
        <v>1.17674493789673</v>
      </c>
    </row>
    <row r="32" customFormat="false" ht="15" hidden="false" customHeight="false" outlineLevel="0" collapsed="false">
      <c r="A32" s="4" t="n">
        <v>28</v>
      </c>
      <c r="B32" s="21" t="n">
        <f aca="false">IF(E31&gt;IF('Capital released'!$B$11=1,0.1,0.15),D31,B31)</f>
        <v>0.0973667472653147</v>
      </c>
      <c r="C32" s="21" t="n">
        <f aca="false">IF(E31&gt;IF('Capital released'!$B$11=1,0.1,0.15),C31,D31)</f>
        <v>0.0973667505059432</v>
      </c>
      <c r="D32" s="21" t="n">
        <f aca="false">(B32+C32)/2</f>
        <v>0.0973667488856289</v>
      </c>
      <c r="E32" s="12" t="n">
        <f aca="false">12.5*IF((1)&lt;=('SEC-IRBA'!$B$5),1,IF((D32)&gt;=('SEC-IRBA'!$B$5),(EXP((-1/(('Capital released'!$B$16)*('SEC-IRBA'!$B$5)))*((1)-('SEC-IRBA'!$B$5)))-EXP((-1/(('Capital released'!$B$16)*('SEC-IRBA'!$B$5)))*MAX((D32)-('SEC-IRBA'!$B$5),0)))/((-1/(('Capital released'!$B$16)*('SEC-IRBA'!$B$5)))*(((1)-('SEC-IRBA'!$B$5))-MAX((D32)-('SEC-IRBA'!$B$5),0))),(('SEC-IRBA'!$B$5)-(D32))/((1)-(D32))+(1-(('SEC-IRBA'!$B$5)-(D32))/((1)-(D32)))*(EXP((-1/(('Capital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0.150000005889999</v>
      </c>
      <c r="G32" s="21" t="n">
        <f aca="false">IF(J31&lt;0,I31,G31)</f>
        <v>0.035421291150716</v>
      </c>
      <c r="H32" s="21" t="n">
        <f aca="false">IF(J31&lt;0,H31,I31)</f>
        <v>0.0354212919706539</v>
      </c>
      <c r="I32" s="21" t="n">
        <f aca="false">(G32+H32)/2</f>
        <v>0.0354212915606849</v>
      </c>
      <c r="J32" s="13" t="n">
        <f aca="false">'Capital released'!$B$30-(IF('Capital released'!$B$12=1,MIN(MAX(IF('Capital released'!$B$11=1,0.1,0.15),12.5*IF((1)&lt;=('SEC-IRBA'!$B$5),1,IF((I32)&gt;=('SEC-IRBA'!$B$5),(EXP((-1/(('Capital released'!$B$16)*('SEC-IRBA'!$B$5)))*((1)-('SEC-IRBA'!$B$5)))-EXP((-1/(('Capital released'!$B$16)*('SEC-IRBA'!$B$5)))*MAX((I32)-('SEC-IRBA'!$B$5),0)))/((-1/(('Capital released'!$B$16)*('SEC-IRBA'!$B$5)))*(((1)-('SEC-IRBA'!$B$5))-MAX((I32)-('SEC-IRBA'!$B$5),0))),(('SEC-IRBA'!$B$5)-(I32))/((1)-(I32))+(1-(('SEC-IRBA'!$B$5)-(I32))/((1)-(I32)))*(EXP((-1/(('Capital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released'!$B$11=1,0.1,0.15),12.5*IF((1)&lt;=('SEC-IRBA'!$B$5),1,IF((I32)&gt;=('SEC-IRBA'!$B$5),(EXP((-1/(('Capital released'!$B$16)*('SEC-IRBA'!$B$5)))*((1)-('SEC-IRBA'!$B$5)))-EXP((-1/(('Capital released'!$B$16)*('SEC-IRBA'!$B$5)))*MAX((I32)-('SEC-IRBA'!$B$5),0)))/((-1/(('Capital released'!$B$16)*('SEC-IRBA'!$B$5)))*(((1)-('SEC-IRBA'!$B$5))-MAX((I32)-('SEC-IRBA'!$B$5),0))),(('SEC-IRBA'!$B$5)-(I32))/((1)-(I32))+(1-(('SEC-IRBA'!$B$5)-(I32))/((1)-(I32)))*(EXP((-1/(('Capital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released'!$B$11=1,0.1,0.15),12.5*IF((1)&lt;=('SEC-IRBA'!$B$5),1,IF((I32)&gt;=('SEC-IRBA'!$B$5),(EXP((-1/(('Capital released'!$B$16)*('SEC-IRBA'!$B$5)))*((1)-('SEC-IRBA'!$B$5)))-EXP((-1/(('Capital released'!$B$16)*('SEC-IRBA'!$B$5)))*MAX((I32)-('SEC-IRBA'!$B$5),0)))/((-1/(('Capital released'!$B$16)*('SEC-IRBA'!$B$5)))*(((1)-('SEC-IRBA'!$B$5))-MAX((I32)-('SEC-IRBA'!$B$5),0))),(('SEC-IRBA'!$B$5)-(I32))/((1)-(I32))+(1-(('SEC-IRBA'!$B$5)-(I32))/((1)-(I32)))*(EXP((-1/(('Capital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released'!$B$16)*('SEC-IRBA'!$B$5)))*(((1)-('SEC-IRBA'!$B$5))-MAX(('SEC-IRBA'!$B$5)-('SEC-IRBA'!$B$5),0))))))))*(1-I32)*'SEC-IRBA'!$B$13*'Capital released'!$B$9+I32*'SEC-IRBA'!$B$13*'Capital released'!$B$6)</f>
        <v>-1.50855201482773</v>
      </c>
    </row>
    <row r="33" customFormat="false" ht="15" hidden="false" customHeight="false" outlineLevel="0" collapsed="false">
      <c r="A33" s="4" t="n">
        <v>29</v>
      </c>
      <c r="B33" s="21" t="n">
        <f aca="false">IF(E32&gt;IF('Capital released'!$B$11=1,0.1,0.15),D32,B32)</f>
        <v>0.0973667488856289</v>
      </c>
      <c r="C33" s="21" t="n">
        <f aca="false">IF(E32&gt;IF('Capital released'!$B$11=1,0.1,0.15),C32,D32)</f>
        <v>0.0973667505059432</v>
      </c>
      <c r="D33" s="21" t="n">
        <f aca="false">(B33+C33)/2</f>
        <v>0.097366749695786</v>
      </c>
      <c r="E33" s="12" t="n">
        <f aca="false">12.5*IF((1)&lt;=('SEC-IRBA'!$B$5),1,IF((D33)&gt;=('SEC-IRBA'!$B$5),(EXP((-1/(('Capital released'!$B$16)*('SEC-IRBA'!$B$5)))*((1)-('SEC-IRBA'!$B$5)))-EXP((-1/(('Capital released'!$B$16)*('SEC-IRBA'!$B$5)))*MAX((D33)-('SEC-IRBA'!$B$5),0)))/((-1/(('Capital released'!$B$16)*('SEC-IRBA'!$B$5)))*(((1)-('SEC-IRBA'!$B$5))-MAX((D33)-('SEC-IRBA'!$B$5),0))),(('SEC-IRBA'!$B$5)-(D33))/((1)-(D33))+(1-(('SEC-IRBA'!$B$5)-(D33))/((1)-(D33)))*(EXP((-1/(('Capital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0.150000002087127</v>
      </c>
      <c r="G33" s="21" t="n">
        <f aca="false">IF(J32&lt;0,I32,G32)</f>
        <v>0.0354212915606849</v>
      </c>
      <c r="H33" s="21" t="n">
        <f aca="false">IF(J32&lt;0,H32,I32)</f>
        <v>0.0354212919706539</v>
      </c>
      <c r="I33" s="21" t="n">
        <f aca="false">(G33+H33)/2</f>
        <v>0.0354212917656694</v>
      </c>
      <c r="J33" s="13" t="n">
        <f aca="false">'Capital released'!$B$30-(IF('Capital released'!$B$12=1,MIN(MAX(IF('Capital released'!$B$11=1,0.1,0.15),12.5*IF((1)&lt;=('SEC-IRBA'!$B$5),1,IF((I33)&gt;=('SEC-IRBA'!$B$5),(EXP((-1/(('Capital released'!$B$16)*('SEC-IRBA'!$B$5)))*((1)-('SEC-IRBA'!$B$5)))-EXP((-1/(('Capital released'!$B$16)*('SEC-IRBA'!$B$5)))*MAX((I33)-('SEC-IRBA'!$B$5),0)))/((-1/(('Capital released'!$B$16)*('SEC-IRBA'!$B$5)))*(((1)-('SEC-IRBA'!$B$5))-MAX((I33)-('SEC-IRBA'!$B$5),0))),(('SEC-IRBA'!$B$5)-(I33))/((1)-(I33))+(1-(('SEC-IRBA'!$B$5)-(I33))/((1)-(I33)))*(EXP((-1/(('Capital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released'!$B$11=1,0.1,0.15),12.5*IF((1)&lt;=('SEC-IRBA'!$B$5),1,IF((I33)&gt;=('SEC-IRBA'!$B$5),(EXP((-1/(('Capital released'!$B$16)*('SEC-IRBA'!$B$5)))*((1)-('SEC-IRBA'!$B$5)))-EXP((-1/(('Capital released'!$B$16)*('SEC-IRBA'!$B$5)))*MAX((I33)-('SEC-IRBA'!$B$5),0)))/((-1/(('Capital released'!$B$16)*('SEC-IRBA'!$B$5)))*(((1)-('SEC-IRBA'!$B$5))-MAX((I33)-('SEC-IRBA'!$B$5),0))),(('SEC-IRBA'!$B$5)-(I33))/((1)-(I33))+(1-(('SEC-IRBA'!$B$5)-(I33))/((1)-(I33)))*(EXP((-1/(('Capital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released'!$B$11=1,0.1,0.15),12.5*IF((1)&lt;=('SEC-IRBA'!$B$5),1,IF((I33)&gt;=('SEC-IRBA'!$B$5),(EXP((-1/(('Capital released'!$B$16)*('SEC-IRBA'!$B$5)))*((1)-('SEC-IRBA'!$B$5)))-EXP((-1/(('Capital released'!$B$16)*('SEC-IRBA'!$B$5)))*MAX((I33)-('SEC-IRBA'!$B$5),0)))/((-1/(('Capital released'!$B$16)*('SEC-IRBA'!$B$5)))*(((1)-('SEC-IRBA'!$B$5))-MAX((I33)-('SEC-IRBA'!$B$5),0))),(('SEC-IRBA'!$B$5)-(I33))/((1)-(I33))+(1-(('SEC-IRBA'!$B$5)-(I33))/((1)-(I33)))*(EXP((-1/(('Capital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released'!$B$16)*('SEC-IRBA'!$B$5)))*(((1)-('SEC-IRBA'!$B$5))-MAX(('SEC-IRBA'!$B$5)-('SEC-IRBA'!$B$5),0))))))))*(1-I33)*'SEC-IRBA'!$B$13*'Capital released'!$B$9+I33*'SEC-IRBA'!$B$13*'Capital released'!$B$6)</f>
        <v>-0.165903508663178</v>
      </c>
    </row>
    <row r="34" customFormat="false" ht="15" hidden="false" customHeight="false" outlineLevel="0" collapsed="false">
      <c r="A34" s="4" t="n">
        <v>30</v>
      </c>
      <c r="B34" s="21" t="n">
        <f aca="false">IF(E33&gt;IF('Capital released'!$B$11=1,0.1,0.15),D33,B33)</f>
        <v>0.097366749695786</v>
      </c>
      <c r="C34" s="21" t="n">
        <f aca="false">IF(E33&gt;IF('Capital released'!$B$11=1,0.1,0.15),C33,D33)</f>
        <v>0.0973667505059432</v>
      </c>
      <c r="D34" s="21" t="n">
        <f aca="false">(B34+C34)/2</f>
        <v>0.0973667501008646</v>
      </c>
      <c r="E34" s="12" t="n">
        <f aca="false">12.5*IF((1)&lt;=('SEC-IRBA'!$B$5),1,IF((D34)&gt;=('SEC-IRBA'!$B$5),(EXP((-1/(('Capital released'!$B$16)*('SEC-IRBA'!$B$5)))*((1)-('SEC-IRBA'!$B$5)))-EXP((-1/(('Capital released'!$B$16)*('SEC-IRBA'!$B$5)))*MAX((D34)-('SEC-IRBA'!$B$5),0)))/((-1/(('Capital released'!$B$16)*('SEC-IRBA'!$B$5)))*(((1)-('SEC-IRBA'!$B$5))-MAX((D34)-('SEC-IRBA'!$B$5),0))),(('SEC-IRBA'!$B$5)-(D34))/((1)-(D34))+(1-(('SEC-IRBA'!$B$5)-(D34))/((1)-(D34)))*(EXP((-1/(('Capital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0.150000000185691</v>
      </c>
      <c r="G34" s="21" t="n">
        <f aca="false">IF(J33&lt;0,I33,G33)</f>
        <v>0.0354212917656694</v>
      </c>
      <c r="H34" s="21" t="n">
        <f aca="false">IF(J33&lt;0,H33,I33)</f>
        <v>0.0354212919706539</v>
      </c>
      <c r="I34" s="21" t="n">
        <f aca="false">(G34+H34)/2</f>
        <v>0.0354212918681617</v>
      </c>
      <c r="J34" s="13" t="n">
        <f aca="false">'Capital released'!$B$30-(IF('Capital released'!$B$12=1,MIN(MAX(IF('Capital released'!$B$11=1,0.1,0.15),12.5*IF((1)&lt;=('SEC-IRBA'!$B$5),1,IF((I34)&gt;=('SEC-IRBA'!$B$5),(EXP((-1/(('Capital released'!$B$16)*('SEC-IRBA'!$B$5)))*((1)-('SEC-IRBA'!$B$5)))-EXP((-1/(('Capital released'!$B$16)*('SEC-IRBA'!$B$5)))*MAX((I34)-('SEC-IRBA'!$B$5),0)))/((-1/(('Capital released'!$B$16)*('SEC-IRBA'!$B$5)))*(((1)-('SEC-IRBA'!$B$5))-MAX((I34)-('SEC-IRBA'!$B$5),0))),(('SEC-IRBA'!$B$5)-(I34))/((1)-(I34))+(1-(('SEC-IRBA'!$B$5)-(I34))/((1)-(I34)))*(EXP((-1/(('Capital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released'!$B$11=1,0.1,0.15),12.5*IF((1)&lt;=('SEC-IRBA'!$B$5),1,IF((I34)&gt;=('SEC-IRBA'!$B$5),(EXP((-1/(('Capital released'!$B$16)*('SEC-IRBA'!$B$5)))*((1)-('SEC-IRBA'!$B$5)))-EXP((-1/(('Capital released'!$B$16)*('SEC-IRBA'!$B$5)))*MAX((I34)-('SEC-IRBA'!$B$5),0)))/((-1/(('Capital released'!$B$16)*('SEC-IRBA'!$B$5)))*(((1)-('SEC-IRBA'!$B$5))-MAX((I34)-('SEC-IRBA'!$B$5),0))),(('SEC-IRBA'!$B$5)-(I34))/((1)-(I34))+(1-(('SEC-IRBA'!$B$5)-(I34))/((1)-(I34)))*(EXP((-1/(('Capital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released'!$B$11=1,0.1,0.15),12.5*IF((1)&lt;=('SEC-IRBA'!$B$5),1,IF((I34)&gt;=('SEC-IRBA'!$B$5),(EXP((-1/(('Capital released'!$B$16)*('SEC-IRBA'!$B$5)))*((1)-('SEC-IRBA'!$B$5)))-EXP((-1/(('Capital released'!$B$16)*('SEC-IRBA'!$B$5)))*MAX((I34)-('SEC-IRBA'!$B$5),0)))/((-1/(('Capital released'!$B$16)*('SEC-IRBA'!$B$5)))*(((1)-('SEC-IRBA'!$B$5))-MAX((I34)-('SEC-IRBA'!$B$5),0))),(('SEC-IRBA'!$B$5)-(I34))/((1)-(I34))+(1-(('SEC-IRBA'!$B$5)-(I34))/((1)-(I34)))*(EXP((-1/(('Capital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released'!$B$16)*('SEC-IRBA'!$B$5)))*(((1)-('SEC-IRBA'!$B$5))-MAX(('SEC-IRBA'!$B$5)-('SEC-IRBA'!$B$5),0))))))))*(1-I34)*'SEC-IRBA'!$B$13*'Capital released'!$B$9+I34*'SEC-IRBA'!$B$13*'Capital released'!$B$6)</f>
        <v>0.505420684814453</v>
      </c>
    </row>
    <row r="35" customFormat="false" ht="15" hidden="false" customHeight="false" outlineLevel="0" collapsed="false">
      <c r="A35" s="4" t="n">
        <v>31</v>
      </c>
      <c r="B35" s="21" t="n">
        <f aca="false">IF(E34&gt;IF('Capital released'!$B$11=1,0.1,0.15),D34,B34)</f>
        <v>0.0973667501008646</v>
      </c>
      <c r="C35" s="21" t="n">
        <f aca="false">IF(E34&gt;IF('Capital released'!$B$11=1,0.1,0.15),C34,D34)</f>
        <v>0.0973667505059432</v>
      </c>
      <c r="D35" s="21" t="n">
        <f aca="false">(B35+C35)/2</f>
        <v>0.0973667503034039</v>
      </c>
      <c r="E35" s="12" t="n">
        <f aca="false">12.5*IF((1)&lt;=('SEC-IRBA'!$B$5),1,IF((D35)&gt;=('SEC-IRBA'!$B$5),(EXP((-1/(('Capital released'!$B$16)*('SEC-IRBA'!$B$5)))*((1)-('SEC-IRBA'!$B$5)))-EXP((-1/(('Capital released'!$B$16)*('SEC-IRBA'!$B$5)))*MAX((D35)-('SEC-IRBA'!$B$5),0)))/((-1/(('Capital released'!$B$16)*('SEC-IRBA'!$B$5)))*(((1)-('SEC-IRBA'!$B$5))-MAX((D35)-('SEC-IRBA'!$B$5),0))),(('SEC-IRBA'!$B$5)-(D35))/((1)-(D35))+(1-(('SEC-IRBA'!$B$5)-(D35))/((1)-(D35)))*(EXP((-1/(('Capital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0.149999999234973</v>
      </c>
      <c r="G35" s="21" t="n">
        <f aca="false">IF(J34&lt;0,I34,G34)</f>
        <v>0.0354212917656694</v>
      </c>
      <c r="H35" s="21" t="n">
        <f aca="false">IF(J34&lt;0,H34,I34)</f>
        <v>0.0354212918681617</v>
      </c>
      <c r="I35" s="21" t="n">
        <f aca="false">(G35+H35)/2</f>
        <v>0.0354212918169156</v>
      </c>
      <c r="J35" s="13" t="n">
        <f aca="false">'Capital released'!$B$30-(IF('Capital released'!$B$12=1,MIN(MAX(IF('Capital released'!$B$11=1,0.1,0.15),12.5*IF((1)&lt;=('SEC-IRBA'!$B$5),1,IF((I35)&gt;=('SEC-IRBA'!$B$5),(EXP((-1/(('Capital released'!$B$16)*('SEC-IRBA'!$B$5)))*((1)-('SEC-IRBA'!$B$5)))-EXP((-1/(('Capital released'!$B$16)*('SEC-IRBA'!$B$5)))*MAX((I35)-('SEC-IRBA'!$B$5),0)))/((-1/(('Capital released'!$B$16)*('SEC-IRBA'!$B$5)))*(((1)-('SEC-IRBA'!$B$5))-MAX((I35)-('SEC-IRBA'!$B$5),0))),(('SEC-IRBA'!$B$5)-(I35))/((1)-(I35))+(1-(('SEC-IRBA'!$B$5)-(I35))/((1)-(I35)))*(EXP((-1/(('Capital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released'!$B$11=1,0.1,0.15),12.5*IF((1)&lt;=('SEC-IRBA'!$B$5),1,IF((I35)&gt;=('SEC-IRBA'!$B$5),(EXP((-1/(('Capital released'!$B$16)*('SEC-IRBA'!$B$5)))*((1)-('SEC-IRBA'!$B$5)))-EXP((-1/(('Capital released'!$B$16)*('SEC-IRBA'!$B$5)))*MAX((I35)-('SEC-IRBA'!$B$5),0)))/((-1/(('Capital released'!$B$16)*('SEC-IRBA'!$B$5)))*(((1)-('SEC-IRBA'!$B$5))-MAX((I35)-('SEC-IRBA'!$B$5),0))),(('SEC-IRBA'!$B$5)-(I35))/((1)-(I35))+(1-(('SEC-IRBA'!$B$5)-(I35))/((1)-(I35)))*(EXP((-1/(('Capital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released'!$B$11=1,0.1,0.15),12.5*IF((1)&lt;=('SEC-IRBA'!$B$5),1,IF((I35)&gt;=('SEC-IRBA'!$B$5),(EXP((-1/(('Capital released'!$B$16)*('SEC-IRBA'!$B$5)))*((1)-('SEC-IRBA'!$B$5)))-EXP((-1/(('Capital released'!$B$16)*('SEC-IRBA'!$B$5)))*MAX((I35)-('SEC-IRBA'!$B$5),0)))/((-1/(('Capital released'!$B$16)*('SEC-IRBA'!$B$5)))*(((1)-('SEC-IRBA'!$B$5))-MAX((I35)-('SEC-IRBA'!$B$5),0))),(('SEC-IRBA'!$B$5)-(I35))/((1)-(I35))+(1-(('SEC-IRBA'!$B$5)-(I35))/((1)-(I35)))*(EXP((-1/(('Capital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released'!$B$16)*('SEC-IRBA'!$B$5)))*(((1)-('SEC-IRBA'!$B$5))-MAX(('SEC-IRBA'!$B$5)-('SEC-IRBA'!$B$5),0))))))))*(1-I35)*'SEC-IRBA'!$B$13*'Capital released'!$B$9+I35*'SEC-IRBA'!$B$13*'Capital released'!$B$6)</f>
        <v>0.169758677482605</v>
      </c>
    </row>
    <row r="36" customFormat="false" ht="15" hidden="false" customHeight="false" outlineLevel="0" collapsed="false">
      <c r="A36" s="4" t="n">
        <v>32</v>
      </c>
      <c r="B36" s="21" t="n">
        <f aca="false">IF(E35&gt;IF('Capital released'!$B$11=1,0.1,0.15),D35,B35)</f>
        <v>0.0973667501008646</v>
      </c>
      <c r="C36" s="21" t="n">
        <f aca="false">IF(E35&gt;IF('Capital released'!$B$11=1,0.1,0.15),C35,D35)</f>
        <v>0.0973667503034039</v>
      </c>
      <c r="D36" s="21" t="n">
        <f aca="false">(B36+C36)/2</f>
        <v>0.0973667502021342</v>
      </c>
      <c r="E36" s="12" t="n">
        <f aca="false">12.5*IF((1)&lt;=('SEC-IRBA'!$B$5),1,IF((D36)&gt;=('SEC-IRBA'!$B$5),(EXP((-1/(('Capital released'!$B$16)*('SEC-IRBA'!$B$5)))*((1)-('SEC-IRBA'!$B$5)))-EXP((-1/(('Capital released'!$B$16)*('SEC-IRBA'!$B$5)))*MAX((D36)-('SEC-IRBA'!$B$5),0)))/((-1/(('Capital released'!$B$16)*('SEC-IRBA'!$B$5)))*(((1)-('SEC-IRBA'!$B$5))-MAX((D36)-('SEC-IRBA'!$B$5),0))),(('SEC-IRBA'!$B$5)-(D36))/((1)-(D36))+(1-(('SEC-IRBA'!$B$5)-(D36))/((1)-(D36)))*(EXP((-1/(('Capital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0.149999999710332</v>
      </c>
      <c r="G36" s="21" t="n">
        <f aca="false">IF(J35&lt;0,I35,G35)</f>
        <v>0.0354212917656694</v>
      </c>
      <c r="H36" s="21" t="n">
        <f aca="false">IF(J35&lt;0,H35,I35)</f>
        <v>0.0354212918169156</v>
      </c>
      <c r="I36" s="21" t="n">
        <f aca="false">(G36+H36)/2</f>
        <v>0.0354212917912925</v>
      </c>
      <c r="J36" s="13" t="n">
        <f aca="false">'Capital released'!$B$30-(IF('Capital released'!$B$12=1,MIN(MAX(IF('Capital released'!$B$11=1,0.1,0.15),12.5*IF((1)&lt;=('SEC-IRBA'!$B$5),1,IF((I36)&gt;=('SEC-IRBA'!$B$5),(EXP((-1/(('Capital released'!$B$16)*('SEC-IRBA'!$B$5)))*((1)-('SEC-IRBA'!$B$5)))-EXP((-1/(('Capital released'!$B$16)*('SEC-IRBA'!$B$5)))*MAX((I36)-('SEC-IRBA'!$B$5),0)))/((-1/(('Capital released'!$B$16)*('SEC-IRBA'!$B$5)))*(((1)-('SEC-IRBA'!$B$5))-MAX((I36)-('SEC-IRBA'!$B$5),0))),(('SEC-IRBA'!$B$5)-(I36))/((1)-(I36))+(1-(('SEC-IRBA'!$B$5)-(I36))/((1)-(I36)))*(EXP((-1/(('Capital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released'!$B$11=1,0.1,0.15),12.5*IF((1)&lt;=('SEC-IRBA'!$B$5),1,IF((I36)&gt;=('SEC-IRBA'!$B$5),(EXP((-1/(('Capital released'!$B$16)*('SEC-IRBA'!$B$5)))*((1)-('SEC-IRBA'!$B$5)))-EXP((-1/(('Capital released'!$B$16)*('SEC-IRBA'!$B$5)))*MAX((I36)-('SEC-IRBA'!$B$5),0)))/((-1/(('Capital released'!$B$16)*('SEC-IRBA'!$B$5)))*(((1)-('SEC-IRBA'!$B$5))-MAX((I36)-('SEC-IRBA'!$B$5),0))),(('SEC-IRBA'!$B$5)-(I36))/((1)-(I36))+(1-(('SEC-IRBA'!$B$5)-(I36))/((1)-(I36)))*(EXP((-1/(('Capital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released'!$B$11=1,0.1,0.15),12.5*IF((1)&lt;=('SEC-IRBA'!$B$5),1,IF((I36)&gt;=('SEC-IRBA'!$B$5),(EXP((-1/(('Capital released'!$B$16)*('SEC-IRBA'!$B$5)))*((1)-('SEC-IRBA'!$B$5)))-EXP((-1/(('Capital released'!$B$16)*('SEC-IRBA'!$B$5)))*MAX((I36)-('SEC-IRBA'!$B$5),0)))/((-1/(('Capital released'!$B$16)*('SEC-IRBA'!$B$5)))*(((1)-('SEC-IRBA'!$B$5))-MAX((I36)-('SEC-IRBA'!$B$5),0))),(('SEC-IRBA'!$B$5)-(I36))/((1)-(I36))+(1-(('SEC-IRBA'!$B$5)-(I36))/((1)-(I36)))*(EXP((-1/(('Capital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released'!$B$16)*('SEC-IRBA'!$B$5)))*(((1)-('SEC-IRBA'!$B$5))-MAX(('SEC-IRBA'!$B$5)-('SEC-IRBA'!$B$5),0))))))))*(1-I36)*'SEC-IRBA'!$B$13*'Capital released'!$B$9+I36*'SEC-IRBA'!$B$13*'Capital released'!$B$6)</f>
        <v>0.00192761421203613</v>
      </c>
    </row>
    <row r="37" customFormat="false" ht="15" hidden="false" customHeight="false" outlineLevel="0" collapsed="false">
      <c r="A37" s="4" t="n">
        <v>33</v>
      </c>
      <c r="B37" s="21" t="n">
        <f aca="false">IF(E36&gt;IF('Capital released'!$B$11=1,0.1,0.15),D36,B36)</f>
        <v>0.0973667501008646</v>
      </c>
      <c r="C37" s="21" t="n">
        <f aca="false">IF(E36&gt;IF('Capital released'!$B$11=1,0.1,0.15),C36,D36)</f>
        <v>0.0973667502021342</v>
      </c>
      <c r="D37" s="21" t="n">
        <f aca="false">(B37+C37)/2</f>
        <v>0.0973667501514994</v>
      </c>
      <c r="E37" s="12" t="n">
        <f aca="false">12.5*IF((1)&lt;=('SEC-IRBA'!$B$5),1,IF((D37)&gt;=('SEC-IRBA'!$B$5),(EXP((-1/(('Capital released'!$B$16)*('SEC-IRBA'!$B$5)))*((1)-('SEC-IRBA'!$B$5)))-EXP((-1/(('Capital released'!$B$16)*('SEC-IRBA'!$B$5)))*MAX((D37)-('SEC-IRBA'!$B$5),0)))/((-1/(('Capital released'!$B$16)*('SEC-IRBA'!$B$5)))*(((1)-('SEC-IRBA'!$B$5))-MAX((D37)-('SEC-IRBA'!$B$5),0))),(('SEC-IRBA'!$B$5)-(D37))/((1)-(D37))+(1-(('SEC-IRBA'!$B$5)-(D37))/((1)-(D37)))*(EXP((-1/(('Capital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0.149999999948011</v>
      </c>
      <c r="G37" s="21" t="n">
        <f aca="false">IF(J36&lt;0,I36,G36)</f>
        <v>0.0354212917656694</v>
      </c>
      <c r="H37" s="21" t="n">
        <f aca="false">IF(J36&lt;0,H36,I36)</f>
        <v>0.0354212917912925</v>
      </c>
      <c r="I37" s="21" t="n">
        <f aca="false">(G37+H37)/2</f>
        <v>0.035421291778481</v>
      </c>
      <c r="J37" s="13" t="n">
        <f aca="false">'Capital released'!$B$30-(IF('Capital released'!$B$12=1,MIN(MAX(IF('Capital released'!$B$11=1,0.1,0.15),12.5*IF((1)&lt;=('SEC-IRBA'!$B$5),1,IF((I37)&gt;=('SEC-IRBA'!$B$5),(EXP((-1/(('Capital released'!$B$16)*('SEC-IRBA'!$B$5)))*((1)-('SEC-IRBA'!$B$5)))-EXP((-1/(('Capital released'!$B$16)*('SEC-IRBA'!$B$5)))*MAX((I37)-('SEC-IRBA'!$B$5),0)))/((-1/(('Capital released'!$B$16)*('SEC-IRBA'!$B$5)))*(((1)-('SEC-IRBA'!$B$5))-MAX((I37)-('SEC-IRBA'!$B$5),0))),(('SEC-IRBA'!$B$5)-(I37))/((1)-(I37))+(1-(('SEC-IRBA'!$B$5)-(I37))/((1)-(I37)))*(EXP((-1/(('Capital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released'!$B$11=1,0.1,0.15),12.5*IF((1)&lt;=('SEC-IRBA'!$B$5),1,IF((I37)&gt;=('SEC-IRBA'!$B$5),(EXP((-1/(('Capital released'!$B$16)*('SEC-IRBA'!$B$5)))*((1)-('SEC-IRBA'!$B$5)))-EXP((-1/(('Capital released'!$B$16)*('SEC-IRBA'!$B$5)))*MAX((I37)-('SEC-IRBA'!$B$5),0)))/((-1/(('Capital released'!$B$16)*('SEC-IRBA'!$B$5)))*(((1)-('SEC-IRBA'!$B$5))-MAX((I37)-('SEC-IRBA'!$B$5),0))),(('SEC-IRBA'!$B$5)-(I37))/((1)-(I37))+(1-(('SEC-IRBA'!$B$5)-(I37))/((1)-(I37)))*(EXP((-1/(('Capital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released'!$B$11=1,0.1,0.15),12.5*IF((1)&lt;=('SEC-IRBA'!$B$5),1,IF((I37)&gt;=('SEC-IRBA'!$B$5),(EXP((-1/(('Capital released'!$B$16)*('SEC-IRBA'!$B$5)))*((1)-('SEC-IRBA'!$B$5)))-EXP((-1/(('Capital released'!$B$16)*('SEC-IRBA'!$B$5)))*MAX((I37)-('SEC-IRBA'!$B$5),0)))/((-1/(('Capital released'!$B$16)*('SEC-IRBA'!$B$5)))*(((1)-('SEC-IRBA'!$B$5))-MAX((I37)-('SEC-IRBA'!$B$5),0))),(('SEC-IRBA'!$B$5)-(I37))/((1)-(I37))+(1-(('SEC-IRBA'!$B$5)-(I37))/((1)-(I37)))*(EXP((-1/(('Capital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released'!$B$16)*('SEC-IRBA'!$B$5)))*(((1)-('SEC-IRBA'!$B$5))-MAX(('SEC-IRBA'!$B$5)-('SEC-IRBA'!$B$5),0))))))))*(1-I37)*'SEC-IRBA'!$B$13*'Capital released'!$B$9+I37*'SEC-IRBA'!$B$13*'Capital released'!$B$6)</f>
        <v>-0.0819879174232483</v>
      </c>
    </row>
    <row r="38" customFormat="false" ht="15" hidden="false" customHeight="false" outlineLevel="0" collapsed="false">
      <c r="A38" s="4" t="n">
        <v>34</v>
      </c>
      <c r="B38" s="21" t="n">
        <f aca="false">IF(E37&gt;IF('Capital released'!$B$11=1,0.1,0.15),D37,B37)</f>
        <v>0.0973667501008646</v>
      </c>
      <c r="C38" s="21" t="n">
        <f aca="false">IF(E37&gt;IF('Capital released'!$B$11=1,0.1,0.15),C37,D37)</f>
        <v>0.0973667501514994</v>
      </c>
      <c r="D38" s="21" t="n">
        <f aca="false">(B38+C38)/2</f>
        <v>0.097366750126182</v>
      </c>
      <c r="E38" s="12" t="n">
        <f aca="false">12.5*IF((1)&lt;=('SEC-IRBA'!$B$5),1,IF((D38)&gt;=('SEC-IRBA'!$B$5),(EXP((-1/(('Capital released'!$B$16)*('SEC-IRBA'!$B$5)))*((1)-('SEC-IRBA'!$B$5)))-EXP((-1/(('Capital released'!$B$16)*('SEC-IRBA'!$B$5)))*MAX((D38)-('SEC-IRBA'!$B$5),0)))/((-1/(('Capital released'!$B$16)*('SEC-IRBA'!$B$5)))*(((1)-('SEC-IRBA'!$B$5))-MAX((D38)-('SEC-IRBA'!$B$5),0))),(('SEC-IRBA'!$B$5)-(D38))/((1)-(D38))+(1-(('SEC-IRBA'!$B$5)-(D38))/((1)-(D38)))*(EXP((-1/(('Capital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0.150000000066851</v>
      </c>
      <c r="G38" s="21" t="n">
        <f aca="false">IF(J37&lt;0,I37,G37)</f>
        <v>0.035421291778481</v>
      </c>
      <c r="H38" s="21" t="n">
        <f aca="false">IF(J37&lt;0,H37,I37)</f>
        <v>0.0354212917912925</v>
      </c>
      <c r="I38" s="21" t="n">
        <f aca="false">(G38+H38)/2</f>
        <v>0.0354212917848867</v>
      </c>
      <c r="J38" s="13" t="n">
        <f aca="false">'Capital released'!$B$30-(IF('Capital released'!$B$12=1,MIN(MAX(IF('Capital released'!$B$11=1,0.1,0.15),12.5*IF((1)&lt;=('SEC-IRBA'!$B$5),1,IF((I38)&gt;=('SEC-IRBA'!$B$5),(EXP((-1/(('Capital released'!$B$16)*('SEC-IRBA'!$B$5)))*((1)-('SEC-IRBA'!$B$5)))-EXP((-1/(('Capital released'!$B$16)*('SEC-IRBA'!$B$5)))*MAX((I38)-('SEC-IRBA'!$B$5),0)))/((-1/(('Capital released'!$B$16)*('SEC-IRBA'!$B$5)))*(((1)-('SEC-IRBA'!$B$5))-MAX((I38)-('SEC-IRBA'!$B$5),0))),(('SEC-IRBA'!$B$5)-(I38))/((1)-(I38))+(1-(('SEC-IRBA'!$B$5)-(I38))/((1)-(I38)))*(EXP((-1/(('Capital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released'!$B$11=1,0.1,0.15),12.5*IF((1)&lt;=('SEC-IRBA'!$B$5),1,IF((I38)&gt;=('SEC-IRBA'!$B$5),(EXP((-1/(('Capital released'!$B$16)*('SEC-IRBA'!$B$5)))*((1)-('SEC-IRBA'!$B$5)))-EXP((-1/(('Capital released'!$B$16)*('SEC-IRBA'!$B$5)))*MAX((I38)-('SEC-IRBA'!$B$5),0)))/((-1/(('Capital released'!$B$16)*('SEC-IRBA'!$B$5)))*(((1)-('SEC-IRBA'!$B$5))-MAX((I38)-('SEC-IRBA'!$B$5),0))),(('SEC-IRBA'!$B$5)-(I38))/((1)-(I38))+(1-(('SEC-IRBA'!$B$5)-(I38))/((1)-(I38)))*(EXP((-1/(('Capital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released'!$B$11=1,0.1,0.15),12.5*IF((1)&lt;=('SEC-IRBA'!$B$5),1,IF((I38)&gt;=('SEC-IRBA'!$B$5),(EXP((-1/(('Capital released'!$B$16)*('SEC-IRBA'!$B$5)))*((1)-('SEC-IRBA'!$B$5)))-EXP((-1/(('Capital released'!$B$16)*('SEC-IRBA'!$B$5)))*MAX((I38)-('SEC-IRBA'!$B$5),0)))/((-1/(('Capital released'!$B$16)*('SEC-IRBA'!$B$5)))*(((1)-('SEC-IRBA'!$B$5))-MAX((I38)-('SEC-IRBA'!$B$5),0))),(('SEC-IRBA'!$B$5)-(I38))/((1)-(I38))+(1-(('SEC-IRBA'!$B$5)-(I38))/((1)-(I38)))*(EXP((-1/(('Capital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released'!$B$16)*('SEC-IRBA'!$B$5)))*(((1)-('SEC-IRBA'!$B$5))-MAX(('SEC-IRBA'!$B$5)-('SEC-IRBA'!$B$5),0))))))))*(1-I38)*'SEC-IRBA'!$B$13*'Capital released'!$B$9+I38*'SEC-IRBA'!$B$13*'Capital released'!$B$6)</f>
        <v>-0.0400302410125732</v>
      </c>
    </row>
    <row r="39" customFormat="false" ht="15" hidden="false" customHeight="false" outlineLevel="0" collapsed="false">
      <c r="A39" s="4" t="n">
        <v>35</v>
      </c>
      <c r="B39" s="21" t="n">
        <f aca="false">IF(E38&gt;IF('Capital released'!$B$11=1,0.1,0.15),D38,B38)</f>
        <v>0.097366750126182</v>
      </c>
      <c r="C39" s="21" t="n">
        <f aca="false">IF(E38&gt;IF('Capital released'!$B$11=1,0.1,0.15),C38,D38)</f>
        <v>0.0973667501514994</v>
      </c>
      <c r="D39" s="21" t="n">
        <f aca="false">(B39+C39)/2</f>
        <v>0.0973667501388407</v>
      </c>
      <c r="E39" s="12" t="n">
        <f aca="false">12.5*IF((1)&lt;=('SEC-IRBA'!$B$5),1,IF((D39)&gt;=('SEC-IRBA'!$B$5),(EXP((-1/(('Capital released'!$B$16)*('SEC-IRBA'!$B$5)))*((1)-('SEC-IRBA'!$B$5)))-EXP((-1/(('Capital released'!$B$16)*('SEC-IRBA'!$B$5)))*MAX((D39)-('SEC-IRBA'!$B$5),0)))/((-1/(('Capital released'!$B$16)*('SEC-IRBA'!$B$5)))*(((1)-('SEC-IRBA'!$B$5))-MAX((D39)-('SEC-IRBA'!$B$5),0))),(('SEC-IRBA'!$B$5)-(D39))/((1)-(D39))+(1-(('SEC-IRBA'!$B$5)-(D39))/((1)-(D39)))*(EXP((-1/(('Capital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0.150000000007431</v>
      </c>
      <c r="G39" s="21" t="n">
        <f aca="false">IF(J38&lt;0,I38,G38)</f>
        <v>0.0354212917848867</v>
      </c>
      <c r="H39" s="21" t="n">
        <f aca="false">IF(J38&lt;0,H38,I38)</f>
        <v>0.0354212917912925</v>
      </c>
      <c r="I39" s="21" t="n">
        <f aca="false">(G39+H39)/2</f>
        <v>0.0354212917880896</v>
      </c>
      <c r="J39" s="13" t="n">
        <f aca="false">'Capital released'!$B$30-(IF('Capital released'!$B$12=1,MIN(MAX(IF('Capital released'!$B$11=1,0.1,0.15),12.5*IF((1)&lt;=('SEC-IRBA'!$B$5),1,IF((I39)&gt;=('SEC-IRBA'!$B$5),(EXP((-1/(('Capital released'!$B$16)*('SEC-IRBA'!$B$5)))*((1)-('SEC-IRBA'!$B$5)))-EXP((-1/(('Capital released'!$B$16)*('SEC-IRBA'!$B$5)))*MAX((I39)-('SEC-IRBA'!$B$5),0)))/((-1/(('Capital released'!$B$16)*('SEC-IRBA'!$B$5)))*(((1)-('SEC-IRBA'!$B$5))-MAX((I39)-('SEC-IRBA'!$B$5),0))),(('SEC-IRBA'!$B$5)-(I39))/((1)-(I39))+(1-(('SEC-IRBA'!$B$5)-(I39))/((1)-(I39)))*(EXP((-1/(('Capital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released'!$B$11=1,0.1,0.15),12.5*IF((1)&lt;=('SEC-IRBA'!$B$5),1,IF((I39)&gt;=('SEC-IRBA'!$B$5),(EXP((-1/(('Capital released'!$B$16)*('SEC-IRBA'!$B$5)))*((1)-('SEC-IRBA'!$B$5)))-EXP((-1/(('Capital released'!$B$16)*('SEC-IRBA'!$B$5)))*MAX((I39)-('SEC-IRBA'!$B$5),0)))/((-1/(('Capital released'!$B$16)*('SEC-IRBA'!$B$5)))*(((1)-('SEC-IRBA'!$B$5))-MAX((I39)-('SEC-IRBA'!$B$5),0))),(('SEC-IRBA'!$B$5)-(I39))/((1)-(I39))+(1-(('SEC-IRBA'!$B$5)-(I39))/((1)-(I39)))*(EXP((-1/(('Capital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released'!$B$11=1,0.1,0.15),12.5*IF((1)&lt;=('SEC-IRBA'!$B$5),1,IF((I39)&gt;=('SEC-IRBA'!$B$5),(EXP((-1/(('Capital released'!$B$16)*('SEC-IRBA'!$B$5)))*((1)-('SEC-IRBA'!$B$5)))-EXP((-1/(('Capital released'!$B$16)*('SEC-IRBA'!$B$5)))*MAX((I39)-('SEC-IRBA'!$B$5),0)))/((-1/(('Capital released'!$B$16)*('SEC-IRBA'!$B$5)))*(((1)-('SEC-IRBA'!$B$5))-MAX((I39)-('SEC-IRBA'!$B$5),0))),(('SEC-IRBA'!$B$5)-(I39))/((1)-(I39))+(1-(('SEC-IRBA'!$B$5)-(I39))/((1)-(I39)))*(EXP((-1/(('Capital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released'!$B$16)*('SEC-IRBA'!$B$5)))*(((1)-('SEC-IRBA'!$B$5))-MAX(('SEC-IRBA'!$B$5)-('SEC-IRBA'!$B$5),0))))))))*(1-I39)*'SEC-IRBA'!$B$13*'Capital released'!$B$9+I39*'SEC-IRBA'!$B$13*'Capital released'!$B$6)</f>
        <v>-0.0190513134002686</v>
      </c>
    </row>
    <row r="40" customFormat="false" ht="15" hidden="false" customHeight="false" outlineLevel="0" collapsed="false">
      <c r="A40" s="4" t="n">
        <v>36</v>
      </c>
      <c r="B40" s="21" t="n">
        <f aca="false">IF(E39&gt;IF('Capital released'!$B$11=1,0.1,0.15),D39,B39)</f>
        <v>0.0973667501388407</v>
      </c>
      <c r="C40" s="21" t="n">
        <f aca="false">IF(E39&gt;IF('Capital released'!$B$11=1,0.1,0.15),C39,D39)</f>
        <v>0.0973667501514994</v>
      </c>
      <c r="D40" s="21" t="n">
        <f aca="false">(B40+C40)/2</f>
        <v>0.0973667501451701</v>
      </c>
      <c r="E40" s="12" t="n">
        <f aca="false">12.5*IF((1)&lt;=('SEC-IRBA'!$B$5),1,IF((D40)&gt;=('SEC-IRBA'!$B$5),(EXP((-1/(('Capital released'!$B$16)*('SEC-IRBA'!$B$5)))*((1)-('SEC-IRBA'!$B$5)))-EXP((-1/(('Capital released'!$B$16)*('SEC-IRBA'!$B$5)))*MAX((D40)-('SEC-IRBA'!$B$5),0)))/((-1/(('Capital released'!$B$16)*('SEC-IRBA'!$B$5)))*(((1)-('SEC-IRBA'!$B$5))-MAX((D40)-('SEC-IRBA'!$B$5),0))),(('SEC-IRBA'!$B$5)-(D40))/((1)-(D40))+(1-(('SEC-IRBA'!$B$5)-(D40))/((1)-(D40)))*(EXP((-1/(('Capital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0.149999999977721</v>
      </c>
      <c r="G40" s="21" t="n">
        <f aca="false">IF(J39&lt;0,I39,G39)</f>
        <v>0.0354212917880896</v>
      </c>
      <c r="H40" s="21" t="n">
        <f aca="false">IF(J39&lt;0,H39,I39)</f>
        <v>0.0354212917912925</v>
      </c>
      <c r="I40" s="21" t="n">
        <f aca="false">(G40+H40)/2</f>
        <v>0.0354212917896911</v>
      </c>
      <c r="J40" s="13" t="n">
        <f aca="false">'Capital released'!$B$30-(IF('Capital released'!$B$12=1,MIN(MAX(IF('Capital released'!$B$11=1,0.1,0.15),12.5*IF((1)&lt;=('SEC-IRBA'!$B$5),1,IF((I40)&gt;=('SEC-IRBA'!$B$5),(EXP((-1/(('Capital released'!$B$16)*('SEC-IRBA'!$B$5)))*((1)-('SEC-IRBA'!$B$5)))-EXP((-1/(('Capital released'!$B$16)*('SEC-IRBA'!$B$5)))*MAX((I40)-('SEC-IRBA'!$B$5),0)))/((-1/(('Capital released'!$B$16)*('SEC-IRBA'!$B$5)))*(((1)-('SEC-IRBA'!$B$5))-MAX((I40)-('SEC-IRBA'!$B$5),0))),(('SEC-IRBA'!$B$5)-(I40))/((1)-(I40))+(1-(('SEC-IRBA'!$B$5)-(I40))/((1)-(I40)))*(EXP((-1/(('Capital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released'!$B$11=1,0.1,0.15),12.5*IF((1)&lt;=('SEC-IRBA'!$B$5),1,IF((I40)&gt;=('SEC-IRBA'!$B$5),(EXP((-1/(('Capital released'!$B$16)*('SEC-IRBA'!$B$5)))*((1)-('SEC-IRBA'!$B$5)))-EXP((-1/(('Capital released'!$B$16)*('SEC-IRBA'!$B$5)))*MAX((I40)-('SEC-IRBA'!$B$5),0)))/((-1/(('Capital released'!$B$16)*('SEC-IRBA'!$B$5)))*(((1)-('SEC-IRBA'!$B$5))-MAX((I40)-('SEC-IRBA'!$B$5),0))),(('SEC-IRBA'!$B$5)-(I40))/((1)-(I40))+(1-(('SEC-IRBA'!$B$5)-(I40))/((1)-(I40)))*(EXP((-1/(('Capital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released'!$B$11=1,0.1,0.15),12.5*IF((1)&lt;=('SEC-IRBA'!$B$5),1,IF((I40)&gt;=('SEC-IRBA'!$B$5),(EXP((-1/(('Capital released'!$B$16)*('SEC-IRBA'!$B$5)))*((1)-('SEC-IRBA'!$B$5)))-EXP((-1/(('Capital released'!$B$16)*('SEC-IRBA'!$B$5)))*MAX((I40)-('SEC-IRBA'!$B$5),0)))/((-1/(('Capital released'!$B$16)*('SEC-IRBA'!$B$5)))*(((1)-('SEC-IRBA'!$B$5))-MAX((I40)-('SEC-IRBA'!$B$5),0))),(('SEC-IRBA'!$B$5)-(I40))/((1)-(I40))+(1-(('SEC-IRBA'!$B$5)-(I40))/((1)-(I40)))*(EXP((-1/(('Capital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released'!$B$16)*('SEC-IRBA'!$B$5)))*(((1)-('SEC-IRBA'!$B$5))-MAX(('SEC-IRBA'!$B$5)-('SEC-IRBA'!$B$5),0))))))))*(1-I40)*'SEC-IRBA'!$B$13*'Capital released'!$B$9+I40*'SEC-IRBA'!$B$13*'Capital released'!$B$6)</f>
        <v>-0.00856190919876099</v>
      </c>
    </row>
    <row r="41" customFormat="false" ht="15" hidden="false" customHeight="false" outlineLevel="0" collapsed="false">
      <c r="A41" s="4" t="n">
        <v>37</v>
      </c>
      <c r="B41" s="21" t="n">
        <f aca="false">IF(E40&gt;IF('Capital released'!$B$11=1,0.1,0.15),D40,B40)</f>
        <v>0.0973667501388407</v>
      </c>
      <c r="C41" s="21" t="n">
        <f aca="false">IF(E40&gt;IF('Capital released'!$B$11=1,0.1,0.15),C40,D40)</f>
        <v>0.0973667501451701</v>
      </c>
      <c r="D41" s="21" t="n">
        <f aca="false">(B41+C41)/2</f>
        <v>0.0973667501420054</v>
      </c>
      <c r="E41" s="12" t="n">
        <f aca="false">12.5*IF((1)&lt;=('SEC-IRBA'!$B$5),1,IF((D41)&gt;=('SEC-IRBA'!$B$5),(EXP((-1/(('Capital released'!$B$16)*('SEC-IRBA'!$B$5)))*((1)-('SEC-IRBA'!$B$5)))-EXP((-1/(('Capital released'!$B$16)*('SEC-IRBA'!$B$5)))*MAX((D41)-('SEC-IRBA'!$B$5),0)))/((-1/(('Capital released'!$B$16)*('SEC-IRBA'!$B$5)))*(((1)-('SEC-IRBA'!$B$5))-MAX((D41)-('SEC-IRBA'!$B$5),0))),(('SEC-IRBA'!$B$5)-(D41))/((1)-(D41))+(1-(('SEC-IRBA'!$B$5)-(D41))/((1)-(D41)))*(EXP((-1/(('Capital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0.149999999992576</v>
      </c>
      <c r="G41" s="21" t="n">
        <f aca="false">IF(J40&lt;0,I40,G40)</f>
        <v>0.0354212917896911</v>
      </c>
      <c r="H41" s="21" t="n">
        <f aca="false">IF(J40&lt;0,H40,I40)</f>
        <v>0.0354212917912925</v>
      </c>
      <c r="I41" s="21" t="n">
        <f aca="false">(G41+H41)/2</f>
        <v>0.0354212917904918</v>
      </c>
      <c r="J41" s="13" t="n">
        <f aca="false">'Capital released'!$B$30-(IF('Capital released'!$B$12=1,MIN(MAX(IF('Capital released'!$B$11=1,0.1,0.15),12.5*IF((1)&lt;=('SEC-IRBA'!$B$5),1,IF((I41)&gt;=('SEC-IRBA'!$B$5),(EXP((-1/(('Capital released'!$B$16)*('SEC-IRBA'!$B$5)))*((1)-('SEC-IRBA'!$B$5)))-EXP((-1/(('Capital released'!$B$16)*('SEC-IRBA'!$B$5)))*MAX((I41)-('SEC-IRBA'!$B$5),0)))/((-1/(('Capital released'!$B$16)*('SEC-IRBA'!$B$5)))*(((1)-('SEC-IRBA'!$B$5))-MAX((I41)-('SEC-IRBA'!$B$5),0))),(('SEC-IRBA'!$B$5)-(I41))/((1)-(I41))+(1-(('SEC-IRBA'!$B$5)-(I41))/((1)-(I41)))*(EXP((-1/(('Capital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released'!$B$11=1,0.1,0.15),12.5*IF((1)&lt;=('SEC-IRBA'!$B$5),1,IF((I41)&gt;=('SEC-IRBA'!$B$5),(EXP((-1/(('Capital released'!$B$16)*('SEC-IRBA'!$B$5)))*((1)-('SEC-IRBA'!$B$5)))-EXP((-1/(('Capital released'!$B$16)*('SEC-IRBA'!$B$5)))*MAX((I41)-('SEC-IRBA'!$B$5),0)))/((-1/(('Capital released'!$B$16)*('SEC-IRBA'!$B$5)))*(((1)-('SEC-IRBA'!$B$5))-MAX((I41)-('SEC-IRBA'!$B$5),0))),(('SEC-IRBA'!$B$5)-(I41))/((1)-(I41))+(1-(('SEC-IRBA'!$B$5)-(I41))/((1)-(I41)))*(EXP((-1/(('Capital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released'!$B$11=1,0.1,0.15),12.5*IF((1)&lt;=('SEC-IRBA'!$B$5),1,IF((I41)&gt;=('SEC-IRBA'!$B$5),(EXP((-1/(('Capital released'!$B$16)*('SEC-IRBA'!$B$5)))*((1)-('SEC-IRBA'!$B$5)))-EXP((-1/(('Capital released'!$B$16)*('SEC-IRBA'!$B$5)))*MAX((I41)-('SEC-IRBA'!$B$5),0)))/((-1/(('Capital released'!$B$16)*('SEC-IRBA'!$B$5)))*(((1)-('SEC-IRBA'!$B$5))-MAX((I41)-('SEC-IRBA'!$B$5),0))),(('SEC-IRBA'!$B$5)-(I41))/((1)-(I41))+(1-(('SEC-IRBA'!$B$5)-(I41))/((1)-(I41)))*(EXP((-1/(('Capital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released'!$B$16)*('SEC-IRBA'!$B$5)))*(((1)-('SEC-IRBA'!$B$5))-MAX(('SEC-IRBA'!$B$5)-('SEC-IRBA'!$B$5),0))))))))*(1-I41)*'SEC-IRBA'!$B$13*'Capital released'!$B$9+I41*'SEC-IRBA'!$B$13*'Capital released'!$B$6)</f>
        <v>-0.00331711769104004</v>
      </c>
    </row>
    <row r="42" customFormat="false" ht="15" hidden="false" customHeight="false" outlineLevel="0" collapsed="false">
      <c r="A42" s="4" t="n">
        <v>38</v>
      </c>
      <c r="B42" s="21" t="n">
        <f aca="false">IF(E41&gt;IF('Capital released'!$B$11=1,0.1,0.15),D41,B41)</f>
        <v>0.0973667501388407</v>
      </c>
      <c r="C42" s="21" t="n">
        <f aca="false">IF(E41&gt;IF('Capital released'!$B$11=1,0.1,0.15),C41,D41)</f>
        <v>0.0973667501420054</v>
      </c>
      <c r="D42" s="21" t="n">
        <f aca="false">(B42+C42)/2</f>
        <v>0.0973667501404231</v>
      </c>
      <c r="E42" s="12" t="n">
        <f aca="false">12.5*IF((1)&lt;=('SEC-IRBA'!$B$5),1,IF((D42)&gt;=('SEC-IRBA'!$B$5),(EXP((-1/(('Capital released'!$B$16)*('SEC-IRBA'!$B$5)))*((1)-('SEC-IRBA'!$B$5)))-EXP((-1/(('Capital released'!$B$16)*('SEC-IRBA'!$B$5)))*MAX((D42)-('SEC-IRBA'!$B$5),0)))/((-1/(('Capital released'!$B$16)*('SEC-IRBA'!$B$5)))*(((1)-('SEC-IRBA'!$B$5))-MAX((D42)-('SEC-IRBA'!$B$5),0))),(('SEC-IRBA'!$B$5)-(D42))/((1)-(D42))+(1-(('SEC-IRBA'!$B$5)-(D42))/((1)-(D42)))*(EXP((-1/(('Capital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0.150000000000004</v>
      </c>
      <c r="G42" s="21" t="n">
        <f aca="false">IF(J41&lt;0,I41,G41)</f>
        <v>0.0354212917904918</v>
      </c>
      <c r="H42" s="21" t="n">
        <f aca="false">IF(J41&lt;0,H41,I41)</f>
        <v>0.0354212917912925</v>
      </c>
      <c r="I42" s="21" t="n">
        <f aca="false">(G42+H42)/2</f>
        <v>0.0354212917908921</v>
      </c>
      <c r="J42" s="13" t="n">
        <f aca="false">'Capital released'!$B$30-(IF('Capital released'!$B$12=1,MIN(MAX(IF('Capital released'!$B$11=1,0.1,0.15),12.5*IF((1)&lt;=('SEC-IRBA'!$B$5),1,IF((I42)&gt;=('SEC-IRBA'!$B$5),(EXP((-1/(('Capital released'!$B$16)*('SEC-IRBA'!$B$5)))*((1)-('SEC-IRBA'!$B$5)))-EXP((-1/(('Capital released'!$B$16)*('SEC-IRBA'!$B$5)))*MAX((I42)-('SEC-IRBA'!$B$5),0)))/((-1/(('Capital released'!$B$16)*('SEC-IRBA'!$B$5)))*(((1)-('SEC-IRBA'!$B$5))-MAX((I42)-('SEC-IRBA'!$B$5),0))),(('SEC-IRBA'!$B$5)-(I42))/((1)-(I42))+(1-(('SEC-IRBA'!$B$5)-(I42))/((1)-(I42)))*(EXP((-1/(('Capital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released'!$B$11=1,0.1,0.15),12.5*IF((1)&lt;=('SEC-IRBA'!$B$5),1,IF((I42)&gt;=('SEC-IRBA'!$B$5),(EXP((-1/(('Capital released'!$B$16)*('SEC-IRBA'!$B$5)))*((1)-('SEC-IRBA'!$B$5)))-EXP((-1/(('Capital released'!$B$16)*('SEC-IRBA'!$B$5)))*MAX((I42)-('SEC-IRBA'!$B$5),0)))/((-1/(('Capital released'!$B$16)*('SEC-IRBA'!$B$5)))*(((1)-('SEC-IRBA'!$B$5))-MAX((I42)-('SEC-IRBA'!$B$5),0))),(('SEC-IRBA'!$B$5)-(I42))/((1)-(I42))+(1-(('SEC-IRBA'!$B$5)-(I42))/((1)-(I42)))*(EXP((-1/(('Capital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released'!$B$11=1,0.1,0.15),12.5*IF((1)&lt;=('SEC-IRBA'!$B$5),1,IF((I42)&gt;=('SEC-IRBA'!$B$5),(EXP((-1/(('Capital released'!$B$16)*('SEC-IRBA'!$B$5)))*((1)-('SEC-IRBA'!$B$5)))-EXP((-1/(('Capital released'!$B$16)*('SEC-IRBA'!$B$5)))*MAX((I42)-('SEC-IRBA'!$B$5),0)))/((-1/(('Capital released'!$B$16)*('SEC-IRBA'!$B$5)))*(((1)-('SEC-IRBA'!$B$5))-MAX((I42)-('SEC-IRBA'!$B$5),0))),(('SEC-IRBA'!$B$5)-(I42))/((1)-(I42))+(1-(('SEC-IRBA'!$B$5)-(I42))/((1)-(I42)))*(EXP((-1/(('Capital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released'!$B$16)*('SEC-IRBA'!$B$5)))*(((1)-('SEC-IRBA'!$B$5))-MAX(('SEC-IRBA'!$B$5)-('SEC-IRBA'!$B$5),0))))))))*(1-I42)*'SEC-IRBA'!$B$13*'Capital released'!$B$9+I42*'SEC-IRBA'!$B$13*'Capital released'!$B$6)</f>
        <v>-0.000694870948791504</v>
      </c>
    </row>
    <row r="43" customFormat="false" ht="15" hidden="false" customHeight="false" outlineLevel="0" collapsed="false">
      <c r="A43" s="4" t="n">
        <v>39</v>
      </c>
      <c r="B43" s="21" t="n">
        <f aca="false">IF(E42&gt;IF('Capital released'!$B$11=1,0.1,0.15),D42,B42)</f>
        <v>0.0973667501404231</v>
      </c>
      <c r="C43" s="21" t="n">
        <f aca="false">IF(E42&gt;IF('Capital released'!$B$11=1,0.1,0.15),C42,D42)</f>
        <v>0.0973667501420054</v>
      </c>
      <c r="D43" s="21" t="n">
        <f aca="false">(B43+C43)/2</f>
        <v>0.0973667501412142</v>
      </c>
      <c r="E43" s="12" t="n">
        <f aca="false">12.5*IF((1)&lt;=('SEC-IRBA'!$B$5),1,IF((D43)&gt;=('SEC-IRBA'!$B$5),(EXP((-1/(('Capital released'!$B$16)*('SEC-IRBA'!$B$5)))*((1)-('SEC-IRBA'!$B$5)))-EXP((-1/(('Capital released'!$B$16)*('SEC-IRBA'!$B$5)))*MAX((D43)-('SEC-IRBA'!$B$5),0)))/((-1/(('Capital released'!$B$16)*('SEC-IRBA'!$B$5)))*(((1)-('SEC-IRBA'!$B$5))-MAX((D43)-('SEC-IRBA'!$B$5),0))),(('SEC-IRBA'!$B$5)-(D43))/((1)-(D43))+(1-(('SEC-IRBA'!$B$5)-(D43))/((1)-(D43)))*(EXP((-1/(('Capital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0.14999999999629</v>
      </c>
      <c r="G43" s="21" t="n">
        <f aca="false">IF(J42&lt;0,I42,G42)</f>
        <v>0.0354212917908921</v>
      </c>
      <c r="H43" s="21" t="n">
        <f aca="false">IF(J42&lt;0,H42,I42)</f>
        <v>0.0354212917912925</v>
      </c>
      <c r="I43" s="21" t="n">
        <f aca="false">(G43+H43)/2</f>
        <v>0.0354212917910923</v>
      </c>
      <c r="J43" s="13" t="n">
        <f aca="false">'Capital released'!$B$30-(IF('Capital released'!$B$12=1,MIN(MAX(IF('Capital released'!$B$11=1,0.1,0.15),12.5*IF((1)&lt;=('SEC-IRBA'!$B$5),1,IF((I43)&gt;=('SEC-IRBA'!$B$5),(EXP((-1/(('Capital released'!$B$16)*('SEC-IRBA'!$B$5)))*((1)-('SEC-IRBA'!$B$5)))-EXP((-1/(('Capital released'!$B$16)*('SEC-IRBA'!$B$5)))*MAX((I43)-('SEC-IRBA'!$B$5),0)))/((-1/(('Capital released'!$B$16)*('SEC-IRBA'!$B$5)))*(((1)-('SEC-IRBA'!$B$5))-MAX((I43)-('SEC-IRBA'!$B$5),0))),(('SEC-IRBA'!$B$5)-(I43))/((1)-(I43))+(1-(('SEC-IRBA'!$B$5)-(I43))/((1)-(I43)))*(EXP((-1/(('Capital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released'!$B$11=1,0.1,0.15),12.5*IF((1)&lt;=('SEC-IRBA'!$B$5),1,IF((I43)&gt;=('SEC-IRBA'!$B$5),(EXP((-1/(('Capital released'!$B$16)*('SEC-IRBA'!$B$5)))*((1)-('SEC-IRBA'!$B$5)))-EXP((-1/(('Capital released'!$B$16)*('SEC-IRBA'!$B$5)))*MAX((I43)-('SEC-IRBA'!$B$5),0)))/((-1/(('Capital released'!$B$16)*('SEC-IRBA'!$B$5)))*(((1)-('SEC-IRBA'!$B$5))-MAX((I43)-('SEC-IRBA'!$B$5),0))),(('SEC-IRBA'!$B$5)-(I43))/((1)-(I43))+(1-(('SEC-IRBA'!$B$5)-(I43))/((1)-(I43)))*(EXP((-1/(('Capital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released'!$B$11=1,0.1,0.15),12.5*IF((1)&lt;=('SEC-IRBA'!$B$5),1,IF((I43)&gt;=('SEC-IRBA'!$B$5),(EXP((-1/(('Capital released'!$B$16)*('SEC-IRBA'!$B$5)))*((1)-('SEC-IRBA'!$B$5)))-EXP((-1/(('Capital released'!$B$16)*('SEC-IRBA'!$B$5)))*MAX((I43)-('SEC-IRBA'!$B$5),0)))/((-1/(('Capital released'!$B$16)*('SEC-IRBA'!$B$5)))*(((1)-('SEC-IRBA'!$B$5))-MAX((I43)-('SEC-IRBA'!$B$5),0))),(('SEC-IRBA'!$B$5)-(I43))/((1)-(I43))+(1-(('SEC-IRBA'!$B$5)-(I43))/((1)-(I43)))*(EXP((-1/(('Capital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released'!$B$16)*('SEC-IRBA'!$B$5)))*(((1)-('SEC-IRBA'!$B$5))-MAX(('SEC-IRBA'!$B$5)-('SEC-IRBA'!$B$5),0))))))))*(1-I43)*'SEC-IRBA'!$B$13*'Capital released'!$B$9+I43*'SEC-IRBA'!$B$13*'Capital released'!$B$6)</f>
        <v>0.000616252422332764</v>
      </c>
    </row>
    <row r="44" customFormat="false" ht="15" hidden="false" customHeight="false" outlineLevel="0" collapsed="false">
      <c r="A44" s="4" t="n">
        <v>40</v>
      </c>
      <c r="B44" s="21" t="n">
        <f aca="false">IF(E43&gt;IF('Capital released'!$B$11=1,0.1,0.15),D43,B43)</f>
        <v>0.0973667501404231</v>
      </c>
      <c r="C44" s="21" t="n">
        <f aca="false">IF(E43&gt;IF('Capital released'!$B$11=1,0.1,0.15),C43,D43)</f>
        <v>0.0973667501412142</v>
      </c>
      <c r="D44" s="21" t="n">
        <f aca="false">(B44+C44)/2</f>
        <v>0.0973667501408187</v>
      </c>
      <c r="E44" s="12" t="n">
        <f aca="false">12.5*IF((1)&lt;=('SEC-IRBA'!$B$5),1,IF((D44)&gt;=('SEC-IRBA'!$B$5),(EXP((-1/(('Capital released'!$B$16)*('SEC-IRBA'!$B$5)))*((1)-('SEC-IRBA'!$B$5)))-EXP((-1/(('Capital released'!$B$16)*('SEC-IRBA'!$B$5)))*MAX((D44)-('SEC-IRBA'!$B$5),0)))/((-1/(('Capital released'!$B$16)*('SEC-IRBA'!$B$5)))*(((1)-('SEC-IRBA'!$B$5))-MAX((D44)-('SEC-IRBA'!$B$5),0))),(('SEC-IRBA'!$B$5)-(D44))/((1)-(D44))+(1-(('SEC-IRBA'!$B$5)-(D44))/((1)-(D44)))*(EXP((-1/(('Capital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</f>
        <v>0.149999999998147</v>
      </c>
      <c r="G44" s="21" t="n">
        <f aca="false">IF(J43&lt;0,I43,G43)</f>
        <v>0.0354212917908921</v>
      </c>
      <c r="H44" s="21" t="n">
        <f aca="false">IF(J43&lt;0,H43,I43)</f>
        <v>0.0354212917910923</v>
      </c>
      <c r="I44" s="21" t="n">
        <f aca="false">(G44+H44)/2</f>
        <v>0.0354212917909922</v>
      </c>
      <c r="J44" s="13" t="n">
        <f aca="false">'Capital released'!$B$30-(IF('Capital released'!$B$12=1,MIN(MAX(IF('Capital released'!$B$11=1,0.1,0.15),12.5*IF((1)&lt;=('SEC-IRBA'!$B$5),1,IF((I44)&gt;=('SEC-IRBA'!$B$5),(EXP((-1/(('Capital released'!$B$16)*('SEC-IRBA'!$B$5)))*((1)-('SEC-IRBA'!$B$5)))-EXP((-1/(('Capital released'!$B$16)*('SEC-IRBA'!$B$5)))*MAX((I44)-('SEC-IRBA'!$B$5),0)))/((-1/(('Capital released'!$B$16)*('SEC-IRBA'!$B$5)))*(((1)-('SEC-IRBA'!$B$5))-MAX((I44)-('SEC-IRBA'!$B$5),0))),(('SEC-IRBA'!$B$5)-(I44))/((1)-(I44))+(1-(('SEC-IRBA'!$B$5)-(I44))/((1)-(I44)))*(EXP((-1/(('Capital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released'!$B$19),IF('Capital released'!$B$12=2,MIN(MAX(IF('Capital released'!$B$11=1,0.1,0.15),12.5*IF((1)&lt;=('SEC-IRBA'!$B$5),1,IF((I44)&gt;=('SEC-IRBA'!$B$5),(EXP((-1/(('Capital released'!$B$16)*('SEC-IRBA'!$B$5)))*((1)-('SEC-IRBA'!$B$5)))-EXP((-1/(('Capital released'!$B$16)*('SEC-IRBA'!$B$5)))*MAX((I44)-('SEC-IRBA'!$B$5),0)))/((-1/(('Capital released'!$B$16)*('SEC-IRBA'!$B$5)))*(((1)-('SEC-IRBA'!$B$5))-MAX((I44)-('SEC-IRBA'!$B$5),0))),(('SEC-IRBA'!$B$5)-(I44))/((1)-(I44))+(1-(('SEC-IRBA'!$B$5)-(I44))/((1)-(I44)))*(EXP((-1/(('Capital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released'!$B$16)*('SEC-IRBA'!$B$5)))*(((1)-('SEC-IRBA'!$B$5))-MAX(('SEC-IRBA'!$B$5)-('SEC-IRBA'!$B$5),0)))))),'Capital released'!$B$20),MAX(IF('Capital released'!$B$11=1,0.1,0.15),12.5*IF((1)&lt;=('SEC-IRBA'!$B$5),1,IF((I44)&gt;=('SEC-IRBA'!$B$5),(EXP((-1/(('Capital released'!$B$16)*('SEC-IRBA'!$B$5)))*((1)-('SEC-IRBA'!$B$5)))-EXP((-1/(('Capital released'!$B$16)*('SEC-IRBA'!$B$5)))*MAX((I44)-('SEC-IRBA'!$B$5),0)))/((-1/(('Capital released'!$B$16)*('SEC-IRBA'!$B$5)))*(((1)-('SEC-IRBA'!$B$5))-MAX((I44)-('SEC-IRBA'!$B$5),0))),(('SEC-IRBA'!$B$5)-(I44))/((1)-(I44))+(1-(('SEC-IRBA'!$B$5)-(I44))/((1)-(I44)))*(EXP((-1/(('Capital released'!$B$16)*('SEC-IRBA'!$B$5)))*((1)-('SEC-IRBA'!$B$5)))-EXP((-1/(('Capital released'!$B$16)*('SEC-IRBA'!$B$5)))*MAX(('SEC-IRBA'!$B$5)-('SEC-IRBA'!$B$5),0)))/((-1/(('Capital released'!$B$16)*('SEC-IRBA'!$B$5)))*(((1)-('SEC-IRBA'!$B$5))-MAX(('SEC-IRBA'!$B$5)-('SEC-IRBA'!$B$5),0))))))))*(1-I44)*'SEC-IRBA'!$B$13*'Capital released'!$B$9+I44*'SEC-IRBA'!$B$13*'Capital released'!$B$6)</f>
        <v>-3.92794609069824E-005</v>
      </c>
    </row>
    <row r="46" customFormat="false" ht="15" hidden="false" customHeight="false" outlineLevel="0" collapsed="false">
      <c r="A46" s="3" t="s">
        <v>84</v>
      </c>
      <c r="B46" s="16" t="n">
        <f aca="false">D44</f>
        <v>0.0973667501408187</v>
      </c>
      <c r="G46" s="3" t="s">
        <v>85</v>
      </c>
      <c r="I46" s="16" t="n">
        <f aca="false">I44</f>
        <v>0.0354212917909922</v>
      </c>
    </row>
    <row r="48" customFormat="false" ht="15" hidden="false" customHeight="false" outlineLevel="0" collapsed="false">
      <c r="A48" s="22" t="s">
        <v>86</v>
      </c>
    </row>
    <row r="49" customFormat="false" ht="15" hidden="false" customHeight="false" outlineLevel="0" collapsed="false">
      <c r="A49" s="22" t="s">
        <v>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60"/>
  </cols>
  <sheetData>
    <row r="1" customFormat="false" ht="15" hidden="false" customHeight="false" outlineLevel="0" collapsed="false">
      <c r="A1" s="1" t="s">
        <v>88</v>
      </c>
    </row>
    <row r="2" customFormat="false" ht="15" hidden="false" customHeight="false" outlineLevel="0" collapsed="false">
      <c r="A2" s="14" t="s">
        <v>89</v>
      </c>
    </row>
    <row r="3" customFormat="false" ht="15" hidden="false" customHeight="false" outlineLevel="0" collapsed="false">
      <c r="A3" s="14" t="s">
        <v>90</v>
      </c>
    </row>
    <row r="4" customFormat="false" ht="15" hidden="false" customHeight="false" outlineLevel="0" collapsed="false">
      <c r="A4" s="18" t="s">
        <v>91</v>
      </c>
      <c r="B4" s="18" t="s">
        <v>92</v>
      </c>
      <c r="C4" s="18" t="s">
        <v>93</v>
      </c>
      <c r="D4" s="18" t="s">
        <v>94</v>
      </c>
      <c r="E4" s="18" t="s">
        <v>95</v>
      </c>
      <c r="F4" s="18" t="s">
        <v>96</v>
      </c>
    </row>
    <row r="5" customFormat="false" ht="15" hidden="false" customHeight="false" outlineLevel="0" collapsed="false">
      <c r="A5" s="23" t="s">
        <v>97</v>
      </c>
      <c r="B5" s="10" t="n">
        <f aca="false">'SEC-IRBA'!B17</f>
        <v>0.545550641912693</v>
      </c>
      <c r="C5" s="24" t="n">
        <v>0.545550641912693</v>
      </c>
      <c r="D5" s="10" t="n">
        <f aca="false">B5-C5</f>
        <v>0</v>
      </c>
      <c r="E5" s="3" t="str">
        <f aca="false">IF(ISNUMBER(B5),IF(ABS(D5)&lt;=ABS(C5)*0.0001+0.000001,"OK","CHECK"),"CHECK")</f>
        <v>OK</v>
      </c>
    </row>
    <row r="6" customFormat="false" ht="15" hidden="false" customHeight="false" outlineLevel="0" collapsed="false">
      <c r="A6" s="23" t="s">
        <v>98</v>
      </c>
      <c r="B6" s="10" t="n">
        <f aca="false">'SEC-IRBA'!B21</f>
        <v>12.4411273967655</v>
      </c>
      <c r="C6" s="24" t="n">
        <v>12.4411273967655</v>
      </c>
      <c r="D6" s="10" t="n">
        <f aca="false">B6-C6</f>
        <v>0</v>
      </c>
      <c r="E6" s="3" t="str">
        <f aca="false">IF(ISNUMBER(B6),IF(ABS(D6)&lt;=ABS(C6)*0.0001+0.000001,"OK","CHECK"),"CHECK")</f>
        <v>OK</v>
      </c>
    </row>
    <row r="7" customFormat="false" ht="15" hidden="false" customHeight="false" outlineLevel="0" collapsed="false">
      <c r="A7" s="23" t="s">
        <v>99</v>
      </c>
      <c r="B7" s="13" t="n">
        <f aca="false">'SEC-IRBA'!B22</f>
        <v>280000000</v>
      </c>
      <c r="C7" s="25" t="n">
        <v>280000000</v>
      </c>
      <c r="D7" s="13" t="n">
        <f aca="false">B7-C7</f>
        <v>0</v>
      </c>
      <c r="E7" s="3" t="str">
        <f aca="false">IF(ISNUMBER(B7),IF(ABS(D7)&lt;=ABS(C7)*0.0001+0.000001,"OK","CHECK"),"CHECK")</f>
        <v>OK</v>
      </c>
    </row>
    <row r="8" customFormat="false" ht="15" hidden="false" customHeight="false" outlineLevel="0" collapsed="false">
      <c r="A8" s="23" t="s">
        <v>68</v>
      </c>
      <c r="B8" s="12" t="n">
        <f aca="false">'Capital released'!B21</f>
        <v>0.353357925857869</v>
      </c>
      <c r="C8" s="26" t="n">
        <v>0.3534</v>
      </c>
      <c r="D8" s="12" t="n">
        <f aca="false">B8-C8</f>
        <v>-4.20741421311432E-005</v>
      </c>
      <c r="E8" s="3" t="str">
        <f aca="false">IF(ISNUMBER(B8),IF(ABS(D8)&lt;=0.00005,"OK","CHECK"),"CHECK")</f>
        <v>OK</v>
      </c>
      <c r="F8" s="20" t="s">
        <v>100</v>
      </c>
    </row>
    <row r="9" customFormat="false" ht="15" hidden="false" customHeight="false" outlineLevel="0" collapsed="false">
      <c r="A9" s="23" t="s">
        <v>46</v>
      </c>
      <c r="B9" s="13" t="n">
        <f aca="false">'Capital released'!B31</f>
        <v>1314491484.19127</v>
      </c>
      <c r="C9" s="25" t="n">
        <v>1314500000</v>
      </c>
      <c r="D9" s="13" t="n">
        <f aca="false">B9-C9</f>
        <v>-8515.80872797966</v>
      </c>
      <c r="E9" s="3" t="str">
        <f aca="false">IF(ISNUMBER(B9),IF(ABS(D9)&lt;=50000,"OK","CHECK"),"CHECK")</f>
        <v>OK</v>
      </c>
      <c r="F9" s="20" t="s">
        <v>101</v>
      </c>
    </row>
    <row r="10" customFormat="false" ht="15" hidden="false" customHeight="false" outlineLevel="0" collapsed="false">
      <c r="A10" s="23" t="s">
        <v>47</v>
      </c>
      <c r="B10" s="13" t="n">
        <f aca="false">'Capital released'!B32</f>
        <v>191456350.365822</v>
      </c>
      <c r="C10" s="25" t="n">
        <v>191500000</v>
      </c>
      <c r="D10" s="13" t="n">
        <f aca="false">B10-C10</f>
        <v>-43649.634178251</v>
      </c>
      <c r="E10" s="3" t="str">
        <f aca="false">IF(ISNUMBER(B10),IF(ABS(D10)&lt;=50000,"OK","CHECK"),"CHECK")</f>
        <v>OK</v>
      </c>
      <c r="F10" s="20" t="s">
        <v>101</v>
      </c>
    </row>
    <row r="11" customFormat="false" ht="15" hidden="false" customHeight="false" outlineLevel="0" collapsed="false">
      <c r="A11" s="23" t="s">
        <v>48</v>
      </c>
      <c r="B11" s="13" t="n">
        <f aca="false">'Capital released'!B33</f>
        <v>223948990.33652</v>
      </c>
      <c r="C11" s="25" t="n">
        <v>223900000</v>
      </c>
      <c r="D11" s="13" t="n">
        <f aca="false">B11-C11</f>
        <v>48990.3365198672</v>
      </c>
      <c r="E11" s="3" t="str">
        <f aca="false">IF(ISNUMBER(B11),IF(ABS(D11)&lt;=50000,"OK","CHECK"),"CHECK")</f>
        <v>OK</v>
      </c>
      <c r="F11" s="20" t="s">
        <v>101</v>
      </c>
    </row>
    <row r="12" customFormat="false" ht="15" hidden="false" customHeight="false" outlineLevel="0" collapsed="false">
      <c r="A12" s="23" t="s">
        <v>49</v>
      </c>
      <c r="B12" s="12" t="n">
        <f aca="false">'Capital released'!B34</f>
        <v>0.572811581897841</v>
      </c>
      <c r="C12" s="26" t="n">
        <v>0.5728</v>
      </c>
      <c r="D12" s="12" t="n">
        <f aca="false">B12-C12</f>
        <v>1.15818978410065E-005</v>
      </c>
      <c r="E12" s="3" t="str">
        <f aca="false">IF(ISNUMBER(B12),IF(ABS(D12)&lt;=0.00005,"OK","CHECK"),"CHECK")</f>
        <v>OK</v>
      </c>
      <c r="F12" s="20" t="s">
        <v>101</v>
      </c>
    </row>
    <row r="13" customFormat="false" ht="15" hidden="false" customHeight="false" outlineLevel="0" collapsed="false">
      <c r="A13" s="23" t="s">
        <v>50</v>
      </c>
      <c r="B13" s="12" t="n">
        <f aca="false">'Capital released'!B35</f>
        <v>0.328622871047818</v>
      </c>
      <c r="C13" s="26" t="n">
        <v>0.3286</v>
      </c>
      <c r="D13" s="12" t="n">
        <f aca="false">B13-C13</f>
        <v>2.28710478180072E-005</v>
      </c>
      <c r="E13" s="3" t="str">
        <f aca="false">IF(ISNUMBER(B13),IF(ABS(D13)&lt;=0.00005,"OK","CHECK"),"CHECK")</f>
        <v>OK</v>
      </c>
      <c r="F13" s="20" t="s">
        <v>101</v>
      </c>
    </row>
    <row r="14" customFormat="false" ht="15" hidden="false" customHeight="false" outlineLevel="0" collapsed="false">
      <c r="A14" s="23" t="s">
        <v>53</v>
      </c>
      <c r="B14" s="13" t="n">
        <f aca="false">'Capital released'!B39</f>
        <v>200970081.145709</v>
      </c>
      <c r="C14" s="25" t="n">
        <v>201000000</v>
      </c>
      <c r="D14" s="13" t="n">
        <f aca="false">B14-C14</f>
        <v>-29918.8542914987</v>
      </c>
      <c r="E14" s="3" t="str">
        <f aca="false">IF(ISNUMBER(B14),IF(ABS(D14)&lt;=50000,"OK","CHECK"),"CHECK")</f>
        <v>OK</v>
      </c>
      <c r="F14" s="20" t="s">
        <v>102</v>
      </c>
    </row>
    <row r="15" customFormat="false" ht="15" hidden="false" customHeight="false" outlineLevel="0" collapsed="false">
      <c r="A15" s="23" t="s">
        <v>54</v>
      </c>
      <c r="B15" s="13" t="n">
        <f aca="false">'Capital released'!B40</f>
        <v>9513730.77988675</v>
      </c>
      <c r="C15" s="25" t="n">
        <v>9500000</v>
      </c>
      <c r="D15" s="13" t="n">
        <f aca="false">B15-C15</f>
        <v>13730.7798867524</v>
      </c>
      <c r="E15" s="3" t="str">
        <f aca="false">IF(ISNUMBER(B15),IF(ABS(D15)&lt;=50000,"OK","CHECK"),"CHECK")</f>
        <v>OK</v>
      </c>
      <c r="F15" s="20" t="s">
        <v>102</v>
      </c>
    </row>
    <row r="16" customFormat="false" ht="15" hidden="false" customHeight="false" outlineLevel="0" collapsed="false">
      <c r="A16" s="23" t="s">
        <v>103</v>
      </c>
      <c r="B16" s="12" t="n">
        <f aca="false">'Capital released'!B41</f>
        <v>1.6875</v>
      </c>
      <c r="C16" s="26" t="n">
        <v>1.6875</v>
      </c>
      <c r="D16" s="12" t="n">
        <f aca="false">B16-C16</f>
        <v>0</v>
      </c>
      <c r="E16" s="3" t="str">
        <f aca="false">IF(ISNUMBER(B16),IF(ABS(D16)&lt;=0.00005,"OK","CHECK"),"CHECK")</f>
        <v>OK</v>
      </c>
      <c r="F16" s="20" t="s">
        <v>102</v>
      </c>
    </row>
    <row r="17" customFormat="false" ht="15" hidden="false" customHeight="false" outlineLevel="0" collapsed="false">
      <c r="A17" s="23" t="s">
        <v>58</v>
      </c>
      <c r="B17" s="12" t="n">
        <f aca="false">'Capital released'!B45</f>
        <v>0.203536763805318</v>
      </c>
      <c r="C17" s="26" t="n">
        <v>0.2035</v>
      </c>
      <c r="D17" s="12" t="n">
        <f aca="false">B17-C17</f>
        <v>3.67638053179187E-005</v>
      </c>
      <c r="E17" s="3" t="str">
        <f aca="false">IF(ISNUMBER(B17),IF(ABS(D17)&lt;=0.00005,"OK","CHECK"),"CHECK")</f>
        <v>OK</v>
      </c>
      <c r="F17" s="20" t="s">
        <v>104</v>
      </c>
    </row>
    <row r="18" customFormat="false" ht="15" hidden="false" customHeight="false" outlineLevel="0" collapsed="false">
      <c r="A18" s="23" t="s">
        <v>60</v>
      </c>
      <c r="B18" s="13" t="n">
        <f aca="false">'Capital released'!B47</f>
        <v>299189177.919311</v>
      </c>
      <c r="C18" s="25" t="n">
        <v>299200000</v>
      </c>
      <c r="D18" s="13" t="n">
        <f aca="false">B18-C18</f>
        <v>-10822.080689013</v>
      </c>
      <c r="E18" s="3" t="str">
        <f aca="false">IF(ISNUMBER(B18),IF(ABS(D18)&lt;=50000,"OK","CHECK"),"CHECK")</f>
        <v>OK</v>
      </c>
      <c r="F18" s="20" t="s">
        <v>104</v>
      </c>
    </row>
    <row r="19" customFormat="false" ht="15" hidden="false" customHeight="false" outlineLevel="0" collapsed="false">
      <c r="A19" s="23" t="s">
        <v>62</v>
      </c>
      <c r="B19" s="13" t="n">
        <f aca="false">'Capital released'!B49</f>
        <v>75240187.5827911</v>
      </c>
      <c r="C19" s="25" t="n">
        <v>75200000</v>
      </c>
      <c r="D19" s="13" t="n">
        <f aca="false">B19-C19</f>
        <v>40187.5827911198</v>
      </c>
      <c r="E19" s="3" t="str">
        <f aca="false">IF(ISNUMBER(B19),IF(ABS(D19)&lt;=50000,"OK","CHECK"),"CHECK")</f>
        <v>OK</v>
      </c>
      <c r="F19" s="20" t="s">
        <v>105</v>
      </c>
    </row>
    <row r="20" customFormat="false" ht="15" hidden="false" customHeight="false" outlineLevel="0" collapsed="false">
      <c r="A20" s="23" t="s">
        <v>64</v>
      </c>
      <c r="B20" s="13" t="n">
        <f aca="false">'Capital released'!B51</f>
        <v>0</v>
      </c>
      <c r="C20" s="25" t="n">
        <v>0</v>
      </c>
      <c r="D20" s="13" t="n">
        <f aca="false">B20-C20</f>
        <v>0</v>
      </c>
      <c r="E20" s="3" t="str">
        <f aca="false">IF(ISNUMBER(B20),IF(ABS(D20)&lt;=50000,"OK","CHECK"),"CHECK")</f>
        <v>OK</v>
      </c>
      <c r="F20" s="20" t="s">
        <v>106</v>
      </c>
    </row>
    <row r="21" customFormat="false" ht="15" hidden="false" customHeight="false" outlineLevel="0" collapsed="false">
      <c r="A21" s="23" t="s">
        <v>107</v>
      </c>
      <c r="B21" s="12" t="n">
        <f aca="false">'Capital released'!C55</f>
        <v>0.230920327652676</v>
      </c>
      <c r="C21" s="26" t="n">
        <v>0.2309</v>
      </c>
      <c r="D21" s="12" t="n">
        <f aca="false">B21-C21</f>
        <v>2.03276526760388E-005</v>
      </c>
      <c r="E21" s="3" t="str">
        <f aca="false">IF(ISNUMBER(B21),IF(ABS(D21)&lt;=0.00005,"OK","CHECK"),"CHECK")</f>
        <v>OK</v>
      </c>
      <c r="F21" s="20" t="s">
        <v>108</v>
      </c>
    </row>
    <row r="22" customFormat="false" ht="15" hidden="false" customHeight="false" outlineLevel="0" collapsed="false">
      <c r="A22" s="23" t="s">
        <v>109</v>
      </c>
      <c r="B22" s="13" t="n">
        <f aca="false">'Capital released'!D55</f>
        <v>285437152.155168</v>
      </c>
      <c r="C22" s="25" t="n">
        <v>285400000</v>
      </c>
      <c r="D22" s="13" t="n">
        <f aca="false">B22-C22</f>
        <v>37152.1551676989</v>
      </c>
      <c r="E22" s="3" t="str">
        <f aca="false">IF(ISNUMBER(B22),IF(ABS(D22)&lt;=50000,"OK","CHECK"),"CHECK")</f>
        <v>OK</v>
      </c>
      <c r="F22" s="20" t="s">
        <v>108</v>
      </c>
    </row>
    <row r="23" customFormat="false" ht="15" hidden="false" customHeight="false" outlineLevel="0" collapsed="false">
      <c r="A23" s="23" t="s">
        <v>110</v>
      </c>
      <c r="B23" s="12" t="n">
        <f aca="false">'Capital released'!C56</f>
        <v>0.291972731671637</v>
      </c>
      <c r="C23" s="26" t="n">
        <v>0.292</v>
      </c>
      <c r="D23" s="12" t="n">
        <f aca="false">B23-C23</f>
        <v>-2.72683283632502E-005</v>
      </c>
      <c r="E23" s="3" t="str">
        <f aca="false">IF(ISNUMBER(B23),IF(ABS(D23)&lt;=0.00005,"OK","CHECK"),"CHECK")</f>
        <v>OK</v>
      </c>
      <c r="F23" s="20" t="s">
        <v>108</v>
      </c>
    </row>
    <row r="24" customFormat="false" ht="15" hidden="false" customHeight="false" outlineLevel="0" collapsed="false">
      <c r="A24" s="23" t="s">
        <v>111</v>
      </c>
      <c r="B24" s="13" t="n">
        <f aca="false">'Capital released'!D56</f>
        <v>254776634.856846</v>
      </c>
      <c r="C24" s="25" t="n">
        <v>254800000</v>
      </c>
      <c r="D24" s="13" t="n">
        <f aca="false">B24-C24</f>
        <v>-23365.1431543529</v>
      </c>
      <c r="E24" s="3" t="str">
        <f aca="false">IF(ISNUMBER(B24),IF(ABS(D24)&lt;=50000,"OK","CHECK"),"CHECK")</f>
        <v>OK</v>
      </c>
      <c r="F24" s="20" t="s">
        <v>108</v>
      </c>
    </row>
    <row r="25" customFormat="false" ht="15" hidden="false" customHeight="false" outlineLevel="0" collapsed="false">
      <c r="A25" s="23" t="s">
        <v>112</v>
      </c>
      <c r="B25" s="12" t="n">
        <f aca="false">'Capital released'!C57</f>
        <v>0.353357925857869</v>
      </c>
      <c r="C25" s="26" t="n">
        <v>0.3534</v>
      </c>
      <c r="D25" s="12" t="n">
        <f aca="false">B25-C25</f>
        <v>-4.20741421311432E-005</v>
      </c>
      <c r="E25" s="3" t="str">
        <f aca="false">IF(ISNUMBER(B25),IF(ABS(D25)&lt;=0.00005,"OK","CHECK"),"CHECK")</f>
        <v>OK</v>
      </c>
      <c r="F25" s="20" t="s">
        <v>108</v>
      </c>
    </row>
    <row r="26" customFormat="false" ht="15" hidden="false" customHeight="false" outlineLevel="0" collapsed="false">
      <c r="A26" s="23" t="s">
        <v>113</v>
      </c>
      <c r="B26" s="13" t="n">
        <f aca="false">'Capital released'!D57</f>
        <v>223948990.33652</v>
      </c>
      <c r="C26" s="25" t="n">
        <v>223900000</v>
      </c>
      <c r="D26" s="13" t="n">
        <f aca="false">B26-C26</f>
        <v>48990.3365198672</v>
      </c>
      <c r="E26" s="3" t="str">
        <f aca="false">IF(ISNUMBER(B26),IF(ABS(D26)&lt;=50000,"OK","CHECK"),"CHECK")</f>
        <v>OK</v>
      </c>
      <c r="F26" s="20" t="s">
        <v>108</v>
      </c>
    </row>
    <row r="27" customFormat="false" ht="15" hidden="false" customHeight="false" outlineLevel="0" collapsed="false">
      <c r="A27" s="23" t="s">
        <v>114</v>
      </c>
      <c r="B27" s="12" t="n">
        <f aca="false">'Capital released'!C58</f>
        <v>0.43551658016578</v>
      </c>
      <c r="C27" s="26" t="n">
        <v>0.4355</v>
      </c>
      <c r="D27" s="12" t="n">
        <f aca="false">B27-C27</f>
        <v>1.65801657794895E-005</v>
      </c>
      <c r="E27" s="3" t="str">
        <f aca="false">IF(ISNUMBER(B27),IF(ABS(D27)&lt;=0.00005,"OK","CHECK"),"CHECK")</f>
        <v>OK</v>
      </c>
      <c r="F27" s="20" t="s">
        <v>108</v>
      </c>
    </row>
    <row r="28" customFormat="false" ht="15" hidden="false" customHeight="false" outlineLevel="0" collapsed="false">
      <c r="A28" s="23" t="s">
        <v>115</v>
      </c>
      <c r="B28" s="13" t="n">
        <f aca="false">'Capital released'!D58</f>
        <v>182688914.143087</v>
      </c>
      <c r="C28" s="25" t="n">
        <v>182700000</v>
      </c>
      <c r="D28" s="13" t="n">
        <f aca="false">B28-C28</f>
        <v>-11085.8569128513</v>
      </c>
      <c r="E28" s="3" t="str">
        <f aca="false">IF(ISNUMBER(B28),IF(ABS(D28)&lt;=50000,"OK","CHECK"),"CHECK")</f>
        <v>OK</v>
      </c>
      <c r="F28" s="20" t="s">
        <v>108</v>
      </c>
    </row>
    <row r="29" customFormat="false" ht="15" hidden="false" customHeight="false" outlineLevel="0" collapsed="false">
      <c r="A29" s="23" t="s">
        <v>116</v>
      </c>
      <c r="B29" s="12" t="n">
        <f aca="false">'Capital released'!C59</f>
        <v>0.51789694261502</v>
      </c>
      <c r="C29" s="26" t="n">
        <v>0.5179</v>
      </c>
      <c r="D29" s="12" t="n">
        <f aca="false">B29-C29</f>
        <v>-3.05738497985431E-006</v>
      </c>
      <c r="E29" s="3" t="str">
        <f aca="false">IF(ISNUMBER(B29),IF(ABS(D29)&lt;=0.00005,"OK","CHECK"),"CHECK")</f>
        <v>OK</v>
      </c>
      <c r="F29" s="20" t="s">
        <v>108</v>
      </c>
    </row>
    <row r="30" customFormat="false" ht="15" hidden="false" customHeight="false" outlineLevel="0" collapsed="false">
      <c r="A30" s="23" t="s">
        <v>117</v>
      </c>
      <c r="B30" s="13" t="n">
        <f aca="false">'Capital released'!D59</f>
        <v>141317496.121079</v>
      </c>
      <c r="C30" s="25" t="n">
        <v>141300000</v>
      </c>
      <c r="D30" s="13" t="n">
        <f aca="false">B30-C30</f>
        <v>17496.1210785508</v>
      </c>
      <c r="E30" s="3" t="str">
        <f aca="false">IF(ISNUMBER(B30),IF(ABS(D30)&lt;=50000,"OK","CHECK"),"CHECK")</f>
        <v>OK</v>
      </c>
      <c r="F30" s="20" t="s">
        <v>108</v>
      </c>
    </row>
    <row r="31" customFormat="false" ht="15" hidden="false" customHeight="false" outlineLevel="0" collapsed="false">
      <c r="A31" s="23" t="s">
        <v>118</v>
      </c>
      <c r="B31" s="12" t="n">
        <f aca="false">'Detachment grid'!C5</f>
        <v>0.849398247295494</v>
      </c>
      <c r="C31" s="26" t="n">
        <v>0.8494</v>
      </c>
      <c r="D31" s="12" t="n">
        <f aca="false">B31-C31</f>
        <v>-1.75270450575304E-006</v>
      </c>
      <c r="E31" s="3" t="str">
        <f aca="false">IF(ISNUMBER(B31),IF(ABS(D31)&lt;=0.00005,"OK","CHECK"),"CHECK")</f>
        <v>OK</v>
      </c>
      <c r="F31" s="20" t="s">
        <v>119</v>
      </c>
    </row>
    <row r="32" customFormat="false" ht="15" hidden="false" customHeight="false" outlineLevel="0" collapsed="false">
      <c r="A32" s="23" t="s">
        <v>120</v>
      </c>
      <c r="B32" s="13" t="n">
        <f aca="false">'Detachment grid'!D5</f>
        <v>-35509461.2310383</v>
      </c>
      <c r="C32" s="25" t="n">
        <v>-35500000</v>
      </c>
      <c r="D32" s="13" t="n">
        <f aca="false">B32-C32</f>
        <v>-9461.23103827238</v>
      </c>
      <c r="E32" s="3" t="str">
        <f aca="false">IF(ISNUMBER(B32),IF(ABS(D32)&lt;=50000,"OK","CHECK"),"CHECK")</f>
        <v>OK</v>
      </c>
      <c r="F32" s="20" t="s">
        <v>119</v>
      </c>
    </row>
    <row r="33" customFormat="false" ht="15" hidden="false" customHeight="false" outlineLevel="0" collapsed="false">
      <c r="A33" s="23" t="s">
        <v>121</v>
      </c>
      <c r="B33" s="12" t="n">
        <f aca="false">'Detachment grid'!C9</f>
        <v>0.728037812371489</v>
      </c>
      <c r="C33" s="26" t="n">
        <v>0.728</v>
      </c>
      <c r="D33" s="12" t="n">
        <f aca="false">B33-C33</f>
        <v>3.78123714890322E-005</v>
      </c>
      <c r="E33" s="3" t="str">
        <f aca="false">IF(ISNUMBER(B33),IF(ABS(D33)&lt;=0.00005,"OK","CHECK"),"CHECK")</f>
        <v>OK</v>
      </c>
      <c r="F33" s="20" t="s">
        <v>119</v>
      </c>
    </row>
    <row r="34" customFormat="false" ht="15" hidden="false" customHeight="false" outlineLevel="0" collapsed="false">
      <c r="A34" s="23" t="s">
        <v>122</v>
      </c>
      <c r="B34" s="13" t="n">
        <f aca="false">'Detachment grid'!D9</f>
        <v>29990538.7689617</v>
      </c>
      <c r="C34" s="25" t="n">
        <v>30000000</v>
      </c>
      <c r="D34" s="13" t="n">
        <f aca="false">B34-C34</f>
        <v>-9461.23103827238</v>
      </c>
      <c r="E34" s="3" t="str">
        <f aca="false">IF(ISNUMBER(B34),IF(ABS(D34)&lt;=50000,"OK","CHECK"),"CHECK")</f>
        <v>OK</v>
      </c>
      <c r="F34" s="20" t="s">
        <v>119</v>
      </c>
    </row>
    <row r="35" customFormat="false" ht="15" hidden="false" customHeight="false" outlineLevel="0" collapsed="false">
      <c r="A35" s="23" t="s">
        <v>123</v>
      </c>
      <c r="B35" s="12" t="n">
        <f aca="false">'Detachment grid'!C13</f>
        <v>0.604122420922768</v>
      </c>
      <c r="C35" s="26" t="n">
        <v>0.6041</v>
      </c>
      <c r="D35" s="12" t="n">
        <f aca="false">B35-C35</f>
        <v>2.24209227678296E-005</v>
      </c>
      <c r="E35" s="3" t="str">
        <f aca="false">IF(ISNUMBER(B35),IF(ABS(D35)&lt;=0.00005,"OK","CHECK"),"CHECK")</f>
        <v>OK</v>
      </c>
      <c r="F35" s="20" t="s">
        <v>119</v>
      </c>
    </row>
    <row r="36" customFormat="false" ht="15" hidden="false" customHeight="false" outlineLevel="0" collapsed="false">
      <c r="A36" s="23" t="s">
        <v>124</v>
      </c>
      <c r="B36" s="13" t="n">
        <f aca="false">'Detachment grid'!D13</f>
        <v>95490538.7689617</v>
      </c>
      <c r="C36" s="25" t="n">
        <v>95500000</v>
      </c>
      <c r="D36" s="13" t="n">
        <f aca="false">B36-C36</f>
        <v>-9461.23103827238</v>
      </c>
      <c r="E36" s="3" t="str">
        <f aca="false">IF(ISNUMBER(B36),IF(ABS(D36)&lt;=50000,"OK","CHECK"),"CHECK")</f>
        <v>OK</v>
      </c>
      <c r="F36" s="20" t="s">
        <v>119</v>
      </c>
    </row>
    <row r="37" customFormat="false" ht="15" hidden="false" customHeight="false" outlineLevel="0" collapsed="false">
      <c r="A37" s="23" t="s">
        <v>125</v>
      </c>
      <c r="B37" s="12" t="n">
        <f aca="false">'Detachment grid'!C17</f>
        <v>0.477570531783648</v>
      </c>
      <c r="C37" s="26" t="n">
        <v>0.4776</v>
      </c>
      <c r="D37" s="12" t="n">
        <f aca="false">B37-C37</f>
        <v>-2.94682163516913E-005</v>
      </c>
      <c r="E37" s="3" t="str">
        <f aca="false">IF(ISNUMBER(B37),IF(ABS(D37)&lt;=0.00005,"OK","CHECK"),"CHECK")</f>
        <v>OK</v>
      </c>
      <c r="F37" s="20" t="s">
        <v>119</v>
      </c>
    </row>
    <row r="38" customFormat="false" ht="15" hidden="false" customHeight="false" outlineLevel="0" collapsed="false">
      <c r="A38" s="23" t="s">
        <v>126</v>
      </c>
      <c r="B38" s="13" t="n">
        <f aca="false">'Detachment grid'!D17</f>
        <v>160990538.768962</v>
      </c>
      <c r="C38" s="25" t="n">
        <v>161000000</v>
      </c>
      <c r="D38" s="13" t="n">
        <f aca="false">B38-C38</f>
        <v>-9461.23103827238</v>
      </c>
      <c r="E38" s="3" t="str">
        <f aca="false">IF(ISNUMBER(B38),IF(ABS(D38)&lt;=50000,"OK","CHECK"),"CHECK")</f>
        <v>OK</v>
      </c>
      <c r="F38" s="20" t="s">
        <v>119</v>
      </c>
    </row>
    <row r="39" customFormat="false" ht="15" hidden="false" customHeight="false" outlineLevel="0" collapsed="false">
      <c r="A39" s="23" t="s">
        <v>127</v>
      </c>
      <c r="B39" s="12" t="n">
        <f aca="false">'Detachment grid'!C25</f>
        <v>0.258341100872692</v>
      </c>
      <c r="C39" s="26" t="n">
        <v>0.2583</v>
      </c>
      <c r="D39" s="12" t="n">
        <f aca="false">B39-C39</f>
        <v>4.11008726919349E-005</v>
      </c>
      <c r="E39" s="3" t="str">
        <f aca="false">IF(ISNUMBER(B39),IF(ABS(D39)&lt;=0.00005,"OK","CHECK"),"CHECK")</f>
        <v>OK</v>
      </c>
      <c r="F39" s="20" t="s">
        <v>119</v>
      </c>
    </row>
    <row r="40" customFormat="false" ht="15" hidden="false" customHeight="false" outlineLevel="0" collapsed="false">
      <c r="A40" s="23" t="s">
        <v>128</v>
      </c>
      <c r="B40" s="13" t="n">
        <f aca="false">'Detachment grid'!D25</f>
        <v>271061481.788788</v>
      </c>
      <c r="C40" s="25" t="n">
        <v>271100000</v>
      </c>
      <c r="D40" s="13" t="n">
        <f aca="false">B40-C40</f>
        <v>-38518.211211741</v>
      </c>
      <c r="E40" s="3" t="str">
        <f aca="false">IF(ISNUMBER(B40),IF(ABS(D40)&lt;=50000,"OK","CHECK"),"CHECK")</f>
        <v>OK</v>
      </c>
      <c r="F40" s="20" t="s">
        <v>119</v>
      </c>
    </row>
    <row r="41" customFormat="false" ht="15" hidden="false" customHeight="false" outlineLevel="0" collapsed="false">
      <c r="A41" s="23" t="s">
        <v>129</v>
      </c>
      <c r="B41" s="12" t="n">
        <f aca="false">'Detachment grid'!C29</f>
        <v>0.188896316235632</v>
      </c>
      <c r="C41" s="26" t="n">
        <v>0.1889</v>
      </c>
      <c r="D41" s="12" t="n">
        <f aca="false">B41-C41</f>
        <v>-3.68376436774009E-006</v>
      </c>
      <c r="E41" s="3" t="str">
        <f aca="false">IF(ISNUMBER(B41),IF(ABS(D41)&lt;=0.00005,"OK","CHECK"),"CHECK")</f>
        <v>OK</v>
      </c>
      <c r="F41" s="20" t="s">
        <v>119</v>
      </c>
    </row>
    <row r="42" customFormat="false" ht="15" hidden="false" customHeight="false" outlineLevel="0" collapsed="false">
      <c r="A42" s="23" t="s">
        <v>130</v>
      </c>
      <c r="B42" s="13" t="n">
        <f aca="false">'Detachment grid'!D29</f>
        <v>304581690.904152</v>
      </c>
      <c r="C42" s="25" t="n">
        <v>304600000</v>
      </c>
      <c r="D42" s="13" t="n">
        <f aca="false">B42-C42</f>
        <v>-18309.0958480835</v>
      </c>
      <c r="E42" s="3" t="str">
        <f aca="false">IF(ISNUMBER(B42),IF(ABS(D42)&lt;=50000,"OK","CHECK"),"CHECK")</f>
        <v>OK</v>
      </c>
      <c r="F42" s="20" t="s">
        <v>119</v>
      </c>
    </row>
    <row r="43" customFormat="false" ht="15" hidden="false" customHeight="false" outlineLevel="0" collapsed="false">
      <c r="A43" s="23" t="s">
        <v>131</v>
      </c>
      <c r="B43" s="12" t="n">
        <f aca="false">'Detachment grid'!C33</f>
        <v>0.15</v>
      </c>
      <c r="C43" s="26" t="n">
        <v>0.15</v>
      </c>
      <c r="D43" s="12" t="n">
        <f aca="false">B43-C43</f>
        <v>0</v>
      </c>
      <c r="E43" s="3" t="str">
        <f aca="false">IF(ISNUMBER(B43),IF(ABS(D43)&lt;=0.00005,"OK","CHECK"),"CHECK")</f>
        <v>OK</v>
      </c>
      <c r="F43" s="20" t="s">
        <v>119</v>
      </c>
    </row>
    <row r="44" customFormat="false" ht="15" hidden="false" customHeight="false" outlineLevel="0" collapsed="false">
      <c r="A44" s="23" t="s">
        <v>132</v>
      </c>
      <c r="B44" s="13" t="n">
        <f aca="false">'Detachment grid'!D33</f>
        <v>322505340.702342</v>
      </c>
      <c r="C44" s="25" t="n">
        <v>322500000</v>
      </c>
      <c r="D44" s="13" t="n">
        <f aca="false">B44-C44</f>
        <v>5340.70234161615</v>
      </c>
      <c r="E44" s="3" t="str">
        <f aca="false">IF(ISNUMBER(B44),IF(ABS(D44)&lt;=50000,"OK","CHECK"),"CHECK")</f>
        <v>OK</v>
      </c>
      <c r="F44" s="20" t="s">
        <v>119</v>
      </c>
    </row>
    <row r="45" customFormat="false" ht="15" hidden="false" customHeight="false" outlineLevel="0" collapsed="false">
      <c r="A45" s="23" t="s">
        <v>133</v>
      </c>
      <c r="B45" s="12" t="n">
        <f aca="false">'Detachment grid'!C37</f>
        <v>0.15</v>
      </c>
      <c r="C45" s="26" t="n">
        <v>0.15</v>
      </c>
      <c r="D45" s="12" t="n">
        <f aca="false">B45-C45</f>
        <v>0</v>
      </c>
      <c r="E45" s="3" t="str">
        <f aca="false">IF(ISNUMBER(B45),IF(ABS(D45)&lt;=0.00005,"OK","CHECK"),"CHECK")</f>
        <v>OK</v>
      </c>
      <c r="F45" s="20" t="s">
        <v>119</v>
      </c>
    </row>
    <row r="46" customFormat="false" ht="15" hidden="false" customHeight="false" outlineLevel="0" collapsed="false">
      <c r="A46" s="23" t="s">
        <v>134</v>
      </c>
      <c r="B46" s="13" t="n">
        <f aca="false">'Detachment grid'!D37</f>
        <v>321315340.702342</v>
      </c>
      <c r="C46" s="25" t="n">
        <v>321300000</v>
      </c>
      <c r="D46" s="13" t="n">
        <f aca="false">B46-C46</f>
        <v>15340.7023416162</v>
      </c>
      <c r="E46" s="3" t="str">
        <f aca="false">IF(ISNUMBER(B46),IF(ABS(D46)&lt;=50000,"OK","CHECK"),"CHECK")</f>
        <v>OK</v>
      </c>
      <c r="F46" s="20" t="s">
        <v>119</v>
      </c>
    </row>
    <row r="47" customFormat="false" ht="15" hidden="false" customHeight="false" outlineLevel="0" collapsed="false">
      <c r="A47" s="23" t="s">
        <v>135</v>
      </c>
      <c r="B47" s="12" t="n">
        <f aca="false">'Detachment grid'!C43</f>
        <v>0.15</v>
      </c>
      <c r="C47" s="26" t="n">
        <v>0.15</v>
      </c>
      <c r="D47" s="12" t="n">
        <f aca="false">B47-C47</f>
        <v>0</v>
      </c>
      <c r="E47" s="3" t="str">
        <f aca="false">IF(ISNUMBER(B47),IF(ABS(D47)&lt;=0.00005,"OK","CHECK"),"CHECK")</f>
        <v>OK</v>
      </c>
      <c r="F47" s="20" t="s">
        <v>119</v>
      </c>
    </row>
    <row r="48" customFormat="false" ht="15" hidden="false" customHeight="false" outlineLevel="0" collapsed="false">
      <c r="A48" s="23" t="s">
        <v>136</v>
      </c>
      <c r="B48" s="13" t="n">
        <f aca="false">'Detachment grid'!D43</f>
        <v>319530340.702342</v>
      </c>
      <c r="C48" s="25" t="n">
        <v>319500000</v>
      </c>
      <c r="D48" s="13" t="n">
        <f aca="false">B48-C48</f>
        <v>30340.7023416162</v>
      </c>
      <c r="E48" s="3" t="str">
        <f aca="false">IF(ISNUMBER(B48),IF(ABS(D48)&lt;=50000,"OK","CHECK"),"CHECK")</f>
        <v>OK</v>
      </c>
      <c r="F48" s="20" t="s">
        <v>119</v>
      </c>
    </row>
    <row r="49" customFormat="false" ht="15" hidden="false" customHeight="false" outlineLevel="0" collapsed="false">
      <c r="A49" s="23" t="s">
        <v>137</v>
      </c>
      <c r="B49" s="12" t="n">
        <f aca="false">Thresholds!B46</f>
        <v>0.0973667501408187</v>
      </c>
      <c r="C49" s="4" t="s">
        <v>138</v>
      </c>
      <c r="E49" s="3" t="str">
        <f aca="false">IF(ISNUMBER(B49),"OK","CHECK")</f>
        <v>OK</v>
      </c>
      <c r="F49" s="20" t="s">
        <v>139</v>
      </c>
    </row>
    <row r="50" customFormat="false" ht="15" hidden="false" customHeight="false" outlineLevel="0" collapsed="false">
      <c r="A50" s="23" t="s">
        <v>140</v>
      </c>
      <c r="B50" s="27" t="b">
        <f aca="false">AND(Thresholds!B46&gt;0.095,Thresholds!B46&lt;0.1)</f>
        <v>1</v>
      </c>
      <c r="C50" s="4" t="s">
        <v>141</v>
      </c>
      <c r="E50" s="3" t="str">
        <f aca="false">IF(B50=TRUE(),"OK","CHECK")</f>
        <v>OK</v>
      </c>
      <c r="F50" s="20" t="s">
        <v>142</v>
      </c>
    </row>
    <row r="51" customFormat="false" ht="15" hidden="false" customHeight="false" outlineLevel="0" collapsed="false">
      <c r="A51" s="23" t="s">
        <v>143</v>
      </c>
      <c r="B51" s="12" t="n">
        <f aca="false">Thresholds!I46</f>
        <v>0.0354212917909922</v>
      </c>
      <c r="C51" s="4" t="s">
        <v>138</v>
      </c>
      <c r="E51" s="3" t="str">
        <f aca="false">IF(ISNUMBER(B51),"OK","CHECK")</f>
        <v>OK</v>
      </c>
      <c r="F51" s="20" t="s">
        <v>144</v>
      </c>
    </row>
    <row r="52" customFormat="false" ht="15" hidden="false" customHeight="false" outlineLevel="0" collapsed="false">
      <c r="A52" s="23" t="s">
        <v>145</v>
      </c>
      <c r="B52" s="27" t="b">
        <f aca="false">AND(Thresholds!I46&gt;0.03,Thresholds!I46&lt;0.04)</f>
        <v>1</v>
      </c>
      <c r="C52" s="4" t="s">
        <v>141</v>
      </c>
      <c r="E52" s="3" t="str">
        <f aca="false">IF(B52=TRUE(),"OK","CHECK")</f>
        <v>OK</v>
      </c>
      <c r="F52" s="20" t="s">
        <v>146</v>
      </c>
    </row>
    <row r="53" customFormat="false" ht="15" hidden="false" customHeight="false" outlineLevel="0" collapsed="false">
      <c r="A53" s="23" t="s">
        <v>147</v>
      </c>
      <c r="B53" s="27" t="b">
        <f aca="false">MIN('Detachment grid'!D9:D19)&gt;0</f>
        <v>1</v>
      </c>
      <c r="C53" s="4" t="s">
        <v>141</v>
      </c>
      <c r="E53" s="3" t="str">
        <f aca="false">IF(B53=TRUE(),"OK","CHECK")</f>
        <v>OK</v>
      </c>
      <c r="F53" s="20" t="s">
        <v>148</v>
      </c>
    </row>
    <row r="54" customFormat="false" ht="15" hidden="false" customHeight="false" outlineLevel="0" collapsed="false">
      <c r="A54" s="23" t="s">
        <v>149</v>
      </c>
      <c r="B54" s="27" t="b">
        <f aca="false">MIN('Detachment grid'!G5:G49)&gt;=MIN('Detachment grid'!D5:D49)</f>
        <v>1</v>
      </c>
      <c r="C54" s="4" t="s">
        <v>141</v>
      </c>
      <c r="E54" s="3" t="str">
        <f aca="false">IF(B54=TRUE(),"OK","CHECK")</f>
        <v>OK</v>
      </c>
      <c r="F54" s="20" t="s">
        <v>150</v>
      </c>
    </row>
    <row r="55" customFormat="false" ht="15" hidden="false" customHeight="false" outlineLevel="0" collapsed="false">
      <c r="A55" s="23" t="s">
        <v>151</v>
      </c>
      <c r="B55" s="27" t="b">
        <f aca="false">ABS(Thresholds!E44-IF('Capital released'!B11=1,0.1,0.15))&lt;0.000001</f>
        <v>1</v>
      </c>
      <c r="C55" s="4" t="s">
        <v>141</v>
      </c>
      <c r="E55" s="3" t="str">
        <f aca="false">IF(B55=TRUE(),"OK","CHECK")</f>
        <v>OK</v>
      </c>
    </row>
    <row r="56" customFormat="false" ht="15" hidden="false" customHeight="false" outlineLevel="0" collapsed="false">
      <c r="A56" s="23" t="s">
        <v>152</v>
      </c>
      <c r="B56" s="27" t="b">
        <f aca="false">ABS(Thresholds!J44)&lt;1000</f>
        <v>1</v>
      </c>
      <c r="C56" s="4" t="s">
        <v>141</v>
      </c>
      <c r="E56" s="3" t="str">
        <f aca="false">IF(B56=TRUE(),"OK","CHECK")</f>
        <v>OK</v>
      </c>
    </row>
    <row r="58" customFormat="false" ht="15" hidden="false" customHeight="false" outlineLevel="0" collapsed="false">
      <c r="A58" s="3" t="s">
        <v>153</v>
      </c>
      <c r="B58" s="3" t="n">
        <f aca="false">COUNTIF(E5:E56,"CHECK")</f>
        <v>0</v>
      </c>
    </row>
    <row r="59" customFormat="false" ht="15" hidden="false" customHeight="false" outlineLevel="0" collapsed="false">
      <c r="A59" s="3" t="s">
        <v>154</v>
      </c>
      <c r="B59" s="3" t="str">
        <f aca="false">IF(COUNTIF(E5:E56,"OK")=52,"ALL OK",COUNTIF(E5:E56,"OK")&amp;" / 52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2026-08-27T03:35:28Z</dcterms:created>
  <dc:creator>openpyxl</dc:creator>
  <dc:description/>
  <dc:language>en-US</dc:language>
  <cp:lastModifiedBy/>
  <dcterms:modified xsi:type="dcterms:W3CDTF">2026-09-23T22:57:31Z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