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vestor" sheetId="1" state="visible" r:id="rId3"/>
    <sheet name="Break-even" sheetId="2" state="visible" r:id="rId4"/>
    <sheet name="Stress" sheetId="3" state="visible" r:id="rId5"/>
    <sheet name="Holding period" sheetId="4" state="visible" r:id="rId6"/>
    <sheet name="Control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<sst xmlns="http://schemas.openxmlformats.org/spreadsheetml/2006/main" count="440" uniqueCount="175">
  <si>
    <t xml:space="preserve">Northwall 2026-1 — the investor's return</t>
  </si>
  <si>
    <t xml:space="preserve">Enter a loss multiple and a margin. The internal rate of return falls out, with the investor's floor and both break-even multiples.</t>
  </si>
  <si>
    <t xml:space="preserve">Inputs</t>
  </si>
  <si>
    <t xml:space="preserve">Portfolio exposure</t>
  </si>
  <si>
    <t xml:space="preserve">Detachment point</t>
  </si>
  <si>
    <t xml:space="preserve">Share sold to the investor</t>
  </si>
  <si>
    <t xml:space="preserve">Best-estimate loss rate, per year</t>
  </si>
  <si>
    <t xml:space="preserve">Loss multiple  (1 = best estimate)</t>
  </si>
  <si>
    <t xml:space="preserve">Margin</t>
  </si>
  <si>
    <t xml:space="preserve">Reference rate</t>
  </si>
  <si>
    <t xml:space="preserve">Replenishment period, years</t>
  </si>
  <si>
    <t xml:space="preserve">Portfolio amortisation, per year</t>
  </si>
  <si>
    <t xml:space="preserve">Fund leverage  (debt / equity)</t>
  </si>
  <si>
    <t xml:space="preserve">Cost of leverage</t>
  </si>
  <si>
    <t xml:space="preserve">Holding period, years  (1 to 8; the book: 5)</t>
  </si>
  <si>
    <t xml:space="preserve">Amortisation of the protection: 1 = pro rata, 0 = sequential</t>
  </si>
  <si>
    <t xml:space="preserve">Fund's unlevered hurdle</t>
  </si>
  <si>
    <t xml:space="preserve">Cash flows</t>
  </si>
  <si>
    <t xml:space="preserve">Year</t>
  </si>
  <si>
    <t xml:space="preserve">Reference pool</t>
  </si>
  <si>
    <t xml:space="preserve">Opening balance</t>
  </si>
  <si>
    <t xml:space="preserve">Coupon</t>
  </si>
  <si>
    <t xml:space="preserve">Lost to write-down</t>
  </si>
  <si>
    <t xml:space="preserve">Principal repaid</t>
  </si>
  <si>
    <t xml:space="preserve">Closing balance</t>
  </si>
  <si>
    <t xml:space="preserve">Cash flow</t>
  </si>
  <si>
    <t xml:space="preserve">Total</t>
  </si>
  <si>
    <t xml:space="preserve">IRR</t>
  </si>
  <si>
    <t xml:space="preserve">Return</t>
  </si>
  <si>
    <t xml:space="preserve">Notional invested</t>
  </si>
  <si>
    <t xml:space="preserve">Control: principal repaid plus losses</t>
  </si>
  <si>
    <t xml:space="preserve">Internal rate of return</t>
  </si>
  <si>
    <t xml:space="preserve">Return with leverage, floored at -100 percent</t>
  </si>
  <si>
    <t xml:space="preserve">The same formula without the floor</t>
  </si>
  <si>
    <t xml:space="preserve">Coupons less losses, nominal</t>
  </si>
  <si>
    <t xml:space="preserve">Share of the tranche consumed</t>
  </si>
  <si>
    <t xml:space="preserve">Leverage to the pool's loss rate, on the tranche</t>
  </si>
  <si>
    <t xml:space="preserve">  and on the part the fund bought</t>
  </si>
  <si>
    <t xml:space="preserve">The investor's floor  (Chapters 16 and 18)</t>
  </si>
  <si>
    <t xml:space="preserve">Balances, discounted at the hurdle</t>
  </si>
  <si>
    <t xml:space="preserve">Principal repaid, discounted at the hurdle</t>
  </si>
  <si>
    <t xml:space="preserve">Margin at which the return equals the hurdle</t>
  </si>
  <si>
    <t xml:space="preserve">The balances and the repayments do not depend on the margin, so the value at the hurdle is a straight line in the margin: row 47 is exact, no goal seek.</t>
  </si>
  <si>
    <t xml:space="preserve">The loss charged twice  (Chapter 16, and Chapter 29 item 7b)</t>
  </si>
  <si>
    <t xml:space="preserve">Wrong cash flow</t>
  </si>
  <si>
    <t xml:space="preserve">Return with the loss subtracted and only the surviving principal returned</t>
  </si>
  <si>
    <t xml:space="preserve">How far it understates the return</t>
  </si>
  <si>
    <t xml:space="preserve">The book says "roughly +2.50 percentage points" in Chapters 16 and 29 and in its Conclusion. On the book's own cash flows the understatement is 2.61 points.</t>
  </si>
  <si>
    <t xml:space="preserve">By what multiple can defaults run before the fund stops making money?</t>
  </si>
  <si>
    <t xml:space="preserve">Chapter 22 and Problem 11. Coupons less losses is a straight line in the loss multiple (until a tranche is exhausted), so two schedules give the answer exactly.</t>
  </si>
  <si>
    <t xml:space="preserve">Losses at zero</t>
  </si>
  <si>
    <t xml:space="preserve">Losses at the best estimate</t>
  </si>
  <si>
    <t xml:space="preserve">The two break-evens</t>
  </si>
  <si>
    <t xml:space="preserve">Coupons with no losses</t>
  </si>
  <si>
    <t xml:space="preserve">Coupons less losses at the best estimate</t>
  </si>
  <si>
    <t xml:space="preserve">Multiple at which coupons and losses cancel  (the whole coupon)</t>
  </si>
  <si>
    <t xml:space="preserve">Margin earned with no losses</t>
  </si>
  <si>
    <t xml:space="preserve">Margin less losses at the best estimate</t>
  </si>
  <si>
    <t xml:space="preserve">Multiple at which the margin alone and losses cancel  (beating cash)</t>
  </si>
  <si>
    <t xml:space="preserve">Proof: the schedule at the first multiple</t>
  </si>
  <si>
    <t xml:space="preserve">Proof: the schedule at the second multiple</t>
  </si>
  <si>
    <t xml:space="preserve">Coupons less losses at the first multiple  (zero)</t>
  </si>
  <si>
    <t xml:space="preserve">Margin less losses at the second multiple  (zero)</t>
  </si>
  <si>
    <t xml:space="preserve">Stress: six scenarios  (Chapters 21 and 22)</t>
  </si>
  <si>
    <t xml:space="preserve">Held to maturity, unlevered and at the fund's leverage. The multiples are the book's; the regulatory loss rate is the bank's own PD times downturn LGD.</t>
  </si>
  <si>
    <t xml:space="preserve">Loss rate at the bank's regulatory parameters, a year</t>
  </si>
  <si>
    <t xml:space="preserve">Best-estimate LGD behind the loss rate on sheet 1</t>
  </si>
  <si>
    <t xml:space="preserve">Stressed LGD</t>
  </si>
  <si>
    <t xml:space="preserve">Scenario</t>
  </si>
  <si>
    <t xml:space="preserve">Default multiple</t>
  </si>
  <si>
    <t xml:space="preserve">Loss rate</t>
  </si>
  <si>
    <t xml:space="preserve">Losses charged</t>
  </si>
  <si>
    <t xml:space="preserve">Tranche consumed</t>
  </si>
  <si>
    <t xml:space="preserve">Coupons</t>
  </si>
  <si>
    <t xml:space="preserve">At the fund's leverage</t>
  </si>
  <si>
    <t xml:space="preserve">Principal returned</t>
  </si>
  <si>
    <t xml:space="preserve">Best estimate</t>
  </si>
  <si>
    <t xml:space="preserve">Regulatory parameters</t>
  </si>
  <si>
    <t xml:space="preserve">Mild recession</t>
  </si>
  <si>
    <t xml:space="preserve">Severe recession</t>
  </si>
  <si>
    <t xml:space="preserve">Severe + LGD 60 percent</t>
  </si>
  <si>
    <t xml:space="preserve">2008-style</t>
  </si>
  <si>
    <t xml:space="preserve">The fund's return by holding period  (Chapter 20)</t>
  </si>
  <si>
    <t xml:space="preserve">Same portfolio, same tranche, same margin: one clause of difference, pro rata or sequential amortisation of the protection.</t>
  </si>
  <si>
    <t xml:space="preserve">Holding period, years</t>
  </si>
  <si>
    <t xml:space="preserve">Pro rata</t>
  </si>
  <si>
    <t xml:space="preserve">Sequential</t>
  </si>
  <si>
    <t xml:space="preserve">Two extra years, pro rata</t>
  </si>
  <si>
    <t xml:space="preserve">3 years, pro rata</t>
  </si>
  <si>
    <t xml:space="preserve">3 years, sequential</t>
  </si>
  <si>
    <t xml:space="preserve">5 years, pro rata</t>
  </si>
  <si>
    <t xml:space="preserve">5 years, sequential</t>
  </si>
  <si>
    <t xml:space="preserve">7 years, pro rata</t>
  </si>
  <si>
    <t xml:space="preserve">7 years, sequential</t>
  </si>
  <si>
    <t xml:space="preserve">8 years, pro rata</t>
  </si>
  <si>
    <t xml:space="preserve">8 years, sequential</t>
  </si>
  <si>
    <t xml:space="preserve">Controls</t>
  </si>
  <si>
    <t xml:space="preserve">Each row reproduces a figure printed in the book, or tests something that must hold.</t>
  </si>
  <si>
    <t xml:space="preserve">Figure</t>
  </si>
  <si>
    <t xml:space="preserve">Live formula</t>
  </si>
  <si>
    <t xml:space="preserve">Printed in the book</t>
  </si>
  <si>
    <t xml:space="preserve">Difference</t>
  </si>
  <si>
    <t xml:space="preserve">Status</t>
  </si>
  <si>
    <t xml:space="preserve">Note</t>
  </si>
  <si>
    <t xml:space="preserve">Coupons received</t>
  </si>
  <si>
    <t xml:space="preserve">Chapter 16</t>
  </si>
  <si>
    <t xml:space="preserve">Control: repaid plus lost equals notional</t>
  </si>
  <si>
    <t xml:space="preserve">Return with leverage</t>
  </si>
  <si>
    <t xml:space="preserve">Chapter 21</t>
  </si>
  <si>
    <t xml:space="preserve">Year 1: coupon</t>
  </si>
  <si>
    <t xml:space="preserve">Year 1: written down</t>
  </si>
  <si>
    <t xml:space="preserve">Year 1: principal repaid</t>
  </si>
  <si>
    <t xml:space="preserve">Year 2: coupon</t>
  </si>
  <si>
    <t xml:space="preserve">Year 2: written down</t>
  </si>
  <si>
    <t xml:space="preserve">Year 2: principal repaid</t>
  </si>
  <si>
    <t xml:space="preserve">Year 3: coupon</t>
  </si>
  <si>
    <t xml:space="preserve">Year 3: written down</t>
  </si>
  <si>
    <t xml:space="preserve">Year 3: principal repaid</t>
  </si>
  <si>
    <t xml:space="preserve">Year 4: coupon</t>
  </si>
  <si>
    <t xml:space="preserve">Year 4: written down</t>
  </si>
  <si>
    <t xml:space="preserve">Year 4: principal repaid</t>
  </si>
  <si>
    <t xml:space="preserve">Year 5: coupon</t>
  </si>
  <si>
    <t xml:space="preserve">Year 5: written down</t>
  </si>
  <si>
    <t xml:space="preserve">Year 5: principal repaid</t>
  </si>
  <si>
    <t xml:space="preserve">Share of the tranche written down</t>
  </si>
  <si>
    <t xml:space="preserve">Leverage to the loss rate, on the tranche</t>
  </si>
  <si>
    <t xml:space="preserve">  and on what the fund bought</t>
  </si>
  <si>
    <t xml:space="preserve">Investor's floor at the 7.50 percent hurdle</t>
  </si>
  <si>
    <t xml:space="preserve">Chapter 18</t>
  </si>
  <si>
    <t xml:space="preserve">At the floor, the value at the hurdle is nil</t>
  </si>
  <si>
    <t xml:space="preserve">—</t>
  </si>
  <si>
    <t xml:space="preserve">The loss charged twice understates the return by</t>
  </si>
  <si>
    <t xml:space="preserve">the book prints "roughly +2.50"; corrected</t>
  </si>
  <si>
    <t xml:space="preserve">Break-even multiple, whole coupon</t>
  </si>
  <si>
    <t xml:space="preserve">Chapter 22</t>
  </si>
  <si>
    <t xml:space="preserve">Break-even multiple, margin only</t>
  </si>
  <si>
    <t xml:space="preserve">  proof: coupons less losses at 4.17x is nil</t>
  </si>
  <si>
    <t xml:space="preserve">  proof: margin less losses at 3.51x is nil</t>
  </si>
  <si>
    <t xml:space="preserve">Best estimate: losses</t>
  </si>
  <si>
    <t xml:space="preserve">Best estimate: tranche consumed</t>
  </si>
  <si>
    <t xml:space="preserve">Best estimate: coupons</t>
  </si>
  <si>
    <t xml:space="preserve">Best estimate: return</t>
  </si>
  <si>
    <t xml:space="preserve">Best estimate: levered</t>
  </si>
  <si>
    <t xml:space="preserve">Regulatory parameters: losses</t>
  </si>
  <si>
    <t xml:space="preserve">Regulatory parameters: tranche consumed</t>
  </si>
  <si>
    <t xml:space="preserve">Regulatory parameters: coupons</t>
  </si>
  <si>
    <t xml:space="preserve">Regulatory parameters: return</t>
  </si>
  <si>
    <t xml:space="preserve">Regulatory parameters: levered</t>
  </si>
  <si>
    <t xml:space="preserve">Mild recession: losses</t>
  </si>
  <si>
    <t xml:space="preserve">Mild recession: tranche consumed</t>
  </si>
  <si>
    <t xml:space="preserve">Mild recession: coupons</t>
  </si>
  <si>
    <t xml:space="preserve">Mild recession: return</t>
  </si>
  <si>
    <t xml:space="preserve">Mild recession: levered</t>
  </si>
  <si>
    <t xml:space="preserve">Severe recession: losses</t>
  </si>
  <si>
    <t xml:space="preserve">Severe recession: tranche consumed</t>
  </si>
  <si>
    <t xml:space="preserve">Severe recession: coupons</t>
  </si>
  <si>
    <t xml:space="preserve">Severe recession: return</t>
  </si>
  <si>
    <t xml:space="preserve">Severe recession: levered</t>
  </si>
  <si>
    <t xml:space="preserve">Severe + LGD 60 percent: losses</t>
  </si>
  <si>
    <t xml:space="preserve">Severe + LGD 60 percent: tranche consumed</t>
  </si>
  <si>
    <t xml:space="preserve">Severe + LGD 60 percent: coupons</t>
  </si>
  <si>
    <t xml:space="preserve">Severe + LGD 60 percent: return</t>
  </si>
  <si>
    <t xml:space="preserve">Severe + LGD 60 percent: levered</t>
  </si>
  <si>
    <t xml:space="preserve">2008-style: losses</t>
  </si>
  <si>
    <t xml:space="preserve">2008-style: tranche consumed</t>
  </si>
  <si>
    <t xml:space="preserve">2008-style: coupons</t>
  </si>
  <si>
    <t xml:space="preserve">2008-style: return</t>
  </si>
  <si>
    <t xml:space="preserve">2008-style: levered</t>
  </si>
  <si>
    <t xml:space="preserve">2008-style: principal that survives</t>
  </si>
  <si>
    <t xml:space="preserve">Every scenario: principal plus losses equals notional</t>
  </si>
  <si>
    <t xml:space="preserve">Chapter 20</t>
  </si>
  <si>
    <t xml:space="preserve">Every return is a true root above -100 percent, not a solver artefact</t>
  </si>
  <si>
    <t xml:space="preserve">Chapter 29, item 7c</t>
  </si>
  <si>
    <t xml:space="preserve">Failures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</si>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</sst>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"/>
    <numFmt numFmtId="166" formatCode="0.00%"/>
    <numFmt numFmtId="167" formatCode="0.0000%"/>
    <numFmt numFmtId="168" formatCode="0.0"/>
    <numFmt numFmtId="169" formatCode="0"/>
    <numFmt numFmtId="170" formatCode="0.00\x"/>
    <numFmt numFmtId="171" formatCode="0.000000%"/>
    <numFmt numFmtId="172" formatCode="0.0\x"/>
    <numFmt numFmtId="173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EEEEE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8" min="2" style="0" width="1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4000000000</v>
      </c>
    </row>
    <row r="6" customFormat="false" ht="15" hidden="false" customHeight="false" outlineLevel="0" collapsed="false">
      <c r="A6" s="4" t="s">
        <v>4</v>
      </c>
      <c r="B6" s="6" t="n">
        <v>0.07</v>
      </c>
    </row>
    <row r="7" customFormat="false" ht="15" hidden="false" customHeight="false" outlineLevel="0" collapsed="false">
      <c r="A7" s="4" t="s">
        <v>5</v>
      </c>
      <c r="B7" s="6" t="n">
        <v>0.95</v>
      </c>
    </row>
    <row r="8" customFormat="false" ht="15" hidden="false" customHeight="false" outlineLevel="0" collapsed="false">
      <c r="A8" s="4" t="s">
        <v>6</v>
      </c>
      <c r="B8" s="7" t="n">
        <v>0.0018223875</v>
      </c>
    </row>
    <row r="9" customFormat="false" ht="15" hidden="false" customHeight="false" outlineLevel="0" collapsed="false">
      <c r="A9" s="4" t="s">
        <v>7</v>
      </c>
      <c r="B9" s="8" t="n">
        <v>1</v>
      </c>
    </row>
    <row r="10" customFormat="false" ht="15" hidden="false" customHeight="false" outlineLevel="0" collapsed="false">
      <c r="A10" s="4" t="s">
        <v>8</v>
      </c>
      <c r="B10" s="6" t="n">
        <v>0.105</v>
      </c>
    </row>
    <row r="11" customFormat="false" ht="15" hidden="false" customHeight="false" outlineLevel="0" collapsed="false">
      <c r="A11" s="4" t="s">
        <v>9</v>
      </c>
      <c r="B11" s="6" t="n">
        <v>0.025</v>
      </c>
    </row>
    <row r="12" customFormat="false" ht="15" hidden="false" customHeight="false" outlineLevel="0" collapsed="false">
      <c r="A12" s="4" t="s">
        <v>10</v>
      </c>
      <c r="B12" s="9" t="n">
        <v>2</v>
      </c>
    </row>
    <row r="13" customFormat="false" ht="15" hidden="false" customHeight="false" outlineLevel="0" collapsed="false">
      <c r="A13" s="4" t="s">
        <v>11</v>
      </c>
      <c r="B13" s="6" t="n">
        <v>0.08</v>
      </c>
    </row>
    <row r="14" customFormat="false" ht="15" hidden="false" customHeight="false" outlineLevel="0" collapsed="false">
      <c r="A14" s="4" t="s">
        <v>12</v>
      </c>
      <c r="B14" s="8" t="n">
        <v>1.5</v>
      </c>
    </row>
    <row r="15" customFormat="false" ht="15" hidden="false" customHeight="false" outlineLevel="0" collapsed="false">
      <c r="A15" s="4" t="s">
        <v>13</v>
      </c>
      <c r="B15" s="6" t="n">
        <v>0.0625</v>
      </c>
    </row>
    <row r="16" customFormat="false" ht="15" hidden="false" customHeight="false" outlineLevel="0" collapsed="false">
      <c r="A16" s="4" t="s">
        <v>14</v>
      </c>
      <c r="B16" s="9" t="n">
        <v>5</v>
      </c>
    </row>
    <row r="17" customFormat="false" ht="15" hidden="false" customHeight="false" outlineLevel="0" collapsed="false">
      <c r="A17" s="4" t="s">
        <v>15</v>
      </c>
      <c r="B17" s="9" t="n">
        <v>1</v>
      </c>
    </row>
    <row r="18" customFormat="false" ht="15" hidden="false" customHeight="false" outlineLevel="0" collapsed="false">
      <c r="A18" s="4" t="s">
        <v>16</v>
      </c>
      <c r="B18" s="6" t="n">
        <v>0.075</v>
      </c>
    </row>
    <row r="20" customFormat="false" ht="15" hidden="false" customHeight="false" outlineLevel="0" collapsed="false">
      <c r="A20" s="3" t="s">
        <v>17</v>
      </c>
    </row>
    <row r="21" customFormat="false" ht="15" hidden="false" customHeight="false" outlineLevel="0" collapsed="false">
      <c r="A21" s="10" t="s">
        <v>18</v>
      </c>
      <c r="B21" s="10" t="s">
        <v>19</v>
      </c>
      <c r="C21" s="10" t="s">
        <v>20</v>
      </c>
      <c r="D21" s="10" t="s">
        <v>21</v>
      </c>
      <c r="E21" s="10" t="s">
        <v>22</v>
      </c>
      <c r="F21" s="10" t="s">
        <v>23</v>
      </c>
      <c r="G21" s="10" t="s">
        <v>24</v>
      </c>
      <c r="H21" s="10" t="s">
        <v>25</v>
      </c>
    </row>
    <row r="22" customFormat="false" ht="15" hidden="false" customHeight="false" outlineLevel="0" collapsed="false">
      <c r="A22" s="4" t="n">
        <v>0</v>
      </c>
      <c r="B22" s="11" t="n">
        <f aca="false">$B$5</f>
        <v>4000000000</v>
      </c>
      <c r="H22" s="11" t="n">
        <f aca="false">-C23</f>
        <v>-266000000</v>
      </c>
    </row>
    <row r="23" customFormat="false" ht="15" hidden="false" customHeight="false" outlineLevel="0" collapsed="false">
      <c r="A23" s="4" t="n">
        <v>1</v>
      </c>
      <c r="B23" s="11" t="n">
        <f aca="false">IF(A23&gt;$B$16,0,IF(A23&lt;=$B$12,$B$5,$B$5*(1-$B$13)^(A23-$B$12)))</f>
        <v>4000000000</v>
      </c>
      <c r="C23" s="11" t="n">
        <f aca="false">IF(A23&gt;$B$16,0,$B$6*$B$5*$B$7)</f>
        <v>266000000</v>
      </c>
      <c r="D23" s="11" t="n">
        <f aca="false">($B$11+$B$10)*C23</f>
        <v>34580000</v>
      </c>
      <c r="E23" s="11" t="n">
        <f aca="false">IF(A23&gt;$B$16,0,MIN(C23,$B$8*$B$9*B23*$B$7))</f>
        <v>6925072.5</v>
      </c>
      <c r="F23" s="11" t="n">
        <f aca="false">IF(A23&gt;$B$16,0,IF(A23=$B$16,C23-E23,IF($B$17=1,(C23-E23)*(1-B23/B22),0)))</f>
        <v>0</v>
      </c>
      <c r="G23" s="11" t="n">
        <f aca="false">C23-E23-F23</f>
        <v>259074927.5</v>
      </c>
      <c r="H23" s="11" t="n">
        <f aca="false">D23+F23</f>
        <v>34580000</v>
      </c>
    </row>
    <row r="24" customFormat="false" ht="15" hidden="false" customHeight="false" outlineLevel="0" collapsed="false">
      <c r="A24" s="4" t="n">
        <v>2</v>
      </c>
      <c r="B24" s="11" t="n">
        <f aca="false">IF(A24&gt;$B$16,0,IF(A24&lt;=$B$12,$B$5,$B$5*(1-$B$13)^(A24-$B$12)))</f>
        <v>4000000000</v>
      </c>
      <c r="C24" s="11" t="n">
        <f aca="false">IF(A24&gt;$B$16,0,G23)</f>
        <v>259074927.5</v>
      </c>
      <c r="D24" s="11" t="n">
        <f aca="false">($B$11+$B$10)*C24</f>
        <v>33679740.575</v>
      </c>
      <c r="E24" s="11" t="n">
        <f aca="false">IF(A24&gt;$B$16,0,MIN(C24,$B$8*$B$9*B24*$B$7))</f>
        <v>6925072.5</v>
      </c>
      <c r="F24" s="11" t="n">
        <f aca="false">IF(A24&gt;$B$16,0,IF(A24=$B$16,C24-E24,IF($B$17=1,(C24-E24)*(1-B24/B23),0)))</f>
        <v>0</v>
      </c>
      <c r="G24" s="11" t="n">
        <f aca="false">C24-E24-F24</f>
        <v>252149855</v>
      </c>
      <c r="H24" s="11" t="n">
        <f aca="false">D24+F24</f>
        <v>33679740.575</v>
      </c>
    </row>
    <row r="25" customFormat="false" ht="15" hidden="false" customHeight="false" outlineLevel="0" collapsed="false">
      <c r="A25" s="4" t="n">
        <v>3</v>
      </c>
      <c r="B25" s="11" t="n">
        <f aca="false">IF(A25&gt;$B$16,0,IF(A25&lt;=$B$12,$B$5,$B$5*(1-$B$13)^(A25-$B$12)))</f>
        <v>3680000000</v>
      </c>
      <c r="C25" s="11" t="n">
        <f aca="false">IF(A25&gt;$B$16,0,G24)</f>
        <v>252149855</v>
      </c>
      <c r="D25" s="11" t="n">
        <f aca="false">($B$11+$B$10)*C25</f>
        <v>32779481.15</v>
      </c>
      <c r="E25" s="11" t="n">
        <f aca="false">IF(A25&gt;$B$16,0,MIN(C25,$B$8*$B$9*B25*$B$7))</f>
        <v>6371066.7</v>
      </c>
      <c r="F25" s="11" t="n">
        <f aca="false">IF(A25&gt;$B$16,0,IF(A25=$B$16,C25-E25,IF($B$17=1,(C25-E25)*(1-B25/B24),0)))</f>
        <v>19662303.064</v>
      </c>
      <c r="G25" s="11" t="n">
        <f aca="false">C25-E25-F25</f>
        <v>226116485.236</v>
      </c>
      <c r="H25" s="11" t="n">
        <f aca="false">D25+F25</f>
        <v>52441784.214</v>
      </c>
    </row>
    <row r="26" customFormat="false" ht="15" hidden="false" customHeight="false" outlineLevel="0" collapsed="false">
      <c r="A26" s="4" t="n">
        <v>4</v>
      </c>
      <c r="B26" s="11" t="n">
        <f aca="false">IF(A26&gt;$B$16,0,IF(A26&lt;=$B$12,$B$5,$B$5*(1-$B$13)^(A26-$B$12)))</f>
        <v>3385600000</v>
      </c>
      <c r="C26" s="11" t="n">
        <f aca="false">IF(A26&gt;$B$16,0,G25)</f>
        <v>226116485.236</v>
      </c>
      <c r="D26" s="11" t="n">
        <f aca="false">($B$11+$B$10)*C26</f>
        <v>29395143.08068</v>
      </c>
      <c r="E26" s="11" t="n">
        <f aca="false">IF(A26&gt;$B$16,0,MIN(C26,$B$8*$B$9*B26*$B$7))</f>
        <v>5861381.364</v>
      </c>
      <c r="F26" s="11" t="n">
        <f aca="false">IF(A26&gt;$B$16,0,IF(A26=$B$16,C26-E26,IF($B$17=1,(C26-E26)*(1-B26/B25),0)))</f>
        <v>17620408.30976</v>
      </c>
      <c r="G26" s="11" t="n">
        <f aca="false">C26-E26-F26</f>
        <v>202634695.56224</v>
      </c>
      <c r="H26" s="11" t="n">
        <f aca="false">D26+F26</f>
        <v>47015551.39044</v>
      </c>
    </row>
    <row r="27" customFormat="false" ht="15" hidden="false" customHeight="false" outlineLevel="0" collapsed="false">
      <c r="A27" s="4" t="n">
        <v>5</v>
      </c>
      <c r="B27" s="11" t="n">
        <f aca="false">IF(A27&gt;$B$16,0,IF(A27&lt;=$B$12,$B$5,$B$5*(1-$B$13)^(A27-$B$12)))</f>
        <v>3114752000</v>
      </c>
      <c r="C27" s="11" t="n">
        <f aca="false">IF(A27&gt;$B$16,0,G26)</f>
        <v>202634695.56224</v>
      </c>
      <c r="D27" s="11" t="n">
        <f aca="false">($B$11+$B$10)*C27</f>
        <v>26342510.4230912</v>
      </c>
      <c r="E27" s="11" t="n">
        <f aca="false">IF(A27&gt;$B$16,0,MIN(C27,$B$8*$B$9*B27*$B$7))</f>
        <v>5392470.85488</v>
      </c>
      <c r="F27" s="11" t="n">
        <f aca="false">IF(A27&gt;$B$16,0,IF(A27=$B$16,C27-E27,IF($B$17=1,(C27-E27)*(1-B27/B26),0)))</f>
        <v>197242224.70736</v>
      </c>
      <c r="G27" s="11" t="n">
        <f aca="false">C27-E27-F27</f>
        <v>0</v>
      </c>
      <c r="H27" s="11" t="n">
        <f aca="false">D27+F27</f>
        <v>223584735.130451</v>
      </c>
    </row>
    <row r="28" customFormat="false" ht="15" hidden="false" customHeight="false" outlineLevel="0" collapsed="false">
      <c r="A28" s="4" t="n">
        <v>6</v>
      </c>
      <c r="B28" s="11" t="n">
        <f aca="false">IF(A28&gt;$B$16,0,IF(A28&lt;=$B$12,$B$5,$B$5*(1-$B$13)^(A28-$B$12)))</f>
        <v>0</v>
      </c>
      <c r="C28" s="11" t="n">
        <f aca="false">IF(A28&gt;$B$16,0,G27)</f>
        <v>0</v>
      </c>
      <c r="D28" s="11" t="n">
        <f aca="false">($B$11+$B$10)*C28</f>
        <v>0</v>
      </c>
      <c r="E28" s="11" t="n">
        <f aca="false">IF(A28&gt;$B$16,0,MIN(C28,$B$8*$B$9*B28*$B$7))</f>
        <v>0</v>
      </c>
      <c r="F28" s="11" t="n">
        <f aca="false">IF(A28&gt;$B$16,0,IF(A28=$B$16,C28-E28,IF($B$17=1,(C28-E28)*(1-B28/B27),0)))</f>
        <v>0</v>
      </c>
      <c r="G28" s="11" t="n">
        <f aca="false">C28-E28-F28</f>
        <v>0</v>
      </c>
      <c r="H28" s="11" t="n">
        <f aca="false">D28+F28</f>
        <v>0</v>
      </c>
    </row>
    <row r="29" customFormat="false" ht="15" hidden="false" customHeight="false" outlineLevel="0" collapsed="false">
      <c r="A29" s="4" t="n">
        <v>7</v>
      </c>
      <c r="B29" s="11" t="n">
        <f aca="false">IF(A29&gt;$B$16,0,IF(A29&lt;=$B$12,$B$5,$B$5*(1-$B$13)^(A29-$B$12)))</f>
        <v>0</v>
      </c>
      <c r="C29" s="11" t="n">
        <f aca="false">IF(A29&gt;$B$16,0,G28)</f>
        <v>0</v>
      </c>
      <c r="D29" s="11" t="n">
        <f aca="false">($B$11+$B$10)*C29</f>
        <v>0</v>
      </c>
      <c r="E29" s="11" t="n">
        <f aca="false">IF(A29&gt;$B$16,0,MIN(C29,$B$8*$B$9*B29*$B$7))</f>
        <v>0</v>
      </c>
      <c r="F29" s="11" t="n">
        <f aca="false">IF(A29&gt;$B$16,0,IF(A29=$B$16,C29-E29,IF($B$17=1,(C29-E29)*(1-B29/B28),0)))</f>
        <v>0</v>
      </c>
      <c r="G29" s="11" t="n">
        <f aca="false">C29-E29-F29</f>
        <v>0</v>
      </c>
      <c r="H29" s="11" t="n">
        <f aca="false">D29+F29</f>
        <v>0</v>
      </c>
    </row>
    <row r="30" customFormat="false" ht="15" hidden="false" customHeight="false" outlineLevel="0" collapsed="false">
      <c r="A30" s="4" t="n">
        <v>8</v>
      </c>
      <c r="B30" s="11" t="n">
        <f aca="false">IF(A30&gt;$B$16,0,IF(A30&lt;=$B$12,$B$5,$B$5*(1-$B$13)^(A30-$B$12)))</f>
        <v>0</v>
      </c>
      <c r="C30" s="11" t="n">
        <f aca="false">IF(A30&gt;$B$16,0,G29)</f>
        <v>0</v>
      </c>
      <c r="D30" s="11" t="n">
        <f aca="false">($B$11+$B$10)*C30</f>
        <v>0</v>
      </c>
      <c r="E30" s="11" t="n">
        <f aca="false">IF(A30&gt;$B$16,0,MIN(C30,$B$8*$B$9*B30*$B$7))</f>
        <v>0</v>
      </c>
      <c r="F30" s="11" t="n">
        <f aca="false">IF(A30&gt;$B$16,0,IF(A30=$B$16,C30-E30,IF($B$17=1,(C30-E30)*(1-B30/B29),0)))</f>
        <v>0</v>
      </c>
      <c r="G30" s="11" t="n">
        <f aca="false">C30-E30-F30</f>
        <v>0</v>
      </c>
      <c r="H30" s="11" t="n">
        <f aca="false">D30+F30</f>
        <v>0</v>
      </c>
    </row>
    <row r="31" customFormat="false" ht="15" hidden="false" customHeight="false" outlineLevel="0" collapsed="false">
      <c r="A31" s="3" t="s">
        <v>26</v>
      </c>
      <c r="D31" s="12" t="n">
        <f aca="false">SUM(D23:D30)</f>
        <v>156776875.228771</v>
      </c>
      <c r="E31" s="12" t="n">
        <f aca="false">SUM(E23:E30)</f>
        <v>31475063.91888</v>
      </c>
      <c r="F31" s="12" t="n">
        <f aca="false">SUM(F23:F30)</f>
        <v>234524936.08112</v>
      </c>
      <c r="G31" s="3" t="s">
        <v>27</v>
      </c>
      <c r="H31" s="13" t="n">
        <f aca="false">IRR(H22:H30,IF(SUM(H22:H30)&gt;=0,0.1,-0.3))</f>
        <v>0.103902104467538</v>
      </c>
    </row>
    <row r="33" customFormat="false" ht="15" hidden="false" customHeight="false" outlineLevel="0" collapsed="false">
      <c r="A33" s="3" t="s">
        <v>28</v>
      </c>
    </row>
    <row r="34" customFormat="false" ht="15" hidden="false" customHeight="false" outlineLevel="0" collapsed="false">
      <c r="A34" s="4" t="s">
        <v>29</v>
      </c>
      <c r="B34" s="11" t="n">
        <f aca="false">C23</f>
        <v>266000000</v>
      </c>
    </row>
    <row r="35" customFormat="false" ht="15" hidden="false" customHeight="false" outlineLevel="0" collapsed="false">
      <c r="A35" s="4" t="s">
        <v>30</v>
      </c>
      <c r="B35" s="11" t="n">
        <f aca="false">F31+E31</f>
        <v>266000000</v>
      </c>
    </row>
    <row r="36" customFormat="false" ht="15" hidden="false" customHeight="false" outlineLevel="0" collapsed="false">
      <c r="A36" s="3" t="s">
        <v>31</v>
      </c>
      <c r="B36" s="13" t="n">
        <f aca="false">H31</f>
        <v>0.103902104467538</v>
      </c>
    </row>
    <row r="37" customFormat="false" ht="15" hidden="false" customHeight="false" outlineLevel="0" collapsed="false">
      <c r="A37" s="4" t="s">
        <v>32</v>
      </c>
      <c r="B37" s="14" t="n">
        <f aca="false">MAX(-1,B36+$B$14*(B36-$B$15))</f>
        <v>0.166005261168845</v>
      </c>
    </row>
    <row r="38" customFormat="false" ht="15" hidden="false" customHeight="false" outlineLevel="0" collapsed="false">
      <c r="A38" s="4" t="s">
        <v>33</v>
      </c>
      <c r="B38" s="14" t="n">
        <f aca="false">B36+$B$14*(B36-$B$15)</f>
        <v>0.166005261168845</v>
      </c>
    </row>
    <row r="39" customFormat="false" ht="15" hidden="false" customHeight="false" outlineLevel="0" collapsed="false">
      <c r="A39" s="4" t="s">
        <v>34</v>
      </c>
      <c r="B39" s="11" t="n">
        <f aca="false">D31-E31</f>
        <v>125301811.309891</v>
      </c>
    </row>
    <row r="40" customFormat="false" ht="15" hidden="false" customHeight="false" outlineLevel="0" collapsed="false">
      <c r="A40" s="4" t="s">
        <v>35</v>
      </c>
      <c r="B40" s="14" t="n">
        <f aca="false">E31/B34</f>
        <v>0.118327307965714</v>
      </c>
    </row>
    <row r="41" customFormat="false" ht="15" hidden="false" customHeight="false" outlineLevel="0" collapsed="false">
      <c r="A41" s="4" t="s">
        <v>36</v>
      </c>
      <c r="B41" s="15" t="n">
        <f aca="false">1/$B$6</f>
        <v>14.2857142857143</v>
      </c>
    </row>
    <row r="42" customFormat="false" ht="15" hidden="false" customHeight="false" outlineLevel="0" collapsed="false">
      <c r="A42" s="4" t="s">
        <v>37</v>
      </c>
      <c r="B42" s="15" t="n">
        <f aca="false">1/($B$6*$B$7)</f>
        <v>15.0375939849624</v>
      </c>
    </row>
    <row r="44" customFormat="false" ht="15" hidden="false" customHeight="false" outlineLevel="0" collapsed="false">
      <c r="A44" s="3" t="s">
        <v>38</v>
      </c>
    </row>
    <row r="45" customFormat="false" ht="15" hidden="false" customHeight="false" outlineLevel="0" collapsed="false">
      <c r="A45" s="4" t="s">
        <v>39</v>
      </c>
      <c r="B45" s="11" t="n">
        <f aca="false">SUMPRODUCT(C23:C30,1/(1+$B$18)^A23:A30)</f>
        <v>985061625.466098</v>
      </c>
    </row>
    <row r="46" customFormat="false" ht="15" hidden="false" customHeight="false" outlineLevel="0" collapsed="false">
      <c r="A46" s="4" t="s">
        <v>40</v>
      </c>
      <c r="B46" s="11" t="n">
        <f aca="false">SUMPRODUCT(F23:F30,1/(1+$B$18)^A23:A30)</f>
        <v>166412324.033345</v>
      </c>
    </row>
    <row r="47" customFormat="false" ht="15" hidden="false" customHeight="false" outlineLevel="0" collapsed="false">
      <c r="A47" s="3" t="s">
        <v>41</v>
      </c>
      <c r="B47" s="13" t="n">
        <f aca="false">(B34-B46)/B45-$B$11</f>
        <v>0.0760979144777193</v>
      </c>
    </row>
    <row r="48" customFormat="false" ht="15" hidden="false" customHeight="false" outlineLevel="0" collapsed="false">
      <c r="A48" s="16" t="s">
        <v>42</v>
      </c>
    </row>
    <row r="50" customFormat="false" ht="15" hidden="false" customHeight="false" outlineLevel="0" collapsed="false">
      <c r="A50" s="3" t="s">
        <v>43</v>
      </c>
    </row>
    <row r="51" customFormat="false" ht="15" hidden="false" customHeight="false" outlineLevel="0" collapsed="false">
      <c r="A51" s="10" t="s">
        <v>18</v>
      </c>
      <c r="B51" s="10" t="s">
        <v>44</v>
      </c>
    </row>
    <row r="52" customFormat="false" ht="15" hidden="false" customHeight="false" outlineLevel="0" collapsed="false">
      <c r="A52" s="4" t="n">
        <v>0</v>
      </c>
      <c r="B52" s="11" t="n">
        <f aca="false">H22</f>
        <v>-266000000</v>
      </c>
    </row>
    <row r="53" customFormat="false" ht="15" hidden="false" customHeight="false" outlineLevel="0" collapsed="false">
      <c r="A53" s="4" t="n">
        <v>1</v>
      </c>
      <c r="B53" s="11" t="n">
        <f aca="false">D23-E23+F23</f>
        <v>27654927.5</v>
      </c>
    </row>
    <row r="54" customFormat="false" ht="15" hidden="false" customHeight="false" outlineLevel="0" collapsed="false">
      <c r="A54" s="4" t="n">
        <v>2</v>
      </c>
      <c r="B54" s="11" t="n">
        <f aca="false">D24-E24+F24</f>
        <v>26754668.075</v>
      </c>
    </row>
    <row r="55" customFormat="false" ht="15" hidden="false" customHeight="false" outlineLevel="0" collapsed="false">
      <c r="A55" s="4" t="n">
        <v>3</v>
      </c>
      <c r="B55" s="11" t="n">
        <f aca="false">D25-E25+F25</f>
        <v>46070717.514</v>
      </c>
    </row>
    <row r="56" customFormat="false" ht="15" hidden="false" customHeight="false" outlineLevel="0" collapsed="false">
      <c r="A56" s="4" t="n">
        <v>4</v>
      </c>
      <c r="B56" s="11" t="n">
        <f aca="false">D26-E26+F26</f>
        <v>41154170.02644</v>
      </c>
    </row>
    <row r="57" customFormat="false" ht="15" hidden="false" customHeight="false" outlineLevel="0" collapsed="false">
      <c r="A57" s="4" t="n">
        <v>5</v>
      </c>
      <c r="B57" s="11" t="n">
        <f aca="false">D27-E27+F27</f>
        <v>218192264.275571</v>
      </c>
    </row>
    <row r="58" customFormat="false" ht="15" hidden="false" customHeight="false" outlineLevel="0" collapsed="false">
      <c r="A58" s="4" t="n">
        <v>6</v>
      </c>
      <c r="B58" s="11" t="n">
        <f aca="false">D28-E28+F28</f>
        <v>0</v>
      </c>
    </row>
    <row r="59" customFormat="false" ht="15" hidden="false" customHeight="false" outlineLevel="0" collapsed="false">
      <c r="A59" s="4" t="n">
        <v>7</v>
      </c>
      <c r="B59" s="11" t="n">
        <f aca="false">D29-E29+F29</f>
        <v>0</v>
      </c>
    </row>
    <row r="60" customFormat="false" ht="15" hidden="false" customHeight="false" outlineLevel="0" collapsed="false">
      <c r="A60" s="4" t="n">
        <v>8</v>
      </c>
      <c r="B60" s="11" t="n">
        <f aca="false">D30-E30+F30</f>
        <v>0</v>
      </c>
    </row>
    <row r="61" customFormat="false" ht="15" hidden="false" customHeight="false" outlineLevel="0" collapsed="false">
      <c r="A61" s="4" t="s">
        <v>45</v>
      </c>
      <c r="B61" s="14" t="n">
        <f aca="false">IRR(B52:B60,IF(SUM(B52:B60)&gt;=0,0.1,-0.3))</f>
        <v>0.077804195894877</v>
      </c>
    </row>
    <row r="62" customFormat="false" ht="15" hidden="false" customHeight="false" outlineLevel="0" collapsed="false">
      <c r="A62" s="3" t="s">
        <v>46</v>
      </c>
      <c r="B62" s="13" t="n">
        <f aca="false">B36-B61</f>
        <v>0.0260979085726609</v>
      </c>
    </row>
    <row r="63" customFormat="false" ht="15" hidden="false" customHeight="false" outlineLevel="0" collapsed="false">
      <c r="A63" s="16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8" min="2" style="0" width="16"/>
  </cols>
  <sheetData>
    <row r="1" customFormat="false" ht="15" hidden="false" customHeight="false" outlineLevel="0" collapsed="false">
      <c r="A1" s="1" t="s">
        <v>48</v>
      </c>
    </row>
    <row r="2" customFormat="false" ht="15" hidden="false" customHeight="false" outlineLevel="0" collapsed="false">
      <c r="A2" s="2" t="s">
        <v>49</v>
      </c>
    </row>
    <row r="4" customFormat="false" ht="15" hidden="false" customHeight="false" outlineLevel="0" collapsed="false">
      <c r="A4" s="3" t="s">
        <v>50</v>
      </c>
    </row>
    <row r="5" customFormat="false" ht="15" hidden="false" customHeight="false" outlineLevel="0" collapsed="false">
      <c r="A5" s="10" t="s">
        <v>18</v>
      </c>
      <c r="B5" s="10" t="s">
        <v>19</v>
      </c>
      <c r="C5" s="10" t="s">
        <v>20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</row>
    <row r="6" customFormat="false" ht="15" hidden="false" customHeight="false" outlineLevel="0" collapsed="false">
      <c r="A6" s="4" t="n">
        <v>0</v>
      </c>
      <c r="B6" s="11" t="n">
        <f aca="false">Investor!$B$5</f>
        <v>4000000000</v>
      </c>
      <c r="H6" s="11" t="n">
        <f aca="false">-C7</f>
        <v>-266000000</v>
      </c>
    </row>
    <row r="7" customFormat="false" ht="15" hidden="false" customHeight="false" outlineLevel="0" collapsed="false">
      <c r="A7" s="4" t="n">
        <v>1</v>
      </c>
      <c r="B7" s="11" t="n">
        <f aca="false">IF(A7&gt;Investor!$B$16,0,IF(A7&lt;=Investor!$B$12,Investor!$B$5,Investor!$B$5*(1-Investor!$B$13)^(A7-Investor!$B$12)))</f>
        <v>4000000000</v>
      </c>
      <c r="C7" s="11" t="n">
        <f aca="false">IF(A7&gt;Investor!$B$16,0,Investor!$B$6*Investor!$B$5*Investor!$B$7)</f>
        <v>266000000</v>
      </c>
      <c r="D7" s="11" t="n">
        <f aca="false">(Investor!$B$11+Investor!$B$10)*C7</f>
        <v>34580000</v>
      </c>
      <c r="E7" s="11" t="n">
        <f aca="false">IF(A7&gt;Investor!$B$16,0,MIN(C7,0*B7*Investor!$B$7))</f>
        <v>0</v>
      </c>
      <c r="F7" s="11" t="n">
        <f aca="false">IF(A7&gt;Investor!$B$16,0,IF(A7=Investor!$B$16,C7-E7,IF(Investor!$B$17=1,(C7-E7)*(1-B7/B6),0)))</f>
        <v>0</v>
      </c>
      <c r="G7" s="11" t="n">
        <f aca="false">C7-E7-F7</f>
        <v>266000000</v>
      </c>
      <c r="H7" s="11" t="n">
        <f aca="false">D7+F7</f>
        <v>34580000</v>
      </c>
    </row>
    <row r="8" customFormat="false" ht="15" hidden="false" customHeight="false" outlineLevel="0" collapsed="false">
      <c r="A8" s="4" t="n">
        <v>2</v>
      </c>
      <c r="B8" s="11" t="n">
        <f aca="false">IF(A8&gt;Investor!$B$16,0,IF(A8&lt;=Investor!$B$12,Investor!$B$5,Investor!$B$5*(1-Investor!$B$13)^(A8-Investor!$B$12)))</f>
        <v>4000000000</v>
      </c>
      <c r="C8" s="11" t="n">
        <f aca="false">IF(A8&gt;Investor!$B$16,0,G7)</f>
        <v>266000000</v>
      </c>
      <c r="D8" s="11" t="n">
        <f aca="false">(Investor!$B$11+Investor!$B$10)*C8</f>
        <v>34580000</v>
      </c>
      <c r="E8" s="11" t="n">
        <f aca="false">IF(A8&gt;Investor!$B$16,0,MIN(C8,0*B8*Investor!$B$7))</f>
        <v>0</v>
      </c>
      <c r="F8" s="11" t="n">
        <f aca="false">IF(A8&gt;Investor!$B$16,0,IF(A8=Investor!$B$16,C8-E8,IF(Investor!$B$17=1,(C8-E8)*(1-B8/B7),0)))</f>
        <v>0</v>
      </c>
      <c r="G8" s="11" t="n">
        <f aca="false">C8-E8-F8</f>
        <v>266000000</v>
      </c>
      <c r="H8" s="11" t="n">
        <f aca="false">D8+F8</f>
        <v>34580000</v>
      </c>
    </row>
    <row r="9" customFormat="false" ht="15" hidden="false" customHeight="false" outlineLevel="0" collapsed="false">
      <c r="A9" s="4" t="n">
        <v>3</v>
      </c>
      <c r="B9" s="11" t="n">
        <f aca="false">IF(A9&gt;Investor!$B$16,0,IF(A9&lt;=Investor!$B$12,Investor!$B$5,Investor!$B$5*(1-Investor!$B$13)^(A9-Investor!$B$12)))</f>
        <v>3680000000</v>
      </c>
      <c r="C9" s="11" t="n">
        <f aca="false">IF(A9&gt;Investor!$B$16,0,G8)</f>
        <v>266000000</v>
      </c>
      <c r="D9" s="11" t="n">
        <f aca="false">(Investor!$B$11+Investor!$B$10)*C9</f>
        <v>34580000</v>
      </c>
      <c r="E9" s="11" t="n">
        <f aca="false">IF(A9&gt;Investor!$B$16,0,MIN(C9,0*B9*Investor!$B$7))</f>
        <v>0</v>
      </c>
      <c r="F9" s="11" t="n">
        <f aca="false">IF(A9&gt;Investor!$B$16,0,IF(A9=Investor!$B$16,C9-E9,IF(Investor!$B$17=1,(C9-E9)*(1-B9/B8),0)))</f>
        <v>21280000</v>
      </c>
      <c r="G9" s="11" t="n">
        <f aca="false">C9-E9-F9</f>
        <v>244720000</v>
      </c>
      <c r="H9" s="11" t="n">
        <f aca="false">D9+F9</f>
        <v>55860000</v>
      </c>
    </row>
    <row r="10" customFormat="false" ht="15" hidden="false" customHeight="false" outlineLevel="0" collapsed="false">
      <c r="A10" s="4" t="n">
        <v>4</v>
      </c>
      <c r="B10" s="11" t="n">
        <f aca="false">IF(A10&gt;Investor!$B$16,0,IF(A10&lt;=Investor!$B$12,Investor!$B$5,Investor!$B$5*(1-Investor!$B$13)^(A10-Investor!$B$12)))</f>
        <v>3385600000</v>
      </c>
      <c r="C10" s="11" t="n">
        <f aca="false">IF(A10&gt;Investor!$B$16,0,G9)</f>
        <v>244720000</v>
      </c>
      <c r="D10" s="11" t="n">
        <f aca="false">(Investor!$B$11+Investor!$B$10)*C10</f>
        <v>31813600</v>
      </c>
      <c r="E10" s="11" t="n">
        <f aca="false">IF(A10&gt;Investor!$B$16,0,MIN(C10,0*B10*Investor!$B$7))</f>
        <v>0</v>
      </c>
      <c r="F10" s="11" t="n">
        <f aca="false">IF(A10&gt;Investor!$B$16,0,IF(A10=Investor!$B$16,C10-E10,IF(Investor!$B$17=1,(C10-E10)*(1-B10/B9),0)))</f>
        <v>19577600</v>
      </c>
      <c r="G10" s="11" t="n">
        <f aca="false">C10-E10-F10</f>
        <v>225142400</v>
      </c>
      <c r="H10" s="11" t="n">
        <f aca="false">D10+F10</f>
        <v>51391200</v>
      </c>
    </row>
    <row r="11" customFormat="false" ht="15" hidden="false" customHeight="false" outlineLevel="0" collapsed="false">
      <c r="A11" s="4" t="n">
        <v>5</v>
      </c>
      <c r="B11" s="11" t="n">
        <f aca="false">IF(A11&gt;Investor!$B$16,0,IF(A11&lt;=Investor!$B$12,Investor!$B$5,Investor!$B$5*(1-Investor!$B$13)^(A11-Investor!$B$12)))</f>
        <v>3114752000</v>
      </c>
      <c r="C11" s="11" t="n">
        <f aca="false">IF(A11&gt;Investor!$B$16,0,G10)</f>
        <v>225142400</v>
      </c>
      <c r="D11" s="11" t="n">
        <f aca="false">(Investor!$B$11+Investor!$B$10)*C11</f>
        <v>29268512</v>
      </c>
      <c r="E11" s="11" t="n">
        <f aca="false">IF(A11&gt;Investor!$B$16,0,MIN(C11,0*B11*Investor!$B$7))</f>
        <v>0</v>
      </c>
      <c r="F11" s="11" t="n">
        <f aca="false">IF(A11&gt;Investor!$B$16,0,IF(A11=Investor!$B$16,C11-E11,IF(Investor!$B$17=1,(C11-E11)*(1-B11/B10),0)))</f>
        <v>225142400</v>
      </c>
      <c r="G11" s="11" t="n">
        <f aca="false">C11-E11-F11</f>
        <v>0</v>
      </c>
      <c r="H11" s="11" t="n">
        <f aca="false">D11+F11</f>
        <v>254410912</v>
      </c>
    </row>
    <row r="12" customFormat="false" ht="15" hidden="false" customHeight="false" outlineLevel="0" collapsed="false">
      <c r="A12" s="4" t="n">
        <v>6</v>
      </c>
      <c r="B12" s="11" t="n">
        <f aca="false">IF(A12&gt;Investor!$B$16,0,IF(A12&lt;=Investor!$B$12,Investor!$B$5,Investor!$B$5*(1-Investor!$B$13)^(A12-Investor!$B$12)))</f>
        <v>0</v>
      </c>
      <c r="C12" s="11" t="n">
        <f aca="false">IF(A12&gt;Investor!$B$16,0,G11)</f>
        <v>0</v>
      </c>
      <c r="D12" s="11" t="n">
        <f aca="false">(Investor!$B$11+Investor!$B$10)*C12</f>
        <v>0</v>
      </c>
      <c r="E12" s="11" t="n">
        <f aca="false">IF(A12&gt;Investor!$B$16,0,MIN(C12,0*B12*Investor!$B$7))</f>
        <v>0</v>
      </c>
      <c r="F12" s="11" t="n">
        <f aca="false">IF(A12&gt;Investor!$B$16,0,IF(A12=Investor!$B$16,C12-E12,IF(Investor!$B$17=1,(C12-E12)*(1-B12/B11),0)))</f>
        <v>0</v>
      </c>
      <c r="G12" s="11" t="n">
        <f aca="false">C12-E12-F12</f>
        <v>0</v>
      </c>
      <c r="H12" s="11" t="n">
        <f aca="false">D12+F12</f>
        <v>0</v>
      </c>
    </row>
    <row r="13" customFormat="false" ht="15" hidden="false" customHeight="false" outlineLevel="0" collapsed="false">
      <c r="A13" s="4" t="n">
        <v>7</v>
      </c>
      <c r="B13" s="11" t="n">
        <f aca="false">IF(A13&gt;Investor!$B$16,0,IF(A13&lt;=Investor!$B$12,Investor!$B$5,Investor!$B$5*(1-Investor!$B$13)^(A13-Investor!$B$12)))</f>
        <v>0</v>
      </c>
      <c r="C13" s="11" t="n">
        <f aca="false">IF(A13&gt;Investor!$B$16,0,G12)</f>
        <v>0</v>
      </c>
      <c r="D13" s="11" t="n">
        <f aca="false">(Investor!$B$11+Investor!$B$10)*C13</f>
        <v>0</v>
      </c>
      <c r="E13" s="11" t="n">
        <f aca="false">IF(A13&gt;Investor!$B$16,0,MIN(C13,0*B13*Investor!$B$7))</f>
        <v>0</v>
      </c>
      <c r="F13" s="11" t="n">
        <f aca="false">IF(A13&gt;Investor!$B$16,0,IF(A13=Investor!$B$16,C13-E13,IF(Investor!$B$17=1,(C13-E13)*(1-B13/B12),0)))</f>
        <v>0</v>
      </c>
      <c r="G13" s="11" t="n">
        <f aca="false">C13-E13-F13</f>
        <v>0</v>
      </c>
      <c r="H13" s="11" t="n">
        <f aca="false">D13+F13</f>
        <v>0</v>
      </c>
    </row>
    <row r="14" customFormat="false" ht="15" hidden="false" customHeight="false" outlineLevel="0" collapsed="false">
      <c r="A14" s="4" t="n">
        <v>8</v>
      </c>
      <c r="B14" s="11" t="n">
        <f aca="false">IF(A14&gt;Investor!$B$16,0,IF(A14&lt;=Investor!$B$12,Investor!$B$5,Investor!$B$5*(1-Investor!$B$13)^(A14-Investor!$B$12)))</f>
        <v>0</v>
      </c>
      <c r="C14" s="11" t="n">
        <f aca="false">IF(A14&gt;Investor!$B$16,0,G13)</f>
        <v>0</v>
      </c>
      <c r="D14" s="11" t="n">
        <f aca="false">(Investor!$B$11+Investor!$B$10)*C14</f>
        <v>0</v>
      </c>
      <c r="E14" s="11" t="n">
        <f aca="false">IF(A14&gt;Investor!$B$16,0,MIN(C14,0*B14*Investor!$B$7))</f>
        <v>0</v>
      </c>
      <c r="F14" s="11" t="n">
        <f aca="false">IF(A14&gt;Investor!$B$16,0,IF(A14=Investor!$B$16,C14-E14,IF(Investor!$B$17=1,(C14-E14)*(1-B14/B13),0)))</f>
        <v>0</v>
      </c>
      <c r="G14" s="11" t="n">
        <f aca="false">C14-E14-F14</f>
        <v>0</v>
      </c>
      <c r="H14" s="11" t="n">
        <f aca="false">D14+F14</f>
        <v>0</v>
      </c>
    </row>
    <row r="15" customFormat="false" ht="15" hidden="false" customHeight="false" outlineLevel="0" collapsed="false">
      <c r="A15" s="3" t="s">
        <v>26</v>
      </c>
      <c r="D15" s="12" t="n">
        <f aca="false">SUM(D7:D14)</f>
        <v>164822112</v>
      </c>
      <c r="E15" s="12" t="n">
        <f aca="false">SUM(E7:E14)</f>
        <v>0</v>
      </c>
      <c r="F15" s="12" t="n">
        <f aca="false">SUM(F7:F14)</f>
        <v>266000000</v>
      </c>
      <c r="G15" s="3" t="s">
        <v>27</v>
      </c>
      <c r="H15" s="13" t="n">
        <f aca="false">IRR(H6:H14,IF(SUM(H6:H14)&gt;=0,0.1,-0.3))</f>
        <v>0.13</v>
      </c>
    </row>
    <row r="18" customFormat="false" ht="15" hidden="false" customHeight="false" outlineLevel="0" collapsed="false">
      <c r="A18" s="3" t="s">
        <v>51</v>
      </c>
    </row>
    <row r="19" customFormat="false" ht="15" hidden="false" customHeight="false" outlineLevel="0" collapsed="false">
      <c r="A19" s="10" t="s">
        <v>18</v>
      </c>
      <c r="B19" s="10" t="s">
        <v>19</v>
      </c>
      <c r="C19" s="10" t="s">
        <v>20</v>
      </c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</row>
    <row r="20" customFormat="false" ht="15" hidden="false" customHeight="false" outlineLevel="0" collapsed="false">
      <c r="A20" s="4" t="n">
        <v>0</v>
      </c>
      <c r="B20" s="11" t="n">
        <f aca="false">Investor!$B$5</f>
        <v>4000000000</v>
      </c>
      <c r="H20" s="11" t="n">
        <f aca="false">-C21</f>
        <v>-266000000</v>
      </c>
    </row>
    <row r="21" customFormat="false" ht="15" hidden="false" customHeight="false" outlineLevel="0" collapsed="false">
      <c r="A21" s="4" t="n">
        <v>1</v>
      </c>
      <c r="B21" s="11" t="n">
        <f aca="false">IF(A21&gt;Investor!$B$16,0,IF(A21&lt;=Investor!$B$12,Investor!$B$5,Investor!$B$5*(1-Investor!$B$13)^(A21-Investor!$B$12)))</f>
        <v>4000000000</v>
      </c>
      <c r="C21" s="11" t="n">
        <f aca="false">IF(A21&gt;Investor!$B$16,0,Investor!$B$6*Investor!$B$5*Investor!$B$7)</f>
        <v>266000000</v>
      </c>
      <c r="D21" s="11" t="n">
        <f aca="false">(Investor!$B$11+Investor!$B$10)*C21</f>
        <v>34580000</v>
      </c>
      <c r="E21" s="11" t="n">
        <f aca="false">IF(A21&gt;Investor!$B$16,0,MIN(C21,Investor!$B$8*B21*Investor!$B$7))</f>
        <v>6925072.5</v>
      </c>
      <c r="F21" s="11" t="n">
        <f aca="false">IF(A21&gt;Investor!$B$16,0,IF(A21=Investor!$B$16,C21-E21,IF(Investor!$B$17=1,(C21-E21)*(1-B21/B20),0)))</f>
        <v>0</v>
      </c>
      <c r="G21" s="11" t="n">
        <f aca="false">C21-E21-F21</f>
        <v>259074927.5</v>
      </c>
      <c r="H21" s="11" t="n">
        <f aca="false">D21+F21</f>
        <v>34580000</v>
      </c>
    </row>
    <row r="22" customFormat="false" ht="15" hidden="false" customHeight="false" outlineLevel="0" collapsed="false">
      <c r="A22" s="4" t="n">
        <v>2</v>
      </c>
      <c r="B22" s="11" t="n">
        <f aca="false">IF(A22&gt;Investor!$B$16,0,IF(A22&lt;=Investor!$B$12,Investor!$B$5,Investor!$B$5*(1-Investor!$B$13)^(A22-Investor!$B$12)))</f>
        <v>4000000000</v>
      </c>
      <c r="C22" s="11" t="n">
        <f aca="false">IF(A22&gt;Investor!$B$16,0,G21)</f>
        <v>259074927.5</v>
      </c>
      <c r="D22" s="11" t="n">
        <f aca="false">(Investor!$B$11+Investor!$B$10)*C22</f>
        <v>33679740.575</v>
      </c>
      <c r="E22" s="11" t="n">
        <f aca="false">IF(A22&gt;Investor!$B$16,0,MIN(C22,Investor!$B$8*B22*Investor!$B$7))</f>
        <v>6925072.5</v>
      </c>
      <c r="F22" s="11" t="n">
        <f aca="false">IF(A22&gt;Investor!$B$16,0,IF(A22=Investor!$B$16,C22-E22,IF(Investor!$B$17=1,(C22-E22)*(1-B22/B21),0)))</f>
        <v>0</v>
      </c>
      <c r="G22" s="11" t="n">
        <f aca="false">C22-E22-F22</f>
        <v>252149855</v>
      </c>
      <c r="H22" s="11" t="n">
        <f aca="false">D22+F22</f>
        <v>33679740.575</v>
      </c>
    </row>
    <row r="23" customFormat="false" ht="15" hidden="false" customHeight="false" outlineLevel="0" collapsed="false">
      <c r="A23" s="4" t="n">
        <v>3</v>
      </c>
      <c r="B23" s="11" t="n">
        <f aca="false">IF(A23&gt;Investor!$B$16,0,IF(A23&lt;=Investor!$B$12,Investor!$B$5,Investor!$B$5*(1-Investor!$B$13)^(A23-Investor!$B$12)))</f>
        <v>3680000000</v>
      </c>
      <c r="C23" s="11" t="n">
        <f aca="false">IF(A23&gt;Investor!$B$16,0,G22)</f>
        <v>252149855</v>
      </c>
      <c r="D23" s="11" t="n">
        <f aca="false">(Investor!$B$11+Investor!$B$10)*C23</f>
        <v>32779481.15</v>
      </c>
      <c r="E23" s="11" t="n">
        <f aca="false">IF(A23&gt;Investor!$B$16,0,MIN(C23,Investor!$B$8*B23*Investor!$B$7))</f>
        <v>6371066.7</v>
      </c>
      <c r="F23" s="11" t="n">
        <f aca="false">IF(A23&gt;Investor!$B$16,0,IF(A23=Investor!$B$16,C23-E23,IF(Investor!$B$17=1,(C23-E23)*(1-B23/B22),0)))</f>
        <v>19662303.064</v>
      </c>
      <c r="G23" s="11" t="n">
        <f aca="false">C23-E23-F23</f>
        <v>226116485.236</v>
      </c>
      <c r="H23" s="11" t="n">
        <f aca="false">D23+F23</f>
        <v>52441784.214</v>
      </c>
    </row>
    <row r="24" customFormat="false" ht="15" hidden="false" customHeight="false" outlineLevel="0" collapsed="false">
      <c r="A24" s="4" t="n">
        <v>4</v>
      </c>
      <c r="B24" s="11" t="n">
        <f aca="false">IF(A24&gt;Investor!$B$16,0,IF(A24&lt;=Investor!$B$12,Investor!$B$5,Investor!$B$5*(1-Investor!$B$13)^(A24-Investor!$B$12)))</f>
        <v>3385600000</v>
      </c>
      <c r="C24" s="11" t="n">
        <f aca="false">IF(A24&gt;Investor!$B$16,0,G23)</f>
        <v>226116485.236</v>
      </c>
      <c r="D24" s="11" t="n">
        <f aca="false">(Investor!$B$11+Investor!$B$10)*C24</f>
        <v>29395143.08068</v>
      </c>
      <c r="E24" s="11" t="n">
        <f aca="false">IF(A24&gt;Investor!$B$16,0,MIN(C24,Investor!$B$8*B24*Investor!$B$7))</f>
        <v>5861381.364</v>
      </c>
      <c r="F24" s="11" t="n">
        <f aca="false">IF(A24&gt;Investor!$B$16,0,IF(A24=Investor!$B$16,C24-E24,IF(Investor!$B$17=1,(C24-E24)*(1-B24/B23),0)))</f>
        <v>17620408.30976</v>
      </c>
      <c r="G24" s="11" t="n">
        <f aca="false">C24-E24-F24</f>
        <v>202634695.56224</v>
      </c>
      <c r="H24" s="11" t="n">
        <f aca="false">D24+F24</f>
        <v>47015551.39044</v>
      </c>
    </row>
    <row r="25" customFormat="false" ht="15" hidden="false" customHeight="false" outlineLevel="0" collapsed="false">
      <c r="A25" s="4" t="n">
        <v>5</v>
      </c>
      <c r="B25" s="11" t="n">
        <f aca="false">IF(A25&gt;Investor!$B$16,0,IF(A25&lt;=Investor!$B$12,Investor!$B$5,Investor!$B$5*(1-Investor!$B$13)^(A25-Investor!$B$12)))</f>
        <v>3114752000</v>
      </c>
      <c r="C25" s="11" t="n">
        <f aca="false">IF(A25&gt;Investor!$B$16,0,G24)</f>
        <v>202634695.56224</v>
      </c>
      <c r="D25" s="11" t="n">
        <f aca="false">(Investor!$B$11+Investor!$B$10)*C25</f>
        <v>26342510.4230912</v>
      </c>
      <c r="E25" s="11" t="n">
        <f aca="false">IF(A25&gt;Investor!$B$16,0,MIN(C25,Investor!$B$8*B25*Investor!$B$7))</f>
        <v>5392470.85488</v>
      </c>
      <c r="F25" s="11" t="n">
        <f aca="false">IF(A25&gt;Investor!$B$16,0,IF(A25=Investor!$B$16,C25-E25,IF(Investor!$B$17=1,(C25-E25)*(1-B25/B24),0)))</f>
        <v>197242224.70736</v>
      </c>
      <c r="G25" s="11" t="n">
        <f aca="false">C25-E25-F25</f>
        <v>0</v>
      </c>
      <c r="H25" s="11" t="n">
        <f aca="false">D25+F25</f>
        <v>223584735.130451</v>
      </c>
    </row>
    <row r="26" customFormat="false" ht="15" hidden="false" customHeight="false" outlineLevel="0" collapsed="false">
      <c r="A26" s="4" t="n">
        <v>6</v>
      </c>
      <c r="B26" s="11" t="n">
        <f aca="false">IF(A26&gt;Investor!$B$16,0,IF(A26&lt;=Investor!$B$12,Investor!$B$5,Investor!$B$5*(1-Investor!$B$13)^(A26-Investor!$B$12)))</f>
        <v>0</v>
      </c>
      <c r="C26" s="11" t="n">
        <f aca="false">IF(A26&gt;Investor!$B$16,0,G25)</f>
        <v>0</v>
      </c>
      <c r="D26" s="11" t="n">
        <f aca="false">(Investor!$B$11+Investor!$B$10)*C26</f>
        <v>0</v>
      </c>
      <c r="E26" s="11" t="n">
        <f aca="false">IF(A26&gt;Investor!$B$16,0,MIN(C26,Investor!$B$8*B26*Investor!$B$7))</f>
        <v>0</v>
      </c>
      <c r="F26" s="11" t="n">
        <f aca="false">IF(A26&gt;Investor!$B$16,0,IF(A26=Investor!$B$16,C26-E26,IF(Investor!$B$17=1,(C26-E26)*(1-B26/B25),0)))</f>
        <v>0</v>
      </c>
      <c r="G26" s="11" t="n">
        <f aca="false">C26-E26-F26</f>
        <v>0</v>
      </c>
      <c r="H26" s="11" t="n">
        <f aca="false">D26+F26</f>
        <v>0</v>
      </c>
    </row>
    <row r="27" customFormat="false" ht="15" hidden="false" customHeight="false" outlineLevel="0" collapsed="false">
      <c r="A27" s="4" t="n">
        <v>7</v>
      </c>
      <c r="B27" s="11" t="n">
        <f aca="false">IF(A27&gt;Investor!$B$16,0,IF(A27&lt;=Investor!$B$12,Investor!$B$5,Investor!$B$5*(1-Investor!$B$13)^(A27-Investor!$B$12)))</f>
        <v>0</v>
      </c>
      <c r="C27" s="11" t="n">
        <f aca="false">IF(A27&gt;Investor!$B$16,0,G26)</f>
        <v>0</v>
      </c>
      <c r="D27" s="11" t="n">
        <f aca="false">(Investor!$B$11+Investor!$B$10)*C27</f>
        <v>0</v>
      </c>
      <c r="E27" s="11" t="n">
        <f aca="false">IF(A27&gt;Investor!$B$16,0,MIN(C27,Investor!$B$8*B27*Investor!$B$7))</f>
        <v>0</v>
      </c>
      <c r="F27" s="11" t="n">
        <f aca="false">IF(A27&gt;Investor!$B$16,0,IF(A27=Investor!$B$16,C27-E27,IF(Investor!$B$17=1,(C27-E27)*(1-B27/B26),0)))</f>
        <v>0</v>
      </c>
      <c r="G27" s="11" t="n">
        <f aca="false">C27-E27-F27</f>
        <v>0</v>
      </c>
      <c r="H27" s="11" t="n">
        <f aca="false">D27+F27</f>
        <v>0</v>
      </c>
    </row>
    <row r="28" customFormat="false" ht="15" hidden="false" customHeight="false" outlineLevel="0" collapsed="false">
      <c r="A28" s="4" t="n">
        <v>8</v>
      </c>
      <c r="B28" s="11" t="n">
        <f aca="false">IF(A28&gt;Investor!$B$16,0,IF(A28&lt;=Investor!$B$12,Investor!$B$5,Investor!$B$5*(1-Investor!$B$13)^(A28-Investor!$B$12)))</f>
        <v>0</v>
      </c>
      <c r="C28" s="11" t="n">
        <f aca="false">IF(A28&gt;Investor!$B$16,0,G27)</f>
        <v>0</v>
      </c>
      <c r="D28" s="11" t="n">
        <f aca="false">(Investor!$B$11+Investor!$B$10)*C28</f>
        <v>0</v>
      </c>
      <c r="E28" s="11" t="n">
        <f aca="false">IF(A28&gt;Investor!$B$16,0,MIN(C28,Investor!$B$8*B28*Investor!$B$7))</f>
        <v>0</v>
      </c>
      <c r="F28" s="11" t="n">
        <f aca="false">IF(A28&gt;Investor!$B$16,0,IF(A28=Investor!$B$16,C28-E28,IF(Investor!$B$17=1,(C28-E28)*(1-B28/B27),0)))</f>
        <v>0</v>
      </c>
      <c r="G28" s="11" t="n">
        <f aca="false">C28-E28-F28</f>
        <v>0</v>
      </c>
      <c r="H28" s="11" t="n">
        <f aca="false">D28+F28</f>
        <v>0</v>
      </c>
    </row>
    <row r="29" customFormat="false" ht="15" hidden="false" customHeight="false" outlineLevel="0" collapsed="false">
      <c r="A29" s="3" t="s">
        <v>26</v>
      </c>
      <c r="D29" s="12" t="n">
        <f aca="false">SUM(D21:D28)</f>
        <v>156776875.228771</v>
      </c>
      <c r="E29" s="12" t="n">
        <f aca="false">SUM(E21:E28)</f>
        <v>31475063.91888</v>
      </c>
      <c r="F29" s="12" t="n">
        <f aca="false">SUM(F21:F28)</f>
        <v>234524936.08112</v>
      </c>
      <c r="G29" s="3" t="s">
        <v>27</v>
      </c>
      <c r="H29" s="13" t="n">
        <f aca="false">IRR(H20:H28,IF(SUM(H20:H28)&gt;=0,0.1,-0.3))</f>
        <v>0.103902104467538</v>
      </c>
    </row>
    <row r="32" customFormat="false" ht="15" hidden="false" customHeight="false" outlineLevel="0" collapsed="false">
      <c r="A32" s="3" t="s">
        <v>52</v>
      </c>
    </row>
    <row r="33" customFormat="false" ht="15" hidden="false" customHeight="false" outlineLevel="0" collapsed="false">
      <c r="A33" s="4" t="s">
        <v>53</v>
      </c>
      <c r="B33" s="11" t="n">
        <f aca="false">D15</f>
        <v>164822112</v>
      </c>
    </row>
    <row r="34" customFormat="false" ht="15" hidden="false" customHeight="false" outlineLevel="0" collapsed="false">
      <c r="A34" s="4" t="s">
        <v>54</v>
      </c>
      <c r="B34" s="11" t="n">
        <f aca="false">D29-E29</f>
        <v>125301811.309891</v>
      </c>
    </row>
    <row r="35" customFormat="false" ht="15" hidden="false" customHeight="false" outlineLevel="0" collapsed="false">
      <c r="A35" s="3" t="s">
        <v>55</v>
      </c>
      <c r="B35" s="17" t="n">
        <f aca="false">B33/(B33-B34)</f>
        <v>4.17056826800035</v>
      </c>
    </row>
    <row r="36" customFormat="false" ht="15" hidden="false" customHeight="false" outlineLevel="0" collapsed="false">
      <c r="A36" s="4" t="s">
        <v>56</v>
      </c>
      <c r="B36" s="11" t="n">
        <f aca="false">Investor!$B$10*SUM(C7:C14)</f>
        <v>133125552</v>
      </c>
    </row>
    <row r="37" customFormat="false" ht="15" hidden="false" customHeight="false" outlineLevel="0" collapsed="false">
      <c r="A37" s="4" t="s">
        <v>57</v>
      </c>
      <c r="B37" s="11" t="n">
        <f aca="false">Investor!$B$10*SUM(C21:C28)-E29</f>
        <v>95152412.2274352</v>
      </c>
    </row>
    <row r="38" customFormat="false" ht="15" hidden="false" customHeight="false" outlineLevel="0" collapsed="false">
      <c r="A38" s="3" t="s">
        <v>58</v>
      </c>
      <c r="B38" s="17" t="n">
        <f aca="false">B36/(B36-B37)</f>
        <v>3.50578205535119</v>
      </c>
    </row>
    <row r="40" customFormat="false" ht="15" hidden="false" customHeight="false" outlineLevel="0" collapsed="false">
      <c r="A40" s="3" t="s">
        <v>59</v>
      </c>
    </row>
    <row r="41" customFormat="false" ht="15" hidden="false" customHeight="false" outlineLevel="0" collapsed="false">
      <c r="A41" s="10" t="s">
        <v>18</v>
      </c>
      <c r="B41" s="10" t="s">
        <v>19</v>
      </c>
      <c r="C41" s="10" t="s">
        <v>20</v>
      </c>
      <c r="D41" s="10" t="s">
        <v>21</v>
      </c>
      <c r="E41" s="10" t="s">
        <v>22</v>
      </c>
      <c r="F41" s="10" t="s">
        <v>23</v>
      </c>
      <c r="G41" s="10" t="s">
        <v>24</v>
      </c>
      <c r="H41" s="10" t="s">
        <v>25</v>
      </c>
    </row>
    <row r="42" customFormat="false" ht="15" hidden="false" customHeight="false" outlineLevel="0" collapsed="false">
      <c r="A42" s="4" t="n">
        <v>0</v>
      </c>
      <c r="B42" s="11" t="n">
        <f aca="false">Investor!$B$5</f>
        <v>4000000000</v>
      </c>
      <c r="H42" s="11" t="n">
        <f aca="false">-C43</f>
        <v>-266000000</v>
      </c>
    </row>
    <row r="43" customFormat="false" ht="15" hidden="false" customHeight="false" outlineLevel="0" collapsed="false">
      <c r="A43" s="4" t="n">
        <v>1</v>
      </c>
      <c r="B43" s="11" t="n">
        <f aca="false">IF(A43&gt;Investor!$B$16,0,IF(A43&lt;=Investor!$B$12,Investor!$B$5,Investor!$B$5*(1-Investor!$B$13)^(A43-Investor!$B$12)))</f>
        <v>4000000000</v>
      </c>
      <c r="C43" s="11" t="n">
        <f aca="false">IF(A43&gt;Investor!$B$16,0,Investor!$B$6*Investor!$B$5*Investor!$B$7)</f>
        <v>266000000</v>
      </c>
      <c r="D43" s="11" t="n">
        <f aca="false">(Investor!$B$11+Investor!$B$10)*C43</f>
        <v>34580000</v>
      </c>
      <c r="E43" s="11" t="n">
        <f aca="false">IF(A43&gt;Investor!$B$16,0,MIN(C43,Investor!$B$8*$B$35*B43*Investor!$B$7))</f>
        <v>28881487.6221018</v>
      </c>
      <c r="F43" s="11" t="n">
        <f aca="false">IF(A43&gt;Investor!$B$16,0,IF(A43=Investor!$B$16,C43-E43,IF(Investor!$B$17=1,(C43-E43)*(1-B43/B42),0)))</f>
        <v>0</v>
      </c>
      <c r="G43" s="11" t="n">
        <f aca="false">C43-E43-F43</f>
        <v>237118512.377898</v>
      </c>
      <c r="H43" s="11" t="n">
        <f aca="false">D43+F43</f>
        <v>34580000</v>
      </c>
    </row>
    <row r="44" customFormat="false" ht="15" hidden="false" customHeight="false" outlineLevel="0" collapsed="false">
      <c r="A44" s="4" t="n">
        <v>2</v>
      </c>
      <c r="B44" s="11" t="n">
        <f aca="false">IF(A44&gt;Investor!$B$16,0,IF(A44&lt;=Investor!$B$12,Investor!$B$5,Investor!$B$5*(1-Investor!$B$13)^(A44-Investor!$B$12)))</f>
        <v>4000000000</v>
      </c>
      <c r="C44" s="11" t="n">
        <f aca="false">IF(A44&gt;Investor!$B$16,0,G43)</f>
        <v>237118512.377898</v>
      </c>
      <c r="D44" s="11" t="n">
        <f aca="false">(Investor!$B$11+Investor!$B$10)*C44</f>
        <v>30825406.6091268</v>
      </c>
      <c r="E44" s="11" t="n">
        <f aca="false">IF(A44&gt;Investor!$B$16,0,MIN(C44,Investor!$B$8*$B$35*B44*Investor!$B$7))</f>
        <v>28881487.6221018</v>
      </c>
      <c r="F44" s="11" t="n">
        <f aca="false">IF(A44&gt;Investor!$B$16,0,IF(A44=Investor!$B$16,C44-E44,IF(Investor!$B$17=1,(C44-E44)*(1-B44/B43),0)))</f>
        <v>0</v>
      </c>
      <c r="G44" s="11" t="n">
        <f aca="false">C44-E44-F44</f>
        <v>208237024.755796</v>
      </c>
      <c r="H44" s="11" t="n">
        <f aca="false">D44+F44</f>
        <v>30825406.6091268</v>
      </c>
    </row>
    <row r="45" customFormat="false" ht="15" hidden="false" customHeight="false" outlineLevel="0" collapsed="false">
      <c r="A45" s="4" t="n">
        <v>3</v>
      </c>
      <c r="B45" s="11" t="n">
        <f aca="false">IF(A45&gt;Investor!$B$16,0,IF(A45&lt;=Investor!$B$12,Investor!$B$5,Investor!$B$5*(1-Investor!$B$13)^(A45-Investor!$B$12)))</f>
        <v>3680000000</v>
      </c>
      <c r="C45" s="11" t="n">
        <f aca="false">IF(A45&gt;Investor!$B$16,0,G44)</f>
        <v>208237024.755796</v>
      </c>
      <c r="D45" s="11" t="n">
        <f aca="false">(Investor!$B$11+Investor!$B$10)*C45</f>
        <v>27070813.2182535</v>
      </c>
      <c r="E45" s="11" t="n">
        <f aca="false">IF(A45&gt;Investor!$B$16,0,MIN(C45,Investor!$B$8*$B$35*B45*Investor!$B$7))</f>
        <v>26570968.6123337</v>
      </c>
      <c r="F45" s="11" t="n">
        <f aca="false">IF(A45&gt;Investor!$B$16,0,IF(A45=Investor!$B$16,C45-E45,IF(Investor!$B$17=1,(C45-E45)*(1-B45/B44),0)))</f>
        <v>14533284.491477</v>
      </c>
      <c r="G45" s="11" t="n">
        <f aca="false">C45-E45-F45</f>
        <v>167132771.651986</v>
      </c>
      <c r="H45" s="11" t="n">
        <f aca="false">D45+F45</f>
        <v>41604097.7097305</v>
      </c>
    </row>
    <row r="46" customFormat="false" ht="15" hidden="false" customHeight="false" outlineLevel="0" collapsed="false">
      <c r="A46" s="4" t="n">
        <v>4</v>
      </c>
      <c r="B46" s="11" t="n">
        <f aca="false">IF(A46&gt;Investor!$B$16,0,IF(A46&lt;=Investor!$B$12,Investor!$B$5,Investor!$B$5*(1-Investor!$B$13)^(A46-Investor!$B$12)))</f>
        <v>3385600000</v>
      </c>
      <c r="C46" s="11" t="n">
        <f aca="false">IF(A46&gt;Investor!$B$16,0,G45)</f>
        <v>167132771.651986</v>
      </c>
      <c r="D46" s="11" t="n">
        <f aca="false">(Investor!$B$11+Investor!$B$10)*C46</f>
        <v>21727260.3147581</v>
      </c>
      <c r="E46" s="11" t="n">
        <f aca="false">IF(A46&gt;Investor!$B$16,0,MIN(C46,Investor!$B$8*$B$35*B46*Investor!$B$7))</f>
        <v>24445291.123347</v>
      </c>
      <c r="F46" s="11" t="n">
        <f aca="false">IF(A46&gt;Investor!$B$16,0,IF(A46=Investor!$B$16,C46-E46,IF(Investor!$B$17=1,(C46-E46)*(1-B46/B45),0)))</f>
        <v>11414998.4422911</v>
      </c>
      <c r="G46" s="11" t="n">
        <f aca="false">C46-E46-F46</f>
        <v>131272482.086348</v>
      </c>
      <c r="H46" s="11" t="n">
        <f aca="false">D46+F46</f>
        <v>33142258.7570492</v>
      </c>
    </row>
    <row r="47" customFormat="false" ht="15" hidden="false" customHeight="false" outlineLevel="0" collapsed="false">
      <c r="A47" s="4" t="n">
        <v>5</v>
      </c>
      <c r="B47" s="11" t="n">
        <f aca="false">IF(A47&gt;Investor!$B$16,0,IF(A47&lt;=Investor!$B$12,Investor!$B$5,Investor!$B$5*(1-Investor!$B$13)^(A47-Investor!$B$12)))</f>
        <v>3114752000</v>
      </c>
      <c r="C47" s="11" t="n">
        <f aca="false">IF(A47&gt;Investor!$B$16,0,G46)</f>
        <v>131272482.086348</v>
      </c>
      <c r="D47" s="11" t="n">
        <f aca="false">(Investor!$B$11+Investor!$B$10)*C47</f>
        <v>17065422.6712252</v>
      </c>
      <c r="E47" s="11" t="n">
        <f aca="false">IF(A47&gt;Investor!$B$16,0,MIN(C47,Investor!$B$8*$B$35*B47*Investor!$B$7))</f>
        <v>22489667.8334792</v>
      </c>
      <c r="F47" s="11" t="n">
        <f aca="false">IF(A47&gt;Investor!$B$16,0,IF(A47=Investor!$B$16,C47-E47,IF(Investor!$B$17=1,(C47-E47)*(1-B47/B46),0)))</f>
        <v>108782814.252868</v>
      </c>
      <c r="G47" s="11" t="n">
        <f aca="false">C47-E47-F47</f>
        <v>0</v>
      </c>
      <c r="H47" s="11" t="n">
        <f aca="false">D47+F47</f>
        <v>125848236.924093</v>
      </c>
    </row>
    <row r="48" customFormat="false" ht="15" hidden="false" customHeight="false" outlineLevel="0" collapsed="false">
      <c r="A48" s="4" t="n">
        <v>6</v>
      </c>
      <c r="B48" s="11" t="n">
        <f aca="false">IF(A48&gt;Investor!$B$16,0,IF(A48&lt;=Investor!$B$12,Investor!$B$5,Investor!$B$5*(1-Investor!$B$13)^(A48-Investor!$B$12)))</f>
        <v>0</v>
      </c>
      <c r="C48" s="11" t="n">
        <f aca="false">IF(A48&gt;Investor!$B$16,0,G47)</f>
        <v>0</v>
      </c>
      <c r="D48" s="11" t="n">
        <f aca="false">(Investor!$B$11+Investor!$B$10)*C48</f>
        <v>0</v>
      </c>
      <c r="E48" s="11" t="n">
        <f aca="false">IF(A48&gt;Investor!$B$16,0,MIN(C48,Investor!$B$8*$B$35*B48*Investor!$B$7))</f>
        <v>0</v>
      </c>
      <c r="F48" s="11" t="n">
        <f aca="false">IF(A48&gt;Investor!$B$16,0,IF(A48=Investor!$B$16,C48-E48,IF(Investor!$B$17=1,(C48-E48)*(1-B48/B47),0)))</f>
        <v>0</v>
      </c>
      <c r="G48" s="11" t="n">
        <f aca="false">C48-E48-F48</f>
        <v>0</v>
      </c>
      <c r="H48" s="11" t="n">
        <f aca="false">D48+F48</f>
        <v>0</v>
      </c>
    </row>
    <row r="49" customFormat="false" ht="15" hidden="false" customHeight="false" outlineLevel="0" collapsed="false">
      <c r="A49" s="4" t="n">
        <v>7</v>
      </c>
      <c r="B49" s="11" t="n">
        <f aca="false">IF(A49&gt;Investor!$B$16,0,IF(A49&lt;=Investor!$B$12,Investor!$B$5,Investor!$B$5*(1-Investor!$B$13)^(A49-Investor!$B$12)))</f>
        <v>0</v>
      </c>
      <c r="C49" s="11" t="n">
        <f aca="false">IF(A49&gt;Investor!$B$16,0,G48)</f>
        <v>0</v>
      </c>
      <c r="D49" s="11" t="n">
        <f aca="false">(Investor!$B$11+Investor!$B$10)*C49</f>
        <v>0</v>
      </c>
      <c r="E49" s="11" t="n">
        <f aca="false">IF(A49&gt;Investor!$B$16,0,MIN(C49,Investor!$B$8*$B$35*B49*Investor!$B$7))</f>
        <v>0</v>
      </c>
      <c r="F49" s="11" t="n">
        <f aca="false">IF(A49&gt;Investor!$B$16,0,IF(A49=Investor!$B$16,C49-E49,IF(Investor!$B$17=1,(C49-E49)*(1-B49/B48),0)))</f>
        <v>0</v>
      </c>
      <c r="G49" s="11" t="n">
        <f aca="false">C49-E49-F49</f>
        <v>0</v>
      </c>
      <c r="H49" s="11" t="n">
        <f aca="false">D49+F49</f>
        <v>0</v>
      </c>
    </row>
    <row r="50" customFormat="false" ht="15" hidden="false" customHeight="false" outlineLevel="0" collapsed="false">
      <c r="A50" s="4" t="n">
        <v>8</v>
      </c>
      <c r="B50" s="11" t="n">
        <f aca="false">IF(A50&gt;Investor!$B$16,0,IF(A50&lt;=Investor!$B$12,Investor!$B$5,Investor!$B$5*(1-Investor!$B$13)^(A50-Investor!$B$12)))</f>
        <v>0</v>
      </c>
      <c r="C50" s="11" t="n">
        <f aca="false">IF(A50&gt;Investor!$B$16,0,G49)</f>
        <v>0</v>
      </c>
      <c r="D50" s="11" t="n">
        <f aca="false">(Investor!$B$11+Investor!$B$10)*C50</f>
        <v>0</v>
      </c>
      <c r="E50" s="11" t="n">
        <f aca="false">IF(A50&gt;Investor!$B$16,0,MIN(C50,Investor!$B$8*$B$35*B50*Investor!$B$7))</f>
        <v>0</v>
      </c>
      <c r="F50" s="11" t="n">
        <f aca="false">IF(A50&gt;Investor!$B$16,0,IF(A50=Investor!$B$16,C50-E50,IF(Investor!$B$17=1,(C50-E50)*(1-B50/B49),0)))</f>
        <v>0</v>
      </c>
      <c r="G50" s="11" t="n">
        <f aca="false">C50-E50-F50</f>
        <v>0</v>
      </c>
      <c r="H50" s="11" t="n">
        <f aca="false">D50+F50</f>
        <v>0</v>
      </c>
    </row>
    <row r="51" customFormat="false" ht="15" hidden="false" customHeight="false" outlineLevel="0" collapsed="false">
      <c r="A51" s="3" t="s">
        <v>26</v>
      </c>
      <c r="D51" s="12" t="n">
        <f aca="false">SUM(D43:D50)</f>
        <v>131268902.813364</v>
      </c>
      <c r="E51" s="12" t="n">
        <f aca="false">SUM(E43:E50)</f>
        <v>131268902.813364</v>
      </c>
      <c r="F51" s="12" t="n">
        <f aca="false">SUM(F43:F50)</f>
        <v>134731097.186636</v>
      </c>
      <c r="G51" s="3" t="s">
        <v>27</v>
      </c>
      <c r="H51" s="13" t="n">
        <f aca="false">IRR(H42:H50,IF(SUM(H42:H50)&gt;=0,0.1,-0.3))</f>
        <v>-3.83405655958902E-017</v>
      </c>
    </row>
    <row r="54" customFormat="false" ht="15" hidden="false" customHeight="false" outlineLevel="0" collapsed="false">
      <c r="A54" s="3" t="s">
        <v>60</v>
      </c>
    </row>
    <row r="55" customFormat="false" ht="15" hidden="false" customHeight="false" outlineLevel="0" collapsed="false">
      <c r="A55" s="10" t="s">
        <v>18</v>
      </c>
      <c r="B55" s="10" t="s">
        <v>19</v>
      </c>
      <c r="C55" s="10" t="s">
        <v>20</v>
      </c>
      <c r="D55" s="10" t="s">
        <v>21</v>
      </c>
      <c r="E55" s="10" t="s">
        <v>22</v>
      </c>
      <c r="F55" s="10" t="s">
        <v>23</v>
      </c>
      <c r="G55" s="10" t="s">
        <v>24</v>
      </c>
      <c r="H55" s="10" t="s">
        <v>25</v>
      </c>
    </row>
    <row r="56" customFormat="false" ht="15" hidden="false" customHeight="false" outlineLevel="0" collapsed="false">
      <c r="A56" s="4" t="n">
        <v>0</v>
      </c>
      <c r="B56" s="11" t="n">
        <f aca="false">Investor!$B$5</f>
        <v>4000000000</v>
      </c>
      <c r="H56" s="11" t="n">
        <f aca="false">-C57</f>
        <v>-266000000</v>
      </c>
    </row>
    <row r="57" customFormat="false" ht="15" hidden="false" customHeight="false" outlineLevel="0" collapsed="false">
      <c r="A57" s="4" t="n">
        <v>1</v>
      </c>
      <c r="B57" s="11" t="n">
        <f aca="false">IF(A57&gt;Investor!$B$16,0,IF(A57&lt;=Investor!$B$12,Investor!$B$5,Investor!$B$5*(1-Investor!$B$13)^(A57-Investor!$B$12)))</f>
        <v>4000000000</v>
      </c>
      <c r="C57" s="11" t="n">
        <f aca="false">IF(A57&gt;Investor!$B$16,0,Investor!$B$6*Investor!$B$5*Investor!$B$7)</f>
        <v>266000000</v>
      </c>
      <c r="D57" s="11" t="n">
        <f aca="false">(Investor!$B$11+Investor!$B$10)*C57</f>
        <v>34580000</v>
      </c>
      <c r="E57" s="11" t="n">
        <f aca="false">IF(A57&gt;Investor!$B$16,0,MIN(C57,Investor!$B$8*$B$38*B57*Investor!$B$7))</f>
        <v>24277794.902506</v>
      </c>
      <c r="F57" s="11" t="n">
        <f aca="false">IF(A57&gt;Investor!$B$16,0,IF(A57=Investor!$B$16,C57-E57,IF(Investor!$B$17=1,(C57-E57)*(1-B57/B56),0)))</f>
        <v>0</v>
      </c>
      <c r="G57" s="11" t="n">
        <f aca="false">C57-E57-F57</f>
        <v>241722205.097494</v>
      </c>
      <c r="H57" s="11" t="n">
        <f aca="false">D57+F57</f>
        <v>34580000</v>
      </c>
    </row>
    <row r="58" customFormat="false" ht="15" hidden="false" customHeight="false" outlineLevel="0" collapsed="false">
      <c r="A58" s="4" t="n">
        <v>2</v>
      </c>
      <c r="B58" s="11" t="n">
        <f aca="false">IF(A58&gt;Investor!$B$16,0,IF(A58&lt;=Investor!$B$12,Investor!$B$5,Investor!$B$5*(1-Investor!$B$13)^(A58-Investor!$B$12)))</f>
        <v>4000000000</v>
      </c>
      <c r="C58" s="11" t="n">
        <f aca="false">IF(A58&gt;Investor!$B$16,0,G57)</f>
        <v>241722205.097494</v>
      </c>
      <c r="D58" s="11" t="n">
        <f aca="false">(Investor!$B$11+Investor!$B$10)*C58</f>
        <v>31423886.6626742</v>
      </c>
      <c r="E58" s="11" t="n">
        <f aca="false">IF(A58&gt;Investor!$B$16,0,MIN(C58,Investor!$B$8*$B$38*B58*Investor!$B$7))</f>
        <v>24277794.902506</v>
      </c>
      <c r="F58" s="11" t="n">
        <f aca="false">IF(A58&gt;Investor!$B$16,0,IF(A58=Investor!$B$16,C58-E58,IF(Investor!$B$17=1,(C58-E58)*(1-B58/B57),0)))</f>
        <v>0</v>
      </c>
      <c r="G58" s="11" t="n">
        <f aca="false">C58-E58-F58</f>
        <v>217444410.194988</v>
      </c>
      <c r="H58" s="11" t="n">
        <f aca="false">D58+F58</f>
        <v>31423886.6626742</v>
      </c>
    </row>
    <row r="59" customFormat="false" ht="15" hidden="false" customHeight="false" outlineLevel="0" collapsed="false">
      <c r="A59" s="4" t="n">
        <v>3</v>
      </c>
      <c r="B59" s="11" t="n">
        <f aca="false">IF(A59&gt;Investor!$B$16,0,IF(A59&lt;=Investor!$B$12,Investor!$B$5,Investor!$B$5*(1-Investor!$B$13)^(A59-Investor!$B$12)))</f>
        <v>3680000000</v>
      </c>
      <c r="C59" s="11" t="n">
        <f aca="false">IF(A59&gt;Investor!$B$16,0,G58)</f>
        <v>217444410.194988</v>
      </c>
      <c r="D59" s="11" t="n">
        <f aca="false">(Investor!$B$11+Investor!$B$10)*C59</f>
        <v>28267773.3253485</v>
      </c>
      <c r="E59" s="11" t="n">
        <f aca="false">IF(A59&gt;Investor!$B$16,0,MIN(C59,Investor!$B$8*$B$38*B59*Investor!$B$7))</f>
        <v>22335571.3103055</v>
      </c>
      <c r="F59" s="11" t="n">
        <f aca="false">IF(A59&gt;Investor!$B$16,0,IF(A59=Investor!$B$16,C59-E59,IF(Investor!$B$17=1,(C59-E59)*(1-B59/B58),0)))</f>
        <v>15608707.1107746</v>
      </c>
      <c r="G59" s="11" t="n">
        <f aca="false">C59-E59-F59</f>
        <v>179500131.773908</v>
      </c>
      <c r="H59" s="11" t="n">
        <f aca="false">D59+F59</f>
        <v>43876480.4361231</v>
      </c>
    </row>
    <row r="60" customFormat="false" ht="15" hidden="false" customHeight="false" outlineLevel="0" collapsed="false">
      <c r="A60" s="4" t="n">
        <v>4</v>
      </c>
      <c r="B60" s="11" t="n">
        <f aca="false">IF(A60&gt;Investor!$B$16,0,IF(A60&lt;=Investor!$B$12,Investor!$B$5,Investor!$B$5*(1-Investor!$B$13)^(A60-Investor!$B$12)))</f>
        <v>3385600000</v>
      </c>
      <c r="C60" s="11" t="n">
        <f aca="false">IF(A60&gt;Investor!$B$16,0,G59)</f>
        <v>179500131.773908</v>
      </c>
      <c r="D60" s="11" t="n">
        <f aca="false">(Investor!$B$11+Investor!$B$10)*C60</f>
        <v>23335017.130608</v>
      </c>
      <c r="E60" s="11" t="n">
        <f aca="false">IF(A60&gt;Investor!$B$16,0,MIN(C60,Investor!$B$8*$B$38*B60*Investor!$B$7))</f>
        <v>20548725.6054811</v>
      </c>
      <c r="F60" s="11" t="n">
        <f aca="false">IF(A60&gt;Investor!$B$16,0,IF(A60=Investor!$B$16,C60-E60,IF(Investor!$B$17=1,(C60-E60)*(1-B60/B59),0)))</f>
        <v>12716112.4934741</v>
      </c>
      <c r="G60" s="11" t="n">
        <f aca="false">C60-E60-F60</f>
        <v>146235293.674953</v>
      </c>
      <c r="H60" s="11" t="n">
        <f aca="false">D60+F60</f>
        <v>36051129.6240822</v>
      </c>
    </row>
    <row r="61" customFormat="false" ht="15" hidden="false" customHeight="false" outlineLevel="0" collapsed="false">
      <c r="A61" s="4" t="n">
        <v>5</v>
      </c>
      <c r="B61" s="11" t="n">
        <f aca="false">IF(A61&gt;Investor!$B$16,0,IF(A61&lt;=Investor!$B$12,Investor!$B$5,Investor!$B$5*(1-Investor!$B$13)^(A61-Investor!$B$12)))</f>
        <v>3114752000</v>
      </c>
      <c r="C61" s="11" t="n">
        <f aca="false">IF(A61&gt;Investor!$B$16,0,G60)</f>
        <v>146235293.674953</v>
      </c>
      <c r="D61" s="11" t="n">
        <f aca="false">(Investor!$B$11+Investor!$B$10)*C61</f>
        <v>19010588.1777439</v>
      </c>
      <c r="E61" s="11" t="n">
        <f aca="false">IF(A61&gt;Investor!$B$16,0,MIN(C61,Investor!$B$8*$B$38*B61*Investor!$B$7))</f>
        <v>18904827.5570426</v>
      </c>
      <c r="F61" s="11" t="n">
        <f aca="false">IF(A61&gt;Investor!$B$16,0,IF(A61=Investor!$B$16,C61-E61,IF(Investor!$B$17=1,(C61-E61)*(1-B61/B60),0)))</f>
        <v>127330466.11791</v>
      </c>
      <c r="G61" s="11" t="n">
        <f aca="false">C61-E61-F61</f>
        <v>0</v>
      </c>
      <c r="H61" s="11" t="n">
        <f aca="false">D61+F61</f>
        <v>146341054.295654</v>
      </c>
    </row>
    <row r="62" customFormat="false" ht="15" hidden="false" customHeight="false" outlineLevel="0" collapsed="false">
      <c r="A62" s="4" t="n">
        <v>6</v>
      </c>
      <c r="B62" s="11" t="n">
        <f aca="false">IF(A62&gt;Investor!$B$16,0,IF(A62&lt;=Investor!$B$12,Investor!$B$5,Investor!$B$5*(1-Investor!$B$13)^(A62-Investor!$B$12)))</f>
        <v>0</v>
      </c>
      <c r="C62" s="11" t="n">
        <f aca="false">IF(A62&gt;Investor!$B$16,0,G61)</f>
        <v>0</v>
      </c>
      <c r="D62" s="11" t="n">
        <f aca="false">(Investor!$B$11+Investor!$B$10)*C62</f>
        <v>0</v>
      </c>
      <c r="E62" s="11" t="n">
        <f aca="false">IF(A62&gt;Investor!$B$16,0,MIN(C62,Investor!$B$8*$B$38*B62*Investor!$B$7))</f>
        <v>0</v>
      </c>
      <c r="F62" s="11" t="n">
        <f aca="false">IF(A62&gt;Investor!$B$16,0,IF(A62=Investor!$B$16,C62-E62,IF(Investor!$B$17=1,(C62-E62)*(1-B62/B61),0)))</f>
        <v>0</v>
      </c>
      <c r="G62" s="11" t="n">
        <f aca="false">C62-E62-F62</f>
        <v>0</v>
      </c>
      <c r="H62" s="11" t="n">
        <f aca="false">D62+F62</f>
        <v>0</v>
      </c>
    </row>
    <row r="63" customFormat="false" ht="15" hidden="false" customHeight="false" outlineLevel="0" collapsed="false">
      <c r="A63" s="4" t="n">
        <v>7</v>
      </c>
      <c r="B63" s="11" t="n">
        <f aca="false">IF(A63&gt;Investor!$B$16,0,IF(A63&lt;=Investor!$B$12,Investor!$B$5,Investor!$B$5*(1-Investor!$B$13)^(A63-Investor!$B$12)))</f>
        <v>0</v>
      </c>
      <c r="C63" s="11" t="n">
        <f aca="false">IF(A63&gt;Investor!$B$16,0,G62)</f>
        <v>0</v>
      </c>
      <c r="D63" s="11" t="n">
        <f aca="false">(Investor!$B$11+Investor!$B$10)*C63</f>
        <v>0</v>
      </c>
      <c r="E63" s="11" t="n">
        <f aca="false">IF(A63&gt;Investor!$B$16,0,MIN(C63,Investor!$B$8*$B$38*B63*Investor!$B$7))</f>
        <v>0</v>
      </c>
      <c r="F63" s="11" t="n">
        <f aca="false">IF(A63&gt;Investor!$B$16,0,IF(A63=Investor!$B$16,C63-E63,IF(Investor!$B$17=1,(C63-E63)*(1-B63/B62),0)))</f>
        <v>0</v>
      </c>
      <c r="G63" s="11" t="n">
        <f aca="false">C63-E63-F63</f>
        <v>0</v>
      </c>
      <c r="H63" s="11" t="n">
        <f aca="false">D63+F63</f>
        <v>0</v>
      </c>
    </row>
    <row r="64" customFormat="false" ht="15" hidden="false" customHeight="false" outlineLevel="0" collapsed="false">
      <c r="A64" s="4" t="n">
        <v>8</v>
      </c>
      <c r="B64" s="11" t="n">
        <f aca="false">IF(A64&gt;Investor!$B$16,0,IF(A64&lt;=Investor!$B$12,Investor!$B$5,Investor!$B$5*(1-Investor!$B$13)^(A64-Investor!$B$12)))</f>
        <v>0</v>
      </c>
      <c r="C64" s="11" t="n">
        <f aca="false">IF(A64&gt;Investor!$B$16,0,G63)</f>
        <v>0</v>
      </c>
      <c r="D64" s="11" t="n">
        <f aca="false">(Investor!$B$11+Investor!$B$10)*C64</f>
        <v>0</v>
      </c>
      <c r="E64" s="11" t="n">
        <f aca="false">IF(A64&gt;Investor!$B$16,0,MIN(C64,Investor!$B$8*$B$38*B64*Investor!$B$7))</f>
        <v>0</v>
      </c>
      <c r="F64" s="11" t="n">
        <f aca="false">IF(A64&gt;Investor!$B$16,0,IF(A64=Investor!$B$16,C64-E64,IF(Investor!$B$17=1,(C64-E64)*(1-B64/B63),0)))</f>
        <v>0</v>
      </c>
      <c r="G64" s="11" t="n">
        <f aca="false">C64-E64-F64</f>
        <v>0</v>
      </c>
      <c r="H64" s="11" t="n">
        <f aca="false">D64+F64</f>
        <v>0</v>
      </c>
    </row>
    <row r="65" customFormat="false" ht="15" hidden="false" customHeight="false" outlineLevel="0" collapsed="false">
      <c r="A65" s="3" t="s">
        <v>26</v>
      </c>
      <c r="D65" s="12" t="n">
        <f aca="false">SUM(D57:D64)</f>
        <v>136617265.296375</v>
      </c>
      <c r="E65" s="12" t="n">
        <f aca="false">SUM(E57:E64)</f>
        <v>110344714.277841</v>
      </c>
      <c r="F65" s="12" t="n">
        <f aca="false">SUM(F57:F64)</f>
        <v>155655285.722159</v>
      </c>
      <c r="G65" s="3" t="s">
        <v>27</v>
      </c>
      <c r="H65" s="13" t="n">
        <f aca="false">IRR(H56:H64,IF(SUM(H56:H64)&gt;=0,0.1,-0.3))</f>
        <v>0.0254077665774889</v>
      </c>
    </row>
    <row r="68" customFormat="false" ht="15" hidden="false" customHeight="false" outlineLevel="0" collapsed="false">
      <c r="A68" s="4" t="s">
        <v>61</v>
      </c>
      <c r="B68" s="11" t="n">
        <f aca="false">D51-E51</f>
        <v>0</v>
      </c>
    </row>
    <row r="69" customFormat="false" ht="15" hidden="false" customHeight="false" outlineLevel="0" collapsed="false">
      <c r="A69" s="4" t="s">
        <v>62</v>
      </c>
      <c r="B69" s="11" t="n">
        <f aca="false">Investor!$B$10*SUM(C57:C64)-E65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9" min="2" style="0" width="16"/>
  </cols>
  <sheetData>
    <row r="1" customFormat="false" ht="15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64</v>
      </c>
    </row>
    <row r="4" customFormat="false" ht="15" hidden="false" customHeight="false" outlineLevel="0" collapsed="false">
      <c r="A4" s="4" t="s">
        <v>65</v>
      </c>
      <c r="B4" s="18" t="n">
        <v>0.00350868</v>
      </c>
    </row>
    <row r="5" customFormat="false" ht="15" hidden="false" customHeight="false" outlineLevel="0" collapsed="false">
      <c r="A5" s="4" t="s">
        <v>66</v>
      </c>
      <c r="B5" s="6" t="n">
        <v>0.3</v>
      </c>
    </row>
    <row r="6" customFormat="false" ht="15" hidden="false" customHeight="false" outlineLevel="0" collapsed="false">
      <c r="A6" s="4" t="s">
        <v>67</v>
      </c>
      <c r="B6" s="6" t="n">
        <v>0.6</v>
      </c>
    </row>
    <row r="8" customFormat="false" ht="15" hidden="false" customHeight="false" outlineLevel="0" collapsed="false">
      <c r="A8" s="10" t="s">
        <v>68</v>
      </c>
      <c r="B8" s="10" t="s">
        <v>69</v>
      </c>
      <c r="C8" s="10" t="s">
        <v>70</v>
      </c>
      <c r="D8" s="10" t="s">
        <v>71</v>
      </c>
      <c r="E8" s="10" t="s">
        <v>72</v>
      </c>
      <c r="F8" s="10" t="s">
        <v>73</v>
      </c>
      <c r="G8" s="10" t="s">
        <v>28</v>
      </c>
      <c r="H8" s="10" t="s">
        <v>74</v>
      </c>
      <c r="I8" s="19" t="s">
        <v>75</v>
      </c>
    </row>
    <row r="9" customFormat="false" ht="15" hidden="false" customHeight="false" outlineLevel="0" collapsed="false">
      <c r="A9" s="4" t="s">
        <v>76</v>
      </c>
      <c r="B9" s="20" t="n">
        <v>1</v>
      </c>
      <c r="C9" s="21" t="n">
        <f aca="false">Investor!$B$8*B9</f>
        <v>0.0018223875</v>
      </c>
      <c r="D9" s="11" t="n">
        <f aca="false">E28</f>
        <v>31475063.91888</v>
      </c>
      <c r="E9" s="14" t="n">
        <f aca="false">E28/C20</f>
        <v>0.118327307965714</v>
      </c>
      <c r="F9" s="11" t="n">
        <f aca="false">D28</f>
        <v>156776875.228771</v>
      </c>
      <c r="G9" s="14" t="n">
        <f aca="false">H28</f>
        <v>0.103902104467538</v>
      </c>
      <c r="H9" s="14" t="n">
        <f aca="false">MAX(-1,G9+Investor!$B$14*(G9-Investor!$B$15))</f>
        <v>0.166005261168845</v>
      </c>
      <c r="I9" s="11" t="n">
        <f aca="false">F28</f>
        <v>234524936.08112</v>
      </c>
    </row>
    <row r="10" customFormat="false" ht="15" hidden="false" customHeight="false" outlineLevel="0" collapsed="false">
      <c r="A10" s="4" t="s">
        <v>77</v>
      </c>
      <c r="B10" s="20" t="n">
        <v>1</v>
      </c>
      <c r="C10" s="21" t="n">
        <f aca="false">$B$4</f>
        <v>0.00350868</v>
      </c>
      <c r="D10" s="11" t="n">
        <f aca="false">E42</f>
        <v>60599585.582592</v>
      </c>
      <c r="E10" s="14" t="n">
        <f aca="false">E42/C34</f>
        <v>0.227817990912</v>
      </c>
      <c r="F10" s="11" t="n">
        <f aca="false">D42</f>
        <v>149332452.773038</v>
      </c>
      <c r="G10" s="14" t="n">
        <f aca="false">H42</f>
        <v>0.0774513759971541</v>
      </c>
      <c r="H10" s="14" t="n">
        <f aca="false">MAX(-1,G10+Investor!$B$14*(G10-Investor!$B$15))</f>
        <v>0.0998784399928853</v>
      </c>
      <c r="I10" s="11" t="n">
        <f aca="false">F42</f>
        <v>205400414.417408</v>
      </c>
    </row>
    <row r="11" customFormat="false" ht="15" hidden="false" customHeight="false" outlineLevel="0" collapsed="false">
      <c r="A11" s="4" t="s">
        <v>78</v>
      </c>
      <c r="B11" s="20" t="n">
        <v>2</v>
      </c>
      <c r="C11" s="21" t="n">
        <f aca="false">Investor!$B$8*B11</f>
        <v>0.003644775</v>
      </c>
      <c r="D11" s="11" t="n">
        <f aca="false">E56</f>
        <v>62950127.83776</v>
      </c>
      <c r="E11" s="14" t="n">
        <f aca="false">E56/C48</f>
        <v>0.236654615931429</v>
      </c>
      <c r="F11" s="11" t="n">
        <f aca="false">D56</f>
        <v>148731638.457542</v>
      </c>
      <c r="G11" s="14" t="n">
        <f aca="false">H56</f>
        <v>0.0752041942758465</v>
      </c>
      <c r="H11" s="14" t="n">
        <f aca="false">MAX(-1,G11+Investor!$B$14*(G11-Investor!$B$15))</f>
        <v>0.0942604856896163</v>
      </c>
      <c r="I11" s="11" t="n">
        <f aca="false">F56</f>
        <v>203049872.16224</v>
      </c>
    </row>
    <row r="12" customFormat="false" ht="15" hidden="false" customHeight="false" outlineLevel="0" collapsed="false">
      <c r="A12" s="4" t="s">
        <v>79</v>
      </c>
      <c r="B12" s="20" t="n">
        <v>3.5</v>
      </c>
      <c r="C12" s="21" t="n">
        <f aca="false">Investor!$B$8*B12</f>
        <v>0.00637835625</v>
      </c>
      <c r="D12" s="11" t="n">
        <f aca="false">E70</f>
        <v>110162723.71608</v>
      </c>
      <c r="E12" s="14" t="n">
        <f aca="false">E70/C62</f>
        <v>0.41414557788</v>
      </c>
      <c r="F12" s="11" t="n">
        <f aca="false">D70</f>
        <v>136663783.300699</v>
      </c>
      <c r="G12" s="14" t="n">
        <f aca="false">H70</f>
        <v>0.0256180373833853</v>
      </c>
      <c r="H12" s="14" t="n">
        <f aca="false">MAX(-1,G12+Investor!$B$14*(G12-Investor!$B$15))</f>
        <v>-0.0297049065415366</v>
      </c>
      <c r="I12" s="11" t="n">
        <f aca="false">F70</f>
        <v>155837276.28392</v>
      </c>
    </row>
    <row r="13" customFormat="false" ht="15" hidden="false" customHeight="false" outlineLevel="0" collapsed="false">
      <c r="A13" s="4" t="s">
        <v>80</v>
      </c>
      <c r="B13" s="20" t="n">
        <v>3.5</v>
      </c>
      <c r="C13" s="21" t="n">
        <f aca="false">Investor!$B$8*B13*$B$6/$B$5</f>
        <v>0.0127567125</v>
      </c>
      <c r="D13" s="11" t="n">
        <f aca="false">E84</f>
        <v>220325447.43216</v>
      </c>
      <c r="E13" s="14" t="n">
        <f aca="false">E84/C76</f>
        <v>0.82829115576</v>
      </c>
      <c r="F13" s="11" t="n">
        <f aca="false">D84</f>
        <v>108505454.601398</v>
      </c>
      <c r="G13" s="14" t="n">
        <f aca="false">H84</f>
        <v>-0.157039890436841</v>
      </c>
      <c r="H13" s="14" t="n">
        <f aca="false">MAX(-1,G13+Investor!$B$14*(G13-Investor!$B$15))</f>
        <v>-0.486349726092101</v>
      </c>
      <c r="I13" s="11" t="n">
        <f aca="false">F84</f>
        <v>45674552.56784</v>
      </c>
    </row>
    <row r="14" customFormat="false" ht="15" hidden="false" customHeight="false" outlineLevel="0" collapsed="false">
      <c r="A14" s="4" t="s">
        <v>81</v>
      </c>
      <c r="B14" s="20" t="n">
        <v>5</v>
      </c>
      <c r="C14" s="21" t="n">
        <f aca="false">Investor!$B$8*B14*$B$6/$B$5</f>
        <v>0.018223875</v>
      </c>
      <c r="D14" s="11" t="n">
        <f aca="false">E98</f>
        <v>260891286.2624</v>
      </c>
      <c r="E14" s="14" t="n">
        <f aca="false">E98/C90</f>
        <v>0.980794309257143</v>
      </c>
      <c r="F14" s="11" t="n">
        <f aca="false">D98</f>
        <v>84369744.287712</v>
      </c>
      <c r="G14" s="14" t="n">
        <f aca="false">H98</f>
        <v>-0.380894744481913</v>
      </c>
      <c r="H14" s="14" t="n">
        <f aca="false">MAX(-1,G14+Investor!$B$14*(G14-Investor!$B$15))</f>
        <v>-1</v>
      </c>
      <c r="I14" s="11" t="n">
        <f aca="false">F98</f>
        <v>5108713.7376</v>
      </c>
    </row>
    <row r="17" customFormat="false" ht="15" hidden="false" customHeight="false" outlineLevel="0" collapsed="false">
      <c r="A17" s="3" t="s">
        <v>76</v>
      </c>
    </row>
    <row r="18" customFormat="false" ht="15" hidden="false" customHeight="false" outlineLevel="0" collapsed="false">
      <c r="A18" s="10" t="s">
        <v>18</v>
      </c>
      <c r="B18" s="10" t="s">
        <v>19</v>
      </c>
      <c r="C18" s="10" t="s">
        <v>20</v>
      </c>
      <c r="D18" s="10" t="s">
        <v>21</v>
      </c>
      <c r="E18" s="10" t="s">
        <v>22</v>
      </c>
      <c r="F18" s="10" t="s">
        <v>23</v>
      </c>
      <c r="G18" s="10" t="s">
        <v>24</v>
      </c>
      <c r="H18" s="10" t="s">
        <v>25</v>
      </c>
    </row>
    <row r="19" customFormat="false" ht="15" hidden="false" customHeight="false" outlineLevel="0" collapsed="false">
      <c r="A19" s="4" t="n">
        <v>0</v>
      </c>
      <c r="B19" s="11" t="n">
        <f aca="false">Investor!$B$5</f>
        <v>4000000000</v>
      </c>
      <c r="H19" s="11" t="n">
        <f aca="false">-C20</f>
        <v>-266000000</v>
      </c>
    </row>
    <row r="20" customFormat="false" ht="15" hidden="false" customHeight="false" outlineLevel="0" collapsed="false">
      <c r="A20" s="4" t="n">
        <v>1</v>
      </c>
      <c r="B20" s="11" t="n">
        <f aca="false">IF(A20&gt;Investor!$B$16,0,IF(A20&lt;=Investor!$B$12,Investor!$B$5,Investor!$B$5*(1-Investor!$B$13)^(A20-Investor!$B$12)))</f>
        <v>4000000000</v>
      </c>
      <c r="C20" s="11" t="n">
        <f aca="false">IF(A20&gt;Investor!$B$16,0,Investor!$B$6*Investor!$B$5*Investor!$B$7)</f>
        <v>266000000</v>
      </c>
      <c r="D20" s="11" t="n">
        <f aca="false">(Investor!$B$11+Investor!$B$10)*C20</f>
        <v>34580000</v>
      </c>
      <c r="E20" s="11" t="n">
        <f aca="false">IF(A20&gt;Investor!$B$16,0,MIN(C20,Stress!$C$9*B20*Investor!$B$7))</f>
        <v>6925072.5</v>
      </c>
      <c r="F20" s="11" t="n">
        <f aca="false">IF(A20&gt;Investor!$B$16,0,IF(A20=Investor!$B$16,C20-E20,IF(Investor!$B$17=1,(C20-E20)*(1-B20/B19),0)))</f>
        <v>0</v>
      </c>
      <c r="G20" s="11" t="n">
        <f aca="false">C20-E20-F20</f>
        <v>259074927.5</v>
      </c>
      <c r="H20" s="11" t="n">
        <f aca="false">D20+F20</f>
        <v>34580000</v>
      </c>
    </row>
    <row r="21" customFormat="false" ht="15" hidden="false" customHeight="false" outlineLevel="0" collapsed="false">
      <c r="A21" s="4" t="n">
        <v>2</v>
      </c>
      <c r="B21" s="11" t="n">
        <f aca="false">IF(A21&gt;Investor!$B$16,0,IF(A21&lt;=Investor!$B$12,Investor!$B$5,Investor!$B$5*(1-Investor!$B$13)^(A21-Investor!$B$12)))</f>
        <v>4000000000</v>
      </c>
      <c r="C21" s="11" t="n">
        <f aca="false">IF(A21&gt;Investor!$B$16,0,G20)</f>
        <v>259074927.5</v>
      </c>
      <c r="D21" s="11" t="n">
        <f aca="false">(Investor!$B$11+Investor!$B$10)*C21</f>
        <v>33679740.575</v>
      </c>
      <c r="E21" s="11" t="n">
        <f aca="false">IF(A21&gt;Investor!$B$16,0,MIN(C21,Stress!$C$9*B21*Investor!$B$7))</f>
        <v>6925072.5</v>
      </c>
      <c r="F21" s="11" t="n">
        <f aca="false">IF(A21&gt;Investor!$B$16,0,IF(A21=Investor!$B$16,C21-E21,IF(Investor!$B$17=1,(C21-E21)*(1-B21/B20),0)))</f>
        <v>0</v>
      </c>
      <c r="G21" s="11" t="n">
        <f aca="false">C21-E21-F21</f>
        <v>252149855</v>
      </c>
      <c r="H21" s="11" t="n">
        <f aca="false">D21+F21</f>
        <v>33679740.575</v>
      </c>
    </row>
    <row r="22" customFormat="false" ht="15" hidden="false" customHeight="false" outlineLevel="0" collapsed="false">
      <c r="A22" s="4" t="n">
        <v>3</v>
      </c>
      <c r="B22" s="11" t="n">
        <f aca="false">IF(A22&gt;Investor!$B$16,0,IF(A22&lt;=Investor!$B$12,Investor!$B$5,Investor!$B$5*(1-Investor!$B$13)^(A22-Investor!$B$12)))</f>
        <v>3680000000</v>
      </c>
      <c r="C22" s="11" t="n">
        <f aca="false">IF(A22&gt;Investor!$B$16,0,G21)</f>
        <v>252149855</v>
      </c>
      <c r="D22" s="11" t="n">
        <f aca="false">(Investor!$B$11+Investor!$B$10)*C22</f>
        <v>32779481.15</v>
      </c>
      <c r="E22" s="11" t="n">
        <f aca="false">IF(A22&gt;Investor!$B$16,0,MIN(C22,Stress!$C$9*B22*Investor!$B$7))</f>
        <v>6371066.7</v>
      </c>
      <c r="F22" s="11" t="n">
        <f aca="false">IF(A22&gt;Investor!$B$16,0,IF(A22=Investor!$B$16,C22-E22,IF(Investor!$B$17=1,(C22-E22)*(1-B22/B21),0)))</f>
        <v>19662303.064</v>
      </c>
      <c r="G22" s="11" t="n">
        <f aca="false">C22-E22-F22</f>
        <v>226116485.236</v>
      </c>
      <c r="H22" s="11" t="n">
        <f aca="false">D22+F22</f>
        <v>52441784.214</v>
      </c>
    </row>
    <row r="23" customFormat="false" ht="15" hidden="false" customHeight="false" outlineLevel="0" collapsed="false">
      <c r="A23" s="4" t="n">
        <v>4</v>
      </c>
      <c r="B23" s="11" t="n">
        <f aca="false">IF(A23&gt;Investor!$B$16,0,IF(A23&lt;=Investor!$B$12,Investor!$B$5,Investor!$B$5*(1-Investor!$B$13)^(A23-Investor!$B$12)))</f>
        <v>3385600000</v>
      </c>
      <c r="C23" s="11" t="n">
        <f aca="false">IF(A23&gt;Investor!$B$16,0,G22)</f>
        <v>226116485.236</v>
      </c>
      <c r="D23" s="11" t="n">
        <f aca="false">(Investor!$B$11+Investor!$B$10)*C23</f>
        <v>29395143.08068</v>
      </c>
      <c r="E23" s="11" t="n">
        <f aca="false">IF(A23&gt;Investor!$B$16,0,MIN(C23,Stress!$C$9*B23*Investor!$B$7))</f>
        <v>5861381.364</v>
      </c>
      <c r="F23" s="11" t="n">
        <f aca="false">IF(A23&gt;Investor!$B$16,0,IF(A23=Investor!$B$16,C23-E23,IF(Investor!$B$17=1,(C23-E23)*(1-B23/B22),0)))</f>
        <v>17620408.30976</v>
      </c>
      <c r="G23" s="11" t="n">
        <f aca="false">C23-E23-F23</f>
        <v>202634695.56224</v>
      </c>
      <c r="H23" s="11" t="n">
        <f aca="false">D23+F23</f>
        <v>47015551.39044</v>
      </c>
    </row>
    <row r="24" customFormat="false" ht="15" hidden="false" customHeight="false" outlineLevel="0" collapsed="false">
      <c r="A24" s="4" t="n">
        <v>5</v>
      </c>
      <c r="B24" s="11" t="n">
        <f aca="false">IF(A24&gt;Investor!$B$16,0,IF(A24&lt;=Investor!$B$12,Investor!$B$5,Investor!$B$5*(1-Investor!$B$13)^(A24-Investor!$B$12)))</f>
        <v>3114752000</v>
      </c>
      <c r="C24" s="11" t="n">
        <f aca="false">IF(A24&gt;Investor!$B$16,0,G23)</f>
        <v>202634695.56224</v>
      </c>
      <c r="D24" s="11" t="n">
        <f aca="false">(Investor!$B$11+Investor!$B$10)*C24</f>
        <v>26342510.4230912</v>
      </c>
      <c r="E24" s="11" t="n">
        <f aca="false">IF(A24&gt;Investor!$B$16,0,MIN(C24,Stress!$C$9*B24*Investor!$B$7))</f>
        <v>5392470.85488</v>
      </c>
      <c r="F24" s="11" t="n">
        <f aca="false">IF(A24&gt;Investor!$B$16,0,IF(A24=Investor!$B$16,C24-E24,IF(Investor!$B$17=1,(C24-E24)*(1-B24/B23),0)))</f>
        <v>197242224.70736</v>
      </c>
      <c r="G24" s="11" t="n">
        <f aca="false">C24-E24-F24</f>
        <v>0</v>
      </c>
      <c r="H24" s="11" t="n">
        <f aca="false">D24+F24</f>
        <v>223584735.130451</v>
      </c>
    </row>
    <row r="25" customFormat="false" ht="15" hidden="false" customHeight="false" outlineLevel="0" collapsed="false">
      <c r="A25" s="4" t="n">
        <v>6</v>
      </c>
      <c r="B25" s="11" t="n">
        <f aca="false">IF(A25&gt;Investor!$B$16,0,IF(A25&lt;=Investor!$B$12,Investor!$B$5,Investor!$B$5*(1-Investor!$B$13)^(A25-Investor!$B$12)))</f>
        <v>0</v>
      </c>
      <c r="C25" s="11" t="n">
        <f aca="false">IF(A25&gt;Investor!$B$16,0,G24)</f>
        <v>0</v>
      </c>
      <c r="D25" s="11" t="n">
        <f aca="false">(Investor!$B$11+Investor!$B$10)*C25</f>
        <v>0</v>
      </c>
      <c r="E25" s="11" t="n">
        <f aca="false">IF(A25&gt;Investor!$B$16,0,MIN(C25,Stress!$C$9*B25*Investor!$B$7))</f>
        <v>0</v>
      </c>
      <c r="F25" s="11" t="n">
        <f aca="false">IF(A25&gt;Investor!$B$16,0,IF(A25=Investor!$B$16,C25-E25,IF(Investor!$B$17=1,(C25-E25)*(1-B25/B24),0)))</f>
        <v>0</v>
      </c>
      <c r="G25" s="11" t="n">
        <f aca="false">C25-E25-F25</f>
        <v>0</v>
      </c>
      <c r="H25" s="11" t="n">
        <f aca="false">D25+F25</f>
        <v>0</v>
      </c>
    </row>
    <row r="26" customFormat="false" ht="15" hidden="false" customHeight="false" outlineLevel="0" collapsed="false">
      <c r="A26" s="4" t="n">
        <v>7</v>
      </c>
      <c r="B26" s="11" t="n">
        <f aca="false">IF(A26&gt;Investor!$B$16,0,IF(A26&lt;=Investor!$B$12,Investor!$B$5,Investor!$B$5*(1-Investor!$B$13)^(A26-Investor!$B$12)))</f>
        <v>0</v>
      </c>
      <c r="C26" s="11" t="n">
        <f aca="false">IF(A26&gt;Investor!$B$16,0,G25)</f>
        <v>0</v>
      </c>
      <c r="D26" s="11" t="n">
        <f aca="false">(Investor!$B$11+Investor!$B$10)*C26</f>
        <v>0</v>
      </c>
      <c r="E26" s="11" t="n">
        <f aca="false">IF(A26&gt;Investor!$B$16,0,MIN(C26,Stress!$C$9*B26*Investor!$B$7))</f>
        <v>0</v>
      </c>
      <c r="F26" s="11" t="n">
        <f aca="false">IF(A26&gt;Investor!$B$16,0,IF(A26=Investor!$B$16,C26-E26,IF(Investor!$B$17=1,(C26-E26)*(1-B26/B25),0)))</f>
        <v>0</v>
      </c>
      <c r="G26" s="11" t="n">
        <f aca="false">C26-E26-F26</f>
        <v>0</v>
      </c>
      <c r="H26" s="11" t="n">
        <f aca="false">D26+F26</f>
        <v>0</v>
      </c>
    </row>
    <row r="27" customFormat="false" ht="15" hidden="false" customHeight="false" outlineLevel="0" collapsed="false">
      <c r="A27" s="4" t="n">
        <v>8</v>
      </c>
      <c r="B27" s="11" t="n">
        <f aca="false">IF(A27&gt;Investor!$B$16,0,IF(A27&lt;=Investor!$B$12,Investor!$B$5,Investor!$B$5*(1-Investor!$B$13)^(A27-Investor!$B$12)))</f>
        <v>0</v>
      </c>
      <c r="C27" s="11" t="n">
        <f aca="false">IF(A27&gt;Investor!$B$16,0,G26)</f>
        <v>0</v>
      </c>
      <c r="D27" s="11" t="n">
        <f aca="false">(Investor!$B$11+Investor!$B$10)*C27</f>
        <v>0</v>
      </c>
      <c r="E27" s="11" t="n">
        <f aca="false">IF(A27&gt;Investor!$B$16,0,MIN(C27,Stress!$C$9*B27*Investor!$B$7))</f>
        <v>0</v>
      </c>
      <c r="F27" s="11" t="n">
        <f aca="false">IF(A27&gt;Investor!$B$16,0,IF(A27=Investor!$B$16,C27-E27,IF(Investor!$B$17=1,(C27-E27)*(1-B27/B26),0)))</f>
        <v>0</v>
      </c>
      <c r="G27" s="11" t="n">
        <f aca="false">C27-E27-F27</f>
        <v>0</v>
      </c>
      <c r="H27" s="11" t="n">
        <f aca="false">D27+F27</f>
        <v>0</v>
      </c>
    </row>
    <row r="28" customFormat="false" ht="15" hidden="false" customHeight="false" outlineLevel="0" collapsed="false">
      <c r="A28" s="3" t="s">
        <v>26</v>
      </c>
      <c r="D28" s="12" t="n">
        <f aca="false">SUM(D20:D27)</f>
        <v>156776875.228771</v>
      </c>
      <c r="E28" s="12" t="n">
        <f aca="false">SUM(E20:E27)</f>
        <v>31475063.91888</v>
      </c>
      <c r="F28" s="12" t="n">
        <f aca="false">SUM(F20:F27)</f>
        <v>234524936.08112</v>
      </c>
      <c r="G28" s="3" t="s">
        <v>27</v>
      </c>
      <c r="H28" s="13" t="n">
        <f aca="false">IRR(H19:H27,IF(SUM(H19:H27)&gt;=0,0.1,-0.3))</f>
        <v>0.103902104467538</v>
      </c>
    </row>
    <row r="31" customFormat="false" ht="15" hidden="false" customHeight="false" outlineLevel="0" collapsed="false">
      <c r="A31" s="3" t="s">
        <v>77</v>
      </c>
    </row>
    <row r="32" customFormat="false" ht="15" hidden="false" customHeight="false" outlineLevel="0" collapsed="false">
      <c r="A32" s="10" t="s">
        <v>18</v>
      </c>
      <c r="B32" s="10" t="s">
        <v>19</v>
      </c>
      <c r="C32" s="10" t="s">
        <v>20</v>
      </c>
      <c r="D32" s="10" t="s">
        <v>21</v>
      </c>
      <c r="E32" s="10" t="s">
        <v>22</v>
      </c>
      <c r="F32" s="10" t="s">
        <v>23</v>
      </c>
      <c r="G32" s="10" t="s">
        <v>24</v>
      </c>
      <c r="H32" s="10" t="s">
        <v>25</v>
      </c>
    </row>
    <row r="33" customFormat="false" ht="15" hidden="false" customHeight="false" outlineLevel="0" collapsed="false">
      <c r="A33" s="4" t="n">
        <v>0</v>
      </c>
      <c r="B33" s="11" t="n">
        <f aca="false">Investor!$B$5</f>
        <v>4000000000</v>
      </c>
      <c r="H33" s="11" t="n">
        <f aca="false">-C34</f>
        <v>-266000000</v>
      </c>
    </row>
    <row r="34" customFormat="false" ht="15" hidden="false" customHeight="false" outlineLevel="0" collapsed="false">
      <c r="A34" s="4" t="n">
        <v>1</v>
      </c>
      <c r="B34" s="11" t="n">
        <f aca="false">IF(A34&gt;Investor!$B$16,0,IF(A34&lt;=Investor!$B$12,Investor!$B$5,Investor!$B$5*(1-Investor!$B$13)^(A34-Investor!$B$12)))</f>
        <v>4000000000</v>
      </c>
      <c r="C34" s="11" t="n">
        <f aca="false">IF(A34&gt;Investor!$B$16,0,Investor!$B$6*Investor!$B$5*Investor!$B$7)</f>
        <v>266000000</v>
      </c>
      <c r="D34" s="11" t="n">
        <f aca="false">(Investor!$B$11+Investor!$B$10)*C34</f>
        <v>34580000</v>
      </c>
      <c r="E34" s="11" t="n">
        <f aca="false">IF(A34&gt;Investor!$B$16,0,MIN(C34,Stress!$C$10*B34*Investor!$B$7))</f>
        <v>13332984</v>
      </c>
      <c r="F34" s="11" t="n">
        <f aca="false">IF(A34&gt;Investor!$B$16,0,IF(A34=Investor!$B$16,C34-E34,IF(Investor!$B$17=1,(C34-E34)*(1-B34/B33),0)))</f>
        <v>0</v>
      </c>
      <c r="G34" s="11" t="n">
        <f aca="false">C34-E34-F34</f>
        <v>252667016</v>
      </c>
      <c r="H34" s="11" t="n">
        <f aca="false">D34+F34</f>
        <v>34580000</v>
      </c>
    </row>
    <row r="35" customFormat="false" ht="15" hidden="false" customHeight="false" outlineLevel="0" collapsed="false">
      <c r="A35" s="4" t="n">
        <v>2</v>
      </c>
      <c r="B35" s="11" t="n">
        <f aca="false">IF(A35&gt;Investor!$B$16,0,IF(A35&lt;=Investor!$B$12,Investor!$B$5,Investor!$B$5*(1-Investor!$B$13)^(A35-Investor!$B$12)))</f>
        <v>4000000000</v>
      </c>
      <c r="C35" s="11" t="n">
        <f aca="false">IF(A35&gt;Investor!$B$16,0,G34)</f>
        <v>252667016</v>
      </c>
      <c r="D35" s="11" t="n">
        <f aca="false">(Investor!$B$11+Investor!$B$10)*C35</f>
        <v>32846712.08</v>
      </c>
      <c r="E35" s="11" t="n">
        <f aca="false">IF(A35&gt;Investor!$B$16,0,MIN(C35,Stress!$C$10*B35*Investor!$B$7))</f>
        <v>13332984</v>
      </c>
      <c r="F35" s="11" t="n">
        <f aca="false">IF(A35&gt;Investor!$B$16,0,IF(A35=Investor!$B$16,C35-E35,IF(Investor!$B$17=1,(C35-E35)*(1-B35/B34),0)))</f>
        <v>0</v>
      </c>
      <c r="G35" s="11" t="n">
        <f aca="false">C35-E35-F35</f>
        <v>239334032</v>
      </c>
      <c r="H35" s="11" t="n">
        <f aca="false">D35+F35</f>
        <v>32846712.08</v>
      </c>
    </row>
    <row r="36" customFormat="false" ht="15" hidden="false" customHeight="false" outlineLevel="0" collapsed="false">
      <c r="A36" s="4" t="n">
        <v>3</v>
      </c>
      <c r="B36" s="11" t="n">
        <f aca="false">IF(A36&gt;Investor!$B$16,0,IF(A36&lt;=Investor!$B$12,Investor!$B$5,Investor!$B$5*(1-Investor!$B$13)^(A36-Investor!$B$12)))</f>
        <v>3680000000</v>
      </c>
      <c r="C36" s="11" t="n">
        <f aca="false">IF(A36&gt;Investor!$B$16,0,G35)</f>
        <v>239334032</v>
      </c>
      <c r="D36" s="11" t="n">
        <f aca="false">(Investor!$B$11+Investor!$B$10)*C36</f>
        <v>31113424.16</v>
      </c>
      <c r="E36" s="11" t="n">
        <f aca="false">IF(A36&gt;Investor!$B$16,0,MIN(C36,Stress!$C$10*B36*Investor!$B$7))</f>
        <v>12266345.28</v>
      </c>
      <c r="F36" s="11" t="n">
        <f aca="false">IF(A36&gt;Investor!$B$16,0,IF(A36=Investor!$B$16,C36-E36,IF(Investor!$B$17=1,(C36-E36)*(1-B36/B35),0)))</f>
        <v>18165414.9376</v>
      </c>
      <c r="G36" s="11" t="n">
        <f aca="false">C36-E36-F36</f>
        <v>208902271.7824</v>
      </c>
      <c r="H36" s="11" t="n">
        <f aca="false">D36+F36</f>
        <v>49278839.0976</v>
      </c>
    </row>
    <row r="37" customFormat="false" ht="15" hidden="false" customHeight="false" outlineLevel="0" collapsed="false">
      <c r="A37" s="4" t="n">
        <v>4</v>
      </c>
      <c r="B37" s="11" t="n">
        <f aca="false">IF(A37&gt;Investor!$B$16,0,IF(A37&lt;=Investor!$B$12,Investor!$B$5,Investor!$B$5*(1-Investor!$B$13)^(A37-Investor!$B$12)))</f>
        <v>3385600000</v>
      </c>
      <c r="C37" s="11" t="n">
        <f aca="false">IF(A37&gt;Investor!$B$16,0,G36)</f>
        <v>208902271.7824</v>
      </c>
      <c r="D37" s="11" t="n">
        <f aca="false">(Investor!$B$11+Investor!$B$10)*C37</f>
        <v>27157295.331712</v>
      </c>
      <c r="E37" s="11" t="n">
        <f aca="false">IF(A37&gt;Investor!$B$16,0,MIN(C37,Stress!$C$10*B37*Investor!$B$7))</f>
        <v>11285037.6576</v>
      </c>
      <c r="F37" s="11" t="n">
        <f aca="false">IF(A37&gt;Investor!$B$16,0,IF(A37=Investor!$B$16,C37-E37,IF(Investor!$B$17=1,(C37-E37)*(1-B37/B36),0)))</f>
        <v>15809378.729984</v>
      </c>
      <c r="G37" s="11" t="n">
        <f aca="false">C37-E37-F37</f>
        <v>181807855.394816</v>
      </c>
      <c r="H37" s="11" t="n">
        <f aca="false">D37+F37</f>
        <v>42966674.061696</v>
      </c>
    </row>
    <row r="38" customFormat="false" ht="15" hidden="false" customHeight="false" outlineLevel="0" collapsed="false">
      <c r="A38" s="4" t="n">
        <v>5</v>
      </c>
      <c r="B38" s="11" t="n">
        <f aca="false">IF(A38&gt;Investor!$B$16,0,IF(A38&lt;=Investor!$B$12,Investor!$B$5,Investor!$B$5*(1-Investor!$B$13)^(A38-Investor!$B$12)))</f>
        <v>3114752000</v>
      </c>
      <c r="C38" s="11" t="n">
        <f aca="false">IF(A38&gt;Investor!$B$16,0,G37)</f>
        <v>181807855.394816</v>
      </c>
      <c r="D38" s="11" t="n">
        <f aca="false">(Investor!$B$11+Investor!$B$10)*C38</f>
        <v>23635021.2013261</v>
      </c>
      <c r="E38" s="11" t="n">
        <f aca="false">IF(A38&gt;Investor!$B$16,0,MIN(C38,Stress!$C$10*B38*Investor!$B$7))</f>
        <v>10382234.644992</v>
      </c>
      <c r="F38" s="11" t="n">
        <f aca="false">IF(A38&gt;Investor!$B$16,0,IF(A38=Investor!$B$16,C38-E38,IF(Investor!$B$17=1,(C38-E38)*(1-B38/B37),0)))</f>
        <v>171425620.749824</v>
      </c>
      <c r="G38" s="11" t="n">
        <f aca="false">C38-E38-F38</f>
        <v>0</v>
      </c>
      <c r="H38" s="11" t="n">
        <f aca="false">D38+F38</f>
        <v>195060641.95115</v>
      </c>
    </row>
    <row r="39" customFormat="false" ht="15" hidden="false" customHeight="false" outlineLevel="0" collapsed="false">
      <c r="A39" s="4" t="n">
        <v>6</v>
      </c>
      <c r="B39" s="11" t="n">
        <f aca="false">IF(A39&gt;Investor!$B$16,0,IF(A39&lt;=Investor!$B$12,Investor!$B$5,Investor!$B$5*(1-Investor!$B$13)^(A39-Investor!$B$12)))</f>
        <v>0</v>
      </c>
      <c r="C39" s="11" t="n">
        <f aca="false">IF(A39&gt;Investor!$B$16,0,G38)</f>
        <v>0</v>
      </c>
      <c r="D39" s="11" t="n">
        <f aca="false">(Investor!$B$11+Investor!$B$10)*C39</f>
        <v>0</v>
      </c>
      <c r="E39" s="11" t="n">
        <f aca="false">IF(A39&gt;Investor!$B$16,0,MIN(C39,Stress!$C$10*B39*Investor!$B$7))</f>
        <v>0</v>
      </c>
      <c r="F39" s="11" t="n">
        <f aca="false">IF(A39&gt;Investor!$B$16,0,IF(A39=Investor!$B$16,C39-E39,IF(Investor!$B$17=1,(C39-E39)*(1-B39/B38),0)))</f>
        <v>0</v>
      </c>
      <c r="G39" s="11" t="n">
        <f aca="false">C39-E39-F39</f>
        <v>0</v>
      </c>
      <c r="H39" s="11" t="n">
        <f aca="false">D39+F39</f>
        <v>0</v>
      </c>
    </row>
    <row r="40" customFormat="false" ht="15" hidden="false" customHeight="false" outlineLevel="0" collapsed="false">
      <c r="A40" s="4" t="n">
        <v>7</v>
      </c>
      <c r="B40" s="11" t="n">
        <f aca="false">IF(A40&gt;Investor!$B$16,0,IF(A40&lt;=Investor!$B$12,Investor!$B$5,Investor!$B$5*(1-Investor!$B$13)^(A40-Investor!$B$12)))</f>
        <v>0</v>
      </c>
      <c r="C40" s="11" t="n">
        <f aca="false">IF(A40&gt;Investor!$B$16,0,G39)</f>
        <v>0</v>
      </c>
      <c r="D40" s="11" t="n">
        <f aca="false">(Investor!$B$11+Investor!$B$10)*C40</f>
        <v>0</v>
      </c>
      <c r="E40" s="11" t="n">
        <f aca="false">IF(A40&gt;Investor!$B$16,0,MIN(C40,Stress!$C$10*B40*Investor!$B$7))</f>
        <v>0</v>
      </c>
      <c r="F40" s="11" t="n">
        <f aca="false">IF(A40&gt;Investor!$B$16,0,IF(A40=Investor!$B$16,C40-E40,IF(Investor!$B$17=1,(C40-E40)*(1-B40/B39),0)))</f>
        <v>0</v>
      </c>
      <c r="G40" s="11" t="n">
        <f aca="false">C40-E40-F40</f>
        <v>0</v>
      </c>
      <c r="H40" s="11" t="n">
        <f aca="false">D40+F40</f>
        <v>0</v>
      </c>
    </row>
    <row r="41" customFormat="false" ht="15" hidden="false" customHeight="false" outlineLevel="0" collapsed="false">
      <c r="A41" s="4" t="n">
        <v>8</v>
      </c>
      <c r="B41" s="11" t="n">
        <f aca="false">IF(A41&gt;Investor!$B$16,0,IF(A41&lt;=Investor!$B$12,Investor!$B$5,Investor!$B$5*(1-Investor!$B$13)^(A41-Investor!$B$12)))</f>
        <v>0</v>
      </c>
      <c r="C41" s="11" t="n">
        <f aca="false">IF(A41&gt;Investor!$B$16,0,G40)</f>
        <v>0</v>
      </c>
      <c r="D41" s="11" t="n">
        <f aca="false">(Investor!$B$11+Investor!$B$10)*C41</f>
        <v>0</v>
      </c>
      <c r="E41" s="11" t="n">
        <f aca="false">IF(A41&gt;Investor!$B$16,0,MIN(C41,Stress!$C$10*B41*Investor!$B$7))</f>
        <v>0</v>
      </c>
      <c r="F41" s="11" t="n">
        <f aca="false">IF(A41&gt;Investor!$B$16,0,IF(A41=Investor!$B$16,C41-E41,IF(Investor!$B$17=1,(C41-E41)*(1-B41/B40),0)))</f>
        <v>0</v>
      </c>
      <c r="G41" s="11" t="n">
        <f aca="false">C41-E41-F41</f>
        <v>0</v>
      </c>
      <c r="H41" s="11" t="n">
        <f aca="false">D41+F41</f>
        <v>0</v>
      </c>
    </row>
    <row r="42" customFormat="false" ht="15" hidden="false" customHeight="false" outlineLevel="0" collapsed="false">
      <c r="A42" s="3" t="s">
        <v>26</v>
      </c>
      <c r="D42" s="12" t="n">
        <f aca="false">SUM(D34:D41)</f>
        <v>149332452.773038</v>
      </c>
      <c r="E42" s="12" t="n">
        <f aca="false">SUM(E34:E41)</f>
        <v>60599585.582592</v>
      </c>
      <c r="F42" s="12" t="n">
        <f aca="false">SUM(F34:F41)</f>
        <v>205400414.417408</v>
      </c>
      <c r="G42" s="3" t="s">
        <v>27</v>
      </c>
      <c r="H42" s="13" t="n">
        <f aca="false">IRR(H33:H41,IF(SUM(H33:H41)&gt;=0,0.1,-0.3))</f>
        <v>0.0774513759971541</v>
      </c>
    </row>
    <row r="45" customFormat="false" ht="15" hidden="false" customHeight="false" outlineLevel="0" collapsed="false">
      <c r="A45" s="3" t="s">
        <v>78</v>
      </c>
    </row>
    <row r="46" customFormat="false" ht="15" hidden="false" customHeight="false" outlineLevel="0" collapsed="false">
      <c r="A46" s="10" t="s">
        <v>18</v>
      </c>
      <c r="B46" s="10" t="s">
        <v>19</v>
      </c>
      <c r="C46" s="10" t="s">
        <v>20</v>
      </c>
      <c r="D46" s="10" t="s">
        <v>21</v>
      </c>
      <c r="E46" s="10" t="s">
        <v>22</v>
      </c>
      <c r="F46" s="10" t="s">
        <v>23</v>
      </c>
      <c r="G46" s="10" t="s">
        <v>24</v>
      </c>
      <c r="H46" s="10" t="s">
        <v>25</v>
      </c>
    </row>
    <row r="47" customFormat="false" ht="15" hidden="false" customHeight="false" outlineLevel="0" collapsed="false">
      <c r="A47" s="4" t="n">
        <v>0</v>
      </c>
      <c r="B47" s="11" t="n">
        <f aca="false">Investor!$B$5</f>
        <v>4000000000</v>
      </c>
      <c r="H47" s="11" t="n">
        <f aca="false">-C48</f>
        <v>-266000000</v>
      </c>
    </row>
    <row r="48" customFormat="false" ht="15" hidden="false" customHeight="false" outlineLevel="0" collapsed="false">
      <c r="A48" s="4" t="n">
        <v>1</v>
      </c>
      <c r="B48" s="11" t="n">
        <f aca="false">IF(A48&gt;Investor!$B$16,0,IF(A48&lt;=Investor!$B$12,Investor!$B$5,Investor!$B$5*(1-Investor!$B$13)^(A48-Investor!$B$12)))</f>
        <v>4000000000</v>
      </c>
      <c r="C48" s="11" t="n">
        <f aca="false">IF(A48&gt;Investor!$B$16,0,Investor!$B$6*Investor!$B$5*Investor!$B$7)</f>
        <v>266000000</v>
      </c>
      <c r="D48" s="11" t="n">
        <f aca="false">(Investor!$B$11+Investor!$B$10)*C48</f>
        <v>34580000</v>
      </c>
      <c r="E48" s="11" t="n">
        <f aca="false">IF(A48&gt;Investor!$B$16,0,MIN(C48,Stress!$C$11*B48*Investor!$B$7))</f>
        <v>13850145</v>
      </c>
      <c r="F48" s="11" t="n">
        <f aca="false">IF(A48&gt;Investor!$B$16,0,IF(A48=Investor!$B$16,C48-E48,IF(Investor!$B$17=1,(C48-E48)*(1-B48/B47),0)))</f>
        <v>0</v>
      </c>
      <c r="G48" s="11" t="n">
        <f aca="false">C48-E48-F48</f>
        <v>252149855</v>
      </c>
      <c r="H48" s="11" t="n">
        <f aca="false">D48+F48</f>
        <v>34580000</v>
      </c>
    </row>
    <row r="49" customFormat="false" ht="15" hidden="false" customHeight="false" outlineLevel="0" collapsed="false">
      <c r="A49" s="4" t="n">
        <v>2</v>
      </c>
      <c r="B49" s="11" t="n">
        <f aca="false">IF(A49&gt;Investor!$B$16,0,IF(A49&lt;=Investor!$B$12,Investor!$B$5,Investor!$B$5*(1-Investor!$B$13)^(A49-Investor!$B$12)))</f>
        <v>4000000000</v>
      </c>
      <c r="C49" s="11" t="n">
        <f aca="false">IF(A49&gt;Investor!$B$16,0,G48)</f>
        <v>252149855</v>
      </c>
      <c r="D49" s="11" t="n">
        <f aca="false">(Investor!$B$11+Investor!$B$10)*C49</f>
        <v>32779481.15</v>
      </c>
      <c r="E49" s="11" t="n">
        <f aca="false">IF(A49&gt;Investor!$B$16,0,MIN(C49,Stress!$C$11*B49*Investor!$B$7))</f>
        <v>13850145</v>
      </c>
      <c r="F49" s="11" t="n">
        <f aca="false">IF(A49&gt;Investor!$B$16,0,IF(A49=Investor!$B$16,C49-E49,IF(Investor!$B$17=1,(C49-E49)*(1-B49/B48),0)))</f>
        <v>0</v>
      </c>
      <c r="G49" s="11" t="n">
        <f aca="false">C49-E49-F49</f>
        <v>238299710</v>
      </c>
      <c r="H49" s="11" t="n">
        <f aca="false">D49+F49</f>
        <v>32779481.15</v>
      </c>
    </row>
    <row r="50" customFormat="false" ht="15" hidden="false" customHeight="false" outlineLevel="0" collapsed="false">
      <c r="A50" s="4" t="n">
        <v>3</v>
      </c>
      <c r="B50" s="11" t="n">
        <f aca="false">IF(A50&gt;Investor!$B$16,0,IF(A50&lt;=Investor!$B$12,Investor!$B$5,Investor!$B$5*(1-Investor!$B$13)^(A50-Investor!$B$12)))</f>
        <v>3680000000</v>
      </c>
      <c r="C50" s="11" t="n">
        <f aca="false">IF(A50&gt;Investor!$B$16,0,G49)</f>
        <v>238299710</v>
      </c>
      <c r="D50" s="11" t="n">
        <f aca="false">(Investor!$B$11+Investor!$B$10)*C50</f>
        <v>30978962.3</v>
      </c>
      <c r="E50" s="11" t="n">
        <f aca="false">IF(A50&gt;Investor!$B$16,0,MIN(C50,Stress!$C$11*B50*Investor!$B$7))</f>
        <v>12742133.4</v>
      </c>
      <c r="F50" s="11" t="n">
        <f aca="false">IF(A50&gt;Investor!$B$16,0,IF(A50=Investor!$B$16,C50-E50,IF(Investor!$B$17=1,(C50-E50)*(1-B50/B49),0)))</f>
        <v>18044606.128</v>
      </c>
      <c r="G50" s="11" t="n">
        <f aca="false">C50-E50-F50</f>
        <v>207512970.472</v>
      </c>
      <c r="H50" s="11" t="n">
        <f aca="false">D50+F50</f>
        <v>49023568.428</v>
      </c>
    </row>
    <row r="51" customFormat="false" ht="15" hidden="false" customHeight="false" outlineLevel="0" collapsed="false">
      <c r="A51" s="4" t="n">
        <v>4</v>
      </c>
      <c r="B51" s="11" t="n">
        <f aca="false">IF(A51&gt;Investor!$B$16,0,IF(A51&lt;=Investor!$B$12,Investor!$B$5,Investor!$B$5*(1-Investor!$B$13)^(A51-Investor!$B$12)))</f>
        <v>3385600000</v>
      </c>
      <c r="C51" s="11" t="n">
        <f aca="false">IF(A51&gt;Investor!$B$16,0,G50)</f>
        <v>207512970.472</v>
      </c>
      <c r="D51" s="11" t="n">
        <f aca="false">(Investor!$B$11+Investor!$B$10)*C51</f>
        <v>26976686.16136</v>
      </c>
      <c r="E51" s="11" t="n">
        <f aca="false">IF(A51&gt;Investor!$B$16,0,MIN(C51,Stress!$C$11*B51*Investor!$B$7))</f>
        <v>11722762.728</v>
      </c>
      <c r="F51" s="11" t="n">
        <f aca="false">IF(A51&gt;Investor!$B$16,0,IF(A51=Investor!$B$16,C51-E51,IF(Investor!$B$17=1,(C51-E51)*(1-B51/B50),0)))</f>
        <v>15663216.61952</v>
      </c>
      <c r="G51" s="11" t="n">
        <f aca="false">C51-E51-F51</f>
        <v>180126991.12448</v>
      </c>
      <c r="H51" s="11" t="n">
        <f aca="false">D51+F51</f>
        <v>42639902.78088</v>
      </c>
    </row>
    <row r="52" customFormat="false" ht="15" hidden="false" customHeight="false" outlineLevel="0" collapsed="false">
      <c r="A52" s="4" t="n">
        <v>5</v>
      </c>
      <c r="B52" s="11" t="n">
        <f aca="false">IF(A52&gt;Investor!$B$16,0,IF(A52&lt;=Investor!$B$12,Investor!$B$5,Investor!$B$5*(1-Investor!$B$13)^(A52-Investor!$B$12)))</f>
        <v>3114752000</v>
      </c>
      <c r="C52" s="11" t="n">
        <f aca="false">IF(A52&gt;Investor!$B$16,0,G51)</f>
        <v>180126991.12448</v>
      </c>
      <c r="D52" s="11" t="n">
        <f aca="false">(Investor!$B$11+Investor!$B$10)*C52</f>
        <v>23416508.8461824</v>
      </c>
      <c r="E52" s="11" t="n">
        <f aca="false">IF(A52&gt;Investor!$B$16,0,MIN(C52,Stress!$C$11*B52*Investor!$B$7))</f>
        <v>10784941.70976</v>
      </c>
      <c r="F52" s="11" t="n">
        <f aca="false">IF(A52&gt;Investor!$B$16,0,IF(A52=Investor!$B$16,C52-E52,IF(Investor!$B$17=1,(C52-E52)*(1-B52/B51),0)))</f>
        <v>169342049.41472</v>
      </c>
      <c r="G52" s="11" t="n">
        <f aca="false">C52-E52-F52</f>
        <v>0</v>
      </c>
      <c r="H52" s="11" t="n">
        <f aca="false">D52+F52</f>
        <v>192758558.260902</v>
      </c>
    </row>
    <row r="53" customFormat="false" ht="15" hidden="false" customHeight="false" outlineLevel="0" collapsed="false">
      <c r="A53" s="4" t="n">
        <v>6</v>
      </c>
      <c r="B53" s="11" t="n">
        <f aca="false">IF(A53&gt;Investor!$B$16,0,IF(A53&lt;=Investor!$B$12,Investor!$B$5,Investor!$B$5*(1-Investor!$B$13)^(A53-Investor!$B$12)))</f>
        <v>0</v>
      </c>
      <c r="C53" s="11" t="n">
        <f aca="false">IF(A53&gt;Investor!$B$16,0,G52)</f>
        <v>0</v>
      </c>
      <c r="D53" s="11" t="n">
        <f aca="false">(Investor!$B$11+Investor!$B$10)*C53</f>
        <v>0</v>
      </c>
      <c r="E53" s="11" t="n">
        <f aca="false">IF(A53&gt;Investor!$B$16,0,MIN(C53,Stress!$C$11*B53*Investor!$B$7))</f>
        <v>0</v>
      </c>
      <c r="F53" s="11" t="n">
        <f aca="false">IF(A53&gt;Investor!$B$16,0,IF(A53=Investor!$B$16,C53-E53,IF(Investor!$B$17=1,(C53-E53)*(1-B53/B52),0)))</f>
        <v>0</v>
      </c>
      <c r="G53" s="11" t="n">
        <f aca="false">C53-E53-F53</f>
        <v>0</v>
      </c>
      <c r="H53" s="11" t="n">
        <f aca="false">D53+F53</f>
        <v>0</v>
      </c>
    </row>
    <row r="54" customFormat="false" ht="15" hidden="false" customHeight="false" outlineLevel="0" collapsed="false">
      <c r="A54" s="4" t="n">
        <v>7</v>
      </c>
      <c r="B54" s="11" t="n">
        <f aca="false">IF(A54&gt;Investor!$B$16,0,IF(A54&lt;=Investor!$B$12,Investor!$B$5,Investor!$B$5*(1-Investor!$B$13)^(A54-Investor!$B$12)))</f>
        <v>0</v>
      </c>
      <c r="C54" s="11" t="n">
        <f aca="false">IF(A54&gt;Investor!$B$16,0,G53)</f>
        <v>0</v>
      </c>
      <c r="D54" s="11" t="n">
        <f aca="false">(Investor!$B$11+Investor!$B$10)*C54</f>
        <v>0</v>
      </c>
      <c r="E54" s="11" t="n">
        <f aca="false">IF(A54&gt;Investor!$B$16,0,MIN(C54,Stress!$C$11*B54*Investor!$B$7))</f>
        <v>0</v>
      </c>
      <c r="F54" s="11" t="n">
        <f aca="false">IF(A54&gt;Investor!$B$16,0,IF(A54=Investor!$B$16,C54-E54,IF(Investor!$B$17=1,(C54-E54)*(1-B54/B53),0)))</f>
        <v>0</v>
      </c>
      <c r="G54" s="11" t="n">
        <f aca="false">C54-E54-F54</f>
        <v>0</v>
      </c>
      <c r="H54" s="11" t="n">
        <f aca="false">D54+F54</f>
        <v>0</v>
      </c>
    </row>
    <row r="55" customFormat="false" ht="15" hidden="false" customHeight="false" outlineLevel="0" collapsed="false">
      <c r="A55" s="4" t="n">
        <v>8</v>
      </c>
      <c r="B55" s="11" t="n">
        <f aca="false">IF(A55&gt;Investor!$B$16,0,IF(A55&lt;=Investor!$B$12,Investor!$B$5,Investor!$B$5*(1-Investor!$B$13)^(A55-Investor!$B$12)))</f>
        <v>0</v>
      </c>
      <c r="C55" s="11" t="n">
        <f aca="false">IF(A55&gt;Investor!$B$16,0,G54)</f>
        <v>0</v>
      </c>
      <c r="D55" s="11" t="n">
        <f aca="false">(Investor!$B$11+Investor!$B$10)*C55</f>
        <v>0</v>
      </c>
      <c r="E55" s="11" t="n">
        <f aca="false">IF(A55&gt;Investor!$B$16,0,MIN(C55,Stress!$C$11*B55*Investor!$B$7))</f>
        <v>0</v>
      </c>
      <c r="F55" s="11" t="n">
        <f aca="false">IF(A55&gt;Investor!$B$16,0,IF(A55=Investor!$B$16,C55-E55,IF(Investor!$B$17=1,(C55-E55)*(1-B55/B54),0)))</f>
        <v>0</v>
      </c>
      <c r="G55" s="11" t="n">
        <f aca="false">C55-E55-F55</f>
        <v>0</v>
      </c>
      <c r="H55" s="11" t="n">
        <f aca="false">D55+F55</f>
        <v>0</v>
      </c>
    </row>
    <row r="56" customFormat="false" ht="15" hidden="false" customHeight="false" outlineLevel="0" collapsed="false">
      <c r="A56" s="3" t="s">
        <v>26</v>
      </c>
      <c r="D56" s="12" t="n">
        <f aca="false">SUM(D48:D55)</f>
        <v>148731638.457542</v>
      </c>
      <c r="E56" s="12" t="n">
        <f aca="false">SUM(E48:E55)</f>
        <v>62950127.83776</v>
      </c>
      <c r="F56" s="12" t="n">
        <f aca="false">SUM(F48:F55)</f>
        <v>203049872.16224</v>
      </c>
      <c r="G56" s="3" t="s">
        <v>27</v>
      </c>
      <c r="H56" s="13" t="n">
        <f aca="false">IRR(H47:H55,IF(SUM(H47:H55)&gt;=0,0.1,-0.3))</f>
        <v>0.0752041942758465</v>
      </c>
    </row>
    <row r="59" customFormat="false" ht="15" hidden="false" customHeight="false" outlineLevel="0" collapsed="false">
      <c r="A59" s="3" t="s">
        <v>79</v>
      </c>
    </row>
    <row r="60" customFormat="false" ht="15" hidden="false" customHeight="false" outlineLevel="0" collapsed="false">
      <c r="A60" s="10" t="s">
        <v>18</v>
      </c>
      <c r="B60" s="10" t="s">
        <v>19</v>
      </c>
      <c r="C60" s="10" t="s">
        <v>20</v>
      </c>
      <c r="D60" s="10" t="s">
        <v>21</v>
      </c>
      <c r="E60" s="10" t="s">
        <v>22</v>
      </c>
      <c r="F60" s="10" t="s">
        <v>23</v>
      </c>
      <c r="G60" s="10" t="s">
        <v>24</v>
      </c>
      <c r="H60" s="10" t="s">
        <v>25</v>
      </c>
    </row>
    <row r="61" customFormat="false" ht="15" hidden="false" customHeight="false" outlineLevel="0" collapsed="false">
      <c r="A61" s="4" t="n">
        <v>0</v>
      </c>
      <c r="B61" s="11" t="n">
        <f aca="false">Investor!$B$5</f>
        <v>4000000000</v>
      </c>
      <c r="H61" s="11" t="n">
        <f aca="false">-C62</f>
        <v>-266000000</v>
      </c>
    </row>
    <row r="62" customFormat="false" ht="15" hidden="false" customHeight="false" outlineLevel="0" collapsed="false">
      <c r="A62" s="4" t="n">
        <v>1</v>
      </c>
      <c r="B62" s="11" t="n">
        <f aca="false">IF(A62&gt;Investor!$B$16,0,IF(A62&lt;=Investor!$B$12,Investor!$B$5,Investor!$B$5*(1-Investor!$B$13)^(A62-Investor!$B$12)))</f>
        <v>4000000000</v>
      </c>
      <c r="C62" s="11" t="n">
        <f aca="false">IF(A62&gt;Investor!$B$16,0,Investor!$B$6*Investor!$B$5*Investor!$B$7)</f>
        <v>266000000</v>
      </c>
      <c r="D62" s="11" t="n">
        <f aca="false">(Investor!$B$11+Investor!$B$10)*C62</f>
        <v>34580000</v>
      </c>
      <c r="E62" s="11" t="n">
        <f aca="false">IF(A62&gt;Investor!$B$16,0,MIN(C62,Stress!$C$12*B62*Investor!$B$7))</f>
        <v>24237753.75</v>
      </c>
      <c r="F62" s="11" t="n">
        <f aca="false">IF(A62&gt;Investor!$B$16,0,IF(A62=Investor!$B$16,C62-E62,IF(Investor!$B$17=1,(C62-E62)*(1-B62/B61),0)))</f>
        <v>0</v>
      </c>
      <c r="G62" s="11" t="n">
        <f aca="false">C62-E62-F62</f>
        <v>241762246.25</v>
      </c>
      <c r="H62" s="11" t="n">
        <f aca="false">D62+F62</f>
        <v>34580000</v>
      </c>
    </row>
    <row r="63" customFormat="false" ht="15" hidden="false" customHeight="false" outlineLevel="0" collapsed="false">
      <c r="A63" s="4" t="n">
        <v>2</v>
      </c>
      <c r="B63" s="11" t="n">
        <f aca="false">IF(A63&gt;Investor!$B$16,0,IF(A63&lt;=Investor!$B$12,Investor!$B$5,Investor!$B$5*(1-Investor!$B$13)^(A63-Investor!$B$12)))</f>
        <v>4000000000</v>
      </c>
      <c r="C63" s="11" t="n">
        <f aca="false">IF(A63&gt;Investor!$B$16,0,G62)</f>
        <v>241762246.25</v>
      </c>
      <c r="D63" s="11" t="n">
        <f aca="false">(Investor!$B$11+Investor!$B$10)*C63</f>
        <v>31429092.0125</v>
      </c>
      <c r="E63" s="11" t="n">
        <f aca="false">IF(A63&gt;Investor!$B$16,0,MIN(C63,Stress!$C$12*B63*Investor!$B$7))</f>
        <v>24237753.75</v>
      </c>
      <c r="F63" s="11" t="n">
        <f aca="false">IF(A63&gt;Investor!$B$16,0,IF(A63=Investor!$B$16,C63-E63,IF(Investor!$B$17=1,(C63-E63)*(1-B63/B62),0)))</f>
        <v>0</v>
      </c>
      <c r="G63" s="11" t="n">
        <f aca="false">C63-E63-F63</f>
        <v>217524492.5</v>
      </c>
      <c r="H63" s="11" t="n">
        <f aca="false">D63+F63</f>
        <v>31429092.0125</v>
      </c>
    </row>
    <row r="64" customFormat="false" ht="15" hidden="false" customHeight="false" outlineLevel="0" collapsed="false">
      <c r="A64" s="4" t="n">
        <v>3</v>
      </c>
      <c r="B64" s="11" t="n">
        <f aca="false">IF(A64&gt;Investor!$B$16,0,IF(A64&lt;=Investor!$B$12,Investor!$B$5,Investor!$B$5*(1-Investor!$B$13)^(A64-Investor!$B$12)))</f>
        <v>3680000000</v>
      </c>
      <c r="C64" s="11" t="n">
        <f aca="false">IF(A64&gt;Investor!$B$16,0,G63)</f>
        <v>217524492.5</v>
      </c>
      <c r="D64" s="11" t="n">
        <f aca="false">(Investor!$B$11+Investor!$B$10)*C64</f>
        <v>28278184.025</v>
      </c>
      <c r="E64" s="11" t="n">
        <f aca="false">IF(A64&gt;Investor!$B$16,0,MIN(C64,Stress!$C$12*B64*Investor!$B$7))</f>
        <v>22298733.45</v>
      </c>
      <c r="F64" s="11" t="n">
        <f aca="false">IF(A64&gt;Investor!$B$16,0,IF(A64=Investor!$B$16,C64-E64,IF(Investor!$B$17=1,(C64-E64)*(1-B64/B63),0)))</f>
        <v>15618060.724</v>
      </c>
      <c r="G64" s="11" t="n">
        <f aca="false">C64-E64-F64</f>
        <v>179607698.326</v>
      </c>
      <c r="H64" s="11" t="n">
        <f aca="false">D64+F64</f>
        <v>43896244.749</v>
      </c>
    </row>
    <row r="65" customFormat="false" ht="15" hidden="false" customHeight="false" outlineLevel="0" collapsed="false">
      <c r="A65" s="4" t="n">
        <v>4</v>
      </c>
      <c r="B65" s="11" t="n">
        <f aca="false">IF(A65&gt;Investor!$B$16,0,IF(A65&lt;=Investor!$B$12,Investor!$B$5,Investor!$B$5*(1-Investor!$B$13)^(A65-Investor!$B$12)))</f>
        <v>3385600000</v>
      </c>
      <c r="C65" s="11" t="n">
        <f aca="false">IF(A65&gt;Investor!$B$16,0,G64)</f>
        <v>179607698.326</v>
      </c>
      <c r="D65" s="11" t="n">
        <f aca="false">(Investor!$B$11+Investor!$B$10)*C65</f>
        <v>23349000.78238</v>
      </c>
      <c r="E65" s="11" t="n">
        <f aca="false">IF(A65&gt;Investor!$B$16,0,MIN(C65,Stress!$C$12*B65*Investor!$B$7))</f>
        <v>20514834.774</v>
      </c>
      <c r="F65" s="11" t="n">
        <f aca="false">IF(A65&gt;Investor!$B$16,0,IF(A65=Investor!$B$16,C65-E65,IF(Investor!$B$17=1,(C65-E65)*(1-B65/B64),0)))</f>
        <v>12727429.08416</v>
      </c>
      <c r="G65" s="11" t="n">
        <f aca="false">C65-E65-F65</f>
        <v>146365434.46784</v>
      </c>
      <c r="H65" s="11" t="n">
        <f aca="false">D65+F65</f>
        <v>36076429.86654</v>
      </c>
    </row>
    <row r="66" customFormat="false" ht="15" hidden="false" customHeight="false" outlineLevel="0" collapsed="false">
      <c r="A66" s="4" t="n">
        <v>5</v>
      </c>
      <c r="B66" s="11" t="n">
        <f aca="false">IF(A66&gt;Investor!$B$16,0,IF(A66&lt;=Investor!$B$12,Investor!$B$5,Investor!$B$5*(1-Investor!$B$13)^(A66-Investor!$B$12)))</f>
        <v>3114752000</v>
      </c>
      <c r="C66" s="11" t="n">
        <f aca="false">IF(A66&gt;Investor!$B$16,0,G65)</f>
        <v>146365434.46784</v>
      </c>
      <c r="D66" s="11" t="n">
        <f aca="false">(Investor!$B$11+Investor!$B$10)*C66</f>
        <v>19027506.4808192</v>
      </c>
      <c r="E66" s="11" t="n">
        <f aca="false">IF(A66&gt;Investor!$B$16,0,MIN(C66,Stress!$C$12*B66*Investor!$B$7))</f>
        <v>18873647.99208</v>
      </c>
      <c r="F66" s="11" t="n">
        <f aca="false">IF(A66&gt;Investor!$B$16,0,IF(A66=Investor!$B$16,C66-E66,IF(Investor!$B$17=1,(C66-E66)*(1-B66/B65),0)))</f>
        <v>127491786.47576</v>
      </c>
      <c r="G66" s="11" t="n">
        <f aca="false">C66-E66-F66</f>
        <v>0</v>
      </c>
      <c r="H66" s="11" t="n">
        <f aca="false">D66+F66</f>
        <v>146519292.956579</v>
      </c>
    </row>
    <row r="67" customFormat="false" ht="15" hidden="false" customHeight="false" outlineLevel="0" collapsed="false">
      <c r="A67" s="4" t="n">
        <v>6</v>
      </c>
      <c r="B67" s="11" t="n">
        <f aca="false">IF(A67&gt;Investor!$B$16,0,IF(A67&lt;=Investor!$B$12,Investor!$B$5,Investor!$B$5*(1-Investor!$B$13)^(A67-Investor!$B$12)))</f>
        <v>0</v>
      </c>
      <c r="C67" s="11" t="n">
        <f aca="false">IF(A67&gt;Investor!$B$16,0,G66)</f>
        <v>0</v>
      </c>
      <c r="D67" s="11" t="n">
        <f aca="false">(Investor!$B$11+Investor!$B$10)*C67</f>
        <v>0</v>
      </c>
      <c r="E67" s="11" t="n">
        <f aca="false">IF(A67&gt;Investor!$B$16,0,MIN(C67,Stress!$C$12*B67*Investor!$B$7))</f>
        <v>0</v>
      </c>
      <c r="F67" s="11" t="n">
        <f aca="false">IF(A67&gt;Investor!$B$16,0,IF(A67=Investor!$B$16,C67-E67,IF(Investor!$B$17=1,(C67-E67)*(1-B67/B66),0)))</f>
        <v>0</v>
      </c>
      <c r="G67" s="11" t="n">
        <f aca="false">C67-E67-F67</f>
        <v>0</v>
      </c>
      <c r="H67" s="11" t="n">
        <f aca="false">D67+F67</f>
        <v>0</v>
      </c>
    </row>
    <row r="68" customFormat="false" ht="15" hidden="false" customHeight="false" outlineLevel="0" collapsed="false">
      <c r="A68" s="4" t="n">
        <v>7</v>
      </c>
      <c r="B68" s="11" t="n">
        <f aca="false">IF(A68&gt;Investor!$B$16,0,IF(A68&lt;=Investor!$B$12,Investor!$B$5,Investor!$B$5*(1-Investor!$B$13)^(A68-Investor!$B$12)))</f>
        <v>0</v>
      </c>
      <c r="C68" s="11" t="n">
        <f aca="false">IF(A68&gt;Investor!$B$16,0,G67)</f>
        <v>0</v>
      </c>
      <c r="D68" s="11" t="n">
        <f aca="false">(Investor!$B$11+Investor!$B$10)*C68</f>
        <v>0</v>
      </c>
      <c r="E68" s="11" t="n">
        <f aca="false">IF(A68&gt;Investor!$B$16,0,MIN(C68,Stress!$C$12*B68*Investor!$B$7))</f>
        <v>0</v>
      </c>
      <c r="F68" s="11" t="n">
        <f aca="false">IF(A68&gt;Investor!$B$16,0,IF(A68=Investor!$B$16,C68-E68,IF(Investor!$B$17=1,(C68-E68)*(1-B68/B67),0)))</f>
        <v>0</v>
      </c>
      <c r="G68" s="11" t="n">
        <f aca="false">C68-E68-F68</f>
        <v>0</v>
      </c>
      <c r="H68" s="11" t="n">
        <f aca="false">D68+F68</f>
        <v>0</v>
      </c>
    </row>
    <row r="69" customFormat="false" ht="15" hidden="false" customHeight="false" outlineLevel="0" collapsed="false">
      <c r="A69" s="4" t="n">
        <v>8</v>
      </c>
      <c r="B69" s="11" t="n">
        <f aca="false">IF(A69&gt;Investor!$B$16,0,IF(A69&lt;=Investor!$B$12,Investor!$B$5,Investor!$B$5*(1-Investor!$B$13)^(A69-Investor!$B$12)))</f>
        <v>0</v>
      </c>
      <c r="C69" s="11" t="n">
        <f aca="false">IF(A69&gt;Investor!$B$16,0,G68)</f>
        <v>0</v>
      </c>
      <c r="D69" s="11" t="n">
        <f aca="false">(Investor!$B$11+Investor!$B$10)*C69</f>
        <v>0</v>
      </c>
      <c r="E69" s="11" t="n">
        <f aca="false">IF(A69&gt;Investor!$B$16,0,MIN(C69,Stress!$C$12*B69*Investor!$B$7))</f>
        <v>0</v>
      </c>
      <c r="F69" s="11" t="n">
        <f aca="false">IF(A69&gt;Investor!$B$16,0,IF(A69=Investor!$B$16,C69-E69,IF(Investor!$B$17=1,(C69-E69)*(1-B69/B68),0)))</f>
        <v>0</v>
      </c>
      <c r="G69" s="11" t="n">
        <f aca="false">C69-E69-F69</f>
        <v>0</v>
      </c>
      <c r="H69" s="11" t="n">
        <f aca="false">D69+F69</f>
        <v>0</v>
      </c>
    </row>
    <row r="70" customFormat="false" ht="15" hidden="false" customHeight="false" outlineLevel="0" collapsed="false">
      <c r="A70" s="3" t="s">
        <v>26</v>
      </c>
      <c r="D70" s="12" t="n">
        <f aca="false">SUM(D62:D69)</f>
        <v>136663783.300699</v>
      </c>
      <c r="E70" s="12" t="n">
        <f aca="false">SUM(E62:E69)</f>
        <v>110162723.71608</v>
      </c>
      <c r="F70" s="12" t="n">
        <f aca="false">SUM(F62:F69)</f>
        <v>155837276.28392</v>
      </c>
      <c r="G70" s="3" t="s">
        <v>27</v>
      </c>
      <c r="H70" s="13" t="n">
        <f aca="false">IRR(H61:H69,IF(SUM(H61:H69)&gt;=0,0.1,-0.3))</f>
        <v>0.0256180373833853</v>
      </c>
    </row>
    <row r="73" customFormat="false" ht="15" hidden="false" customHeight="false" outlineLevel="0" collapsed="false">
      <c r="A73" s="3" t="s">
        <v>80</v>
      </c>
    </row>
    <row r="74" customFormat="false" ht="15" hidden="false" customHeight="false" outlineLevel="0" collapsed="false">
      <c r="A74" s="10" t="s">
        <v>18</v>
      </c>
      <c r="B74" s="10" t="s">
        <v>19</v>
      </c>
      <c r="C74" s="10" t="s">
        <v>20</v>
      </c>
      <c r="D74" s="10" t="s">
        <v>21</v>
      </c>
      <c r="E74" s="10" t="s">
        <v>22</v>
      </c>
      <c r="F74" s="10" t="s">
        <v>23</v>
      </c>
      <c r="G74" s="10" t="s">
        <v>24</v>
      </c>
      <c r="H74" s="10" t="s">
        <v>25</v>
      </c>
    </row>
    <row r="75" customFormat="false" ht="15" hidden="false" customHeight="false" outlineLevel="0" collapsed="false">
      <c r="A75" s="4" t="n">
        <v>0</v>
      </c>
      <c r="B75" s="11" t="n">
        <f aca="false">Investor!$B$5</f>
        <v>4000000000</v>
      </c>
      <c r="H75" s="11" t="n">
        <f aca="false">-C76</f>
        <v>-266000000</v>
      </c>
    </row>
    <row r="76" customFormat="false" ht="15" hidden="false" customHeight="false" outlineLevel="0" collapsed="false">
      <c r="A76" s="4" t="n">
        <v>1</v>
      </c>
      <c r="B76" s="11" t="n">
        <f aca="false">IF(A76&gt;Investor!$B$16,0,IF(A76&lt;=Investor!$B$12,Investor!$B$5,Investor!$B$5*(1-Investor!$B$13)^(A76-Investor!$B$12)))</f>
        <v>4000000000</v>
      </c>
      <c r="C76" s="11" t="n">
        <f aca="false">IF(A76&gt;Investor!$B$16,0,Investor!$B$6*Investor!$B$5*Investor!$B$7)</f>
        <v>266000000</v>
      </c>
      <c r="D76" s="11" t="n">
        <f aca="false">(Investor!$B$11+Investor!$B$10)*C76</f>
        <v>34580000</v>
      </c>
      <c r="E76" s="11" t="n">
        <f aca="false">IF(A76&gt;Investor!$B$16,0,MIN(C76,Stress!$C$13*B76*Investor!$B$7))</f>
        <v>48475507.5</v>
      </c>
      <c r="F76" s="11" t="n">
        <f aca="false">IF(A76&gt;Investor!$B$16,0,IF(A76=Investor!$B$16,C76-E76,IF(Investor!$B$17=1,(C76-E76)*(1-B76/B75),0)))</f>
        <v>0</v>
      </c>
      <c r="G76" s="11" t="n">
        <f aca="false">C76-E76-F76</f>
        <v>217524492.5</v>
      </c>
      <c r="H76" s="11" t="n">
        <f aca="false">D76+F76</f>
        <v>34580000</v>
      </c>
    </row>
    <row r="77" customFormat="false" ht="15" hidden="false" customHeight="false" outlineLevel="0" collapsed="false">
      <c r="A77" s="4" t="n">
        <v>2</v>
      </c>
      <c r="B77" s="11" t="n">
        <f aca="false">IF(A77&gt;Investor!$B$16,0,IF(A77&lt;=Investor!$B$12,Investor!$B$5,Investor!$B$5*(1-Investor!$B$13)^(A77-Investor!$B$12)))</f>
        <v>4000000000</v>
      </c>
      <c r="C77" s="11" t="n">
        <f aca="false">IF(A77&gt;Investor!$B$16,0,G76)</f>
        <v>217524492.5</v>
      </c>
      <c r="D77" s="11" t="n">
        <f aca="false">(Investor!$B$11+Investor!$B$10)*C77</f>
        <v>28278184.025</v>
      </c>
      <c r="E77" s="11" t="n">
        <f aca="false">IF(A77&gt;Investor!$B$16,0,MIN(C77,Stress!$C$13*B77*Investor!$B$7))</f>
        <v>48475507.5</v>
      </c>
      <c r="F77" s="11" t="n">
        <f aca="false">IF(A77&gt;Investor!$B$16,0,IF(A77=Investor!$B$16,C77-E77,IF(Investor!$B$17=1,(C77-E77)*(1-B77/B76),0)))</f>
        <v>0</v>
      </c>
      <c r="G77" s="11" t="n">
        <f aca="false">C77-E77-F77</f>
        <v>169048985</v>
      </c>
      <c r="H77" s="11" t="n">
        <f aca="false">D77+F77</f>
        <v>28278184.025</v>
      </c>
    </row>
    <row r="78" customFormat="false" ht="15" hidden="false" customHeight="false" outlineLevel="0" collapsed="false">
      <c r="A78" s="4" t="n">
        <v>3</v>
      </c>
      <c r="B78" s="11" t="n">
        <f aca="false">IF(A78&gt;Investor!$B$16,0,IF(A78&lt;=Investor!$B$12,Investor!$B$5,Investor!$B$5*(1-Investor!$B$13)^(A78-Investor!$B$12)))</f>
        <v>3680000000</v>
      </c>
      <c r="C78" s="11" t="n">
        <f aca="false">IF(A78&gt;Investor!$B$16,0,G77)</f>
        <v>169048985</v>
      </c>
      <c r="D78" s="11" t="n">
        <f aca="false">(Investor!$B$11+Investor!$B$10)*C78</f>
        <v>21976368.05</v>
      </c>
      <c r="E78" s="11" t="n">
        <f aca="false">IF(A78&gt;Investor!$B$16,0,MIN(C78,Stress!$C$13*B78*Investor!$B$7))</f>
        <v>44597466.9</v>
      </c>
      <c r="F78" s="11" t="n">
        <f aca="false">IF(A78&gt;Investor!$B$16,0,IF(A78=Investor!$B$16,C78-E78,IF(Investor!$B$17=1,(C78-E78)*(1-B78/B77),0)))</f>
        <v>9956121.448</v>
      </c>
      <c r="G78" s="11" t="n">
        <f aca="false">C78-E78-F78</f>
        <v>114495396.652</v>
      </c>
      <c r="H78" s="11" t="n">
        <f aca="false">D78+F78</f>
        <v>31932489.498</v>
      </c>
    </row>
    <row r="79" customFormat="false" ht="15" hidden="false" customHeight="false" outlineLevel="0" collapsed="false">
      <c r="A79" s="4" t="n">
        <v>4</v>
      </c>
      <c r="B79" s="11" t="n">
        <f aca="false">IF(A79&gt;Investor!$B$16,0,IF(A79&lt;=Investor!$B$12,Investor!$B$5,Investor!$B$5*(1-Investor!$B$13)^(A79-Investor!$B$12)))</f>
        <v>3385600000</v>
      </c>
      <c r="C79" s="11" t="n">
        <f aca="false">IF(A79&gt;Investor!$B$16,0,G78)</f>
        <v>114495396.652</v>
      </c>
      <c r="D79" s="11" t="n">
        <f aca="false">(Investor!$B$11+Investor!$B$10)*C79</f>
        <v>14884401.56476</v>
      </c>
      <c r="E79" s="11" t="n">
        <f aca="false">IF(A79&gt;Investor!$B$16,0,MIN(C79,Stress!$C$13*B79*Investor!$B$7))</f>
        <v>41029669.548</v>
      </c>
      <c r="F79" s="11" t="n">
        <f aca="false">IF(A79&gt;Investor!$B$16,0,IF(A79=Investor!$B$16,C79-E79,IF(Investor!$B$17=1,(C79-E79)*(1-B79/B78),0)))</f>
        <v>5877258.16832</v>
      </c>
      <c r="G79" s="11" t="n">
        <f aca="false">C79-E79-F79</f>
        <v>67588468.93568</v>
      </c>
      <c r="H79" s="11" t="n">
        <f aca="false">D79+F79</f>
        <v>20761659.73308</v>
      </c>
    </row>
    <row r="80" customFormat="false" ht="15" hidden="false" customHeight="false" outlineLevel="0" collapsed="false">
      <c r="A80" s="4" t="n">
        <v>5</v>
      </c>
      <c r="B80" s="11" t="n">
        <f aca="false">IF(A80&gt;Investor!$B$16,0,IF(A80&lt;=Investor!$B$12,Investor!$B$5,Investor!$B$5*(1-Investor!$B$13)^(A80-Investor!$B$12)))</f>
        <v>3114752000</v>
      </c>
      <c r="C80" s="11" t="n">
        <f aca="false">IF(A80&gt;Investor!$B$16,0,G79)</f>
        <v>67588468.93568</v>
      </c>
      <c r="D80" s="11" t="n">
        <f aca="false">(Investor!$B$11+Investor!$B$10)*C80</f>
        <v>8786500.9616384</v>
      </c>
      <c r="E80" s="11" t="n">
        <f aca="false">IF(A80&gt;Investor!$B$16,0,MIN(C80,Stress!$C$13*B80*Investor!$B$7))</f>
        <v>37747295.98416</v>
      </c>
      <c r="F80" s="11" t="n">
        <f aca="false">IF(A80&gt;Investor!$B$16,0,IF(A80=Investor!$B$16,C80-E80,IF(Investor!$B$17=1,(C80-E80)*(1-B80/B79),0)))</f>
        <v>29841172.95152</v>
      </c>
      <c r="G80" s="11" t="n">
        <f aca="false">C80-E80-F80</f>
        <v>0</v>
      </c>
      <c r="H80" s="11" t="n">
        <f aca="false">D80+F80</f>
        <v>38627673.9131584</v>
      </c>
    </row>
    <row r="81" customFormat="false" ht="15" hidden="false" customHeight="false" outlineLevel="0" collapsed="false">
      <c r="A81" s="4" t="n">
        <v>6</v>
      </c>
      <c r="B81" s="11" t="n">
        <f aca="false">IF(A81&gt;Investor!$B$16,0,IF(A81&lt;=Investor!$B$12,Investor!$B$5,Investor!$B$5*(1-Investor!$B$13)^(A81-Investor!$B$12)))</f>
        <v>0</v>
      </c>
      <c r="C81" s="11" t="n">
        <f aca="false">IF(A81&gt;Investor!$B$16,0,G80)</f>
        <v>0</v>
      </c>
      <c r="D81" s="11" t="n">
        <f aca="false">(Investor!$B$11+Investor!$B$10)*C81</f>
        <v>0</v>
      </c>
      <c r="E81" s="11" t="n">
        <f aca="false">IF(A81&gt;Investor!$B$16,0,MIN(C81,Stress!$C$13*B81*Investor!$B$7))</f>
        <v>0</v>
      </c>
      <c r="F81" s="11" t="n">
        <f aca="false">IF(A81&gt;Investor!$B$16,0,IF(A81=Investor!$B$16,C81-E81,IF(Investor!$B$17=1,(C81-E81)*(1-B81/B80),0)))</f>
        <v>0</v>
      </c>
      <c r="G81" s="11" t="n">
        <f aca="false">C81-E81-F81</f>
        <v>0</v>
      </c>
      <c r="H81" s="11" t="n">
        <f aca="false">D81+F81</f>
        <v>0</v>
      </c>
    </row>
    <row r="82" customFormat="false" ht="15" hidden="false" customHeight="false" outlineLevel="0" collapsed="false">
      <c r="A82" s="4" t="n">
        <v>7</v>
      </c>
      <c r="B82" s="11" t="n">
        <f aca="false">IF(A82&gt;Investor!$B$16,0,IF(A82&lt;=Investor!$B$12,Investor!$B$5,Investor!$B$5*(1-Investor!$B$13)^(A82-Investor!$B$12)))</f>
        <v>0</v>
      </c>
      <c r="C82" s="11" t="n">
        <f aca="false">IF(A82&gt;Investor!$B$16,0,G81)</f>
        <v>0</v>
      </c>
      <c r="D82" s="11" t="n">
        <f aca="false">(Investor!$B$11+Investor!$B$10)*C82</f>
        <v>0</v>
      </c>
      <c r="E82" s="11" t="n">
        <f aca="false">IF(A82&gt;Investor!$B$16,0,MIN(C82,Stress!$C$13*B82*Investor!$B$7))</f>
        <v>0</v>
      </c>
      <c r="F82" s="11" t="n">
        <f aca="false">IF(A82&gt;Investor!$B$16,0,IF(A82=Investor!$B$16,C82-E82,IF(Investor!$B$17=1,(C82-E82)*(1-B82/B81),0)))</f>
        <v>0</v>
      </c>
      <c r="G82" s="11" t="n">
        <f aca="false">C82-E82-F82</f>
        <v>0</v>
      </c>
      <c r="H82" s="11" t="n">
        <f aca="false">D82+F82</f>
        <v>0</v>
      </c>
    </row>
    <row r="83" customFormat="false" ht="15" hidden="false" customHeight="false" outlineLevel="0" collapsed="false">
      <c r="A83" s="4" t="n">
        <v>8</v>
      </c>
      <c r="B83" s="11" t="n">
        <f aca="false">IF(A83&gt;Investor!$B$16,0,IF(A83&lt;=Investor!$B$12,Investor!$B$5,Investor!$B$5*(1-Investor!$B$13)^(A83-Investor!$B$12)))</f>
        <v>0</v>
      </c>
      <c r="C83" s="11" t="n">
        <f aca="false">IF(A83&gt;Investor!$B$16,0,G82)</f>
        <v>0</v>
      </c>
      <c r="D83" s="11" t="n">
        <f aca="false">(Investor!$B$11+Investor!$B$10)*C83</f>
        <v>0</v>
      </c>
      <c r="E83" s="11" t="n">
        <f aca="false">IF(A83&gt;Investor!$B$16,0,MIN(C83,Stress!$C$13*B83*Investor!$B$7))</f>
        <v>0</v>
      </c>
      <c r="F83" s="11" t="n">
        <f aca="false">IF(A83&gt;Investor!$B$16,0,IF(A83=Investor!$B$16,C83-E83,IF(Investor!$B$17=1,(C83-E83)*(1-B83/B82),0)))</f>
        <v>0</v>
      </c>
      <c r="G83" s="11" t="n">
        <f aca="false">C83-E83-F83</f>
        <v>0</v>
      </c>
      <c r="H83" s="11" t="n">
        <f aca="false">D83+F83</f>
        <v>0</v>
      </c>
    </row>
    <row r="84" customFormat="false" ht="15" hidden="false" customHeight="false" outlineLevel="0" collapsed="false">
      <c r="A84" s="3" t="s">
        <v>26</v>
      </c>
      <c r="D84" s="12" t="n">
        <f aca="false">SUM(D76:D83)</f>
        <v>108505454.601398</v>
      </c>
      <c r="E84" s="12" t="n">
        <f aca="false">SUM(E76:E83)</f>
        <v>220325447.43216</v>
      </c>
      <c r="F84" s="12" t="n">
        <f aca="false">SUM(F76:F83)</f>
        <v>45674552.56784</v>
      </c>
      <c r="G84" s="3" t="s">
        <v>27</v>
      </c>
      <c r="H84" s="13" t="n">
        <f aca="false">IRR(H75:H83,IF(SUM(H75:H83)&gt;=0,0.1,-0.3))</f>
        <v>-0.157039890436841</v>
      </c>
    </row>
    <row r="87" customFormat="false" ht="15" hidden="false" customHeight="false" outlineLevel="0" collapsed="false">
      <c r="A87" s="3" t="s">
        <v>81</v>
      </c>
    </row>
    <row r="88" customFormat="false" ht="15" hidden="false" customHeight="false" outlineLevel="0" collapsed="false">
      <c r="A88" s="10" t="s">
        <v>18</v>
      </c>
      <c r="B88" s="10" t="s">
        <v>19</v>
      </c>
      <c r="C88" s="10" t="s">
        <v>20</v>
      </c>
      <c r="D88" s="10" t="s">
        <v>21</v>
      </c>
      <c r="E88" s="10" t="s">
        <v>22</v>
      </c>
      <c r="F88" s="10" t="s">
        <v>23</v>
      </c>
      <c r="G88" s="10" t="s">
        <v>24</v>
      </c>
      <c r="H88" s="10" t="s">
        <v>25</v>
      </c>
    </row>
    <row r="89" customFormat="false" ht="15" hidden="false" customHeight="false" outlineLevel="0" collapsed="false">
      <c r="A89" s="4" t="n">
        <v>0</v>
      </c>
      <c r="B89" s="11" t="n">
        <f aca="false">Investor!$B$5</f>
        <v>4000000000</v>
      </c>
      <c r="H89" s="11" t="n">
        <f aca="false">-C90</f>
        <v>-266000000</v>
      </c>
    </row>
    <row r="90" customFormat="false" ht="15" hidden="false" customHeight="false" outlineLevel="0" collapsed="false">
      <c r="A90" s="4" t="n">
        <v>1</v>
      </c>
      <c r="B90" s="11" t="n">
        <f aca="false">IF(A90&gt;Investor!$B$16,0,IF(A90&lt;=Investor!$B$12,Investor!$B$5,Investor!$B$5*(1-Investor!$B$13)^(A90-Investor!$B$12)))</f>
        <v>4000000000</v>
      </c>
      <c r="C90" s="11" t="n">
        <f aca="false">IF(A90&gt;Investor!$B$16,0,Investor!$B$6*Investor!$B$5*Investor!$B$7)</f>
        <v>266000000</v>
      </c>
      <c r="D90" s="11" t="n">
        <f aca="false">(Investor!$B$11+Investor!$B$10)*C90</f>
        <v>34580000</v>
      </c>
      <c r="E90" s="11" t="n">
        <f aca="false">IF(A90&gt;Investor!$B$16,0,MIN(C90,Stress!$C$14*B90*Investor!$B$7))</f>
        <v>69250725</v>
      </c>
      <c r="F90" s="11" t="n">
        <f aca="false">IF(A90&gt;Investor!$B$16,0,IF(A90=Investor!$B$16,C90-E90,IF(Investor!$B$17=1,(C90-E90)*(1-B90/B89),0)))</f>
        <v>0</v>
      </c>
      <c r="G90" s="11" t="n">
        <f aca="false">C90-E90-F90</f>
        <v>196749275</v>
      </c>
      <c r="H90" s="11" t="n">
        <f aca="false">D90+F90</f>
        <v>34580000</v>
      </c>
    </row>
    <row r="91" customFormat="false" ht="15" hidden="false" customHeight="false" outlineLevel="0" collapsed="false">
      <c r="A91" s="4" t="n">
        <v>2</v>
      </c>
      <c r="B91" s="11" t="n">
        <f aca="false">IF(A91&gt;Investor!$B$16,0,IF(A91&lt;=Investor!$B$12,Investor!$B$5,Investor!$B$5*(1-Investor!$B$13)^(A91-Investor!$B$12)))</f>
        <v>4000000000</v>
      </c>
      <c r="C91" s="11" t="n">
        <f aca="false">IF(A91&gt;Investor!$B$16,0,G90)</f>
        <v>196749275</v>
      </c>
      <c r="D91" s="11" t="n">
        <f aca="false">(Investor!$B$11+Investor!$B$10)*C91</f>
        <v>25577405.75</v>
      </c>
      <c r="E91" s="11" t="n">
        <f aca="false">IF(A91&gt;Investor!$B$16,0,MIN(C91,Stress!$C$14*B91*Investor!$B$7))</f>
        <v>69250725</v>
      </c>
      <c r="F91" s="11" t="n">
        <f aca="false">IF(A91&gt;Investor!$B$16,0,IF(A91=Investor!$B$16,C91-E91,IF(Investor!$B$17=1,(C91-E91)*(1-B91/B90),0)))</f>
        <v>0</v>
      </c>
      <c r="G91" s="11" t="n">
        <f aca="false">C91-E91-F91</f>
        <v>127498550</v>
      </c>
      <c r="H91" s="11" t="n">
        <f aca="false">D91+F91</f>
        <v>25577405.75</v>
      </c>
    </row>
    <row r="92" customFormat="false" ht="15" hidden="false" customHeight="false" outlineLevel="0" collapsed="false">
      <c r="A92" s="4" t="n">
        <v>3</v>
      </c>
      <c r="B92" s="11" t="n">
        <f aca="false">IF(A92&gt;Investor!$B$16,0,IF(A92&lt;=Investor!$B$12,Investor!$B$5,Investor!$B$5*(1-Investor!$B$13)^(A92-Investor!$B$12)))</f>
        <v>3680000000</v>
      </c>
      <c r="C92" s="11" t="n">
        <f aca="false">IF(A92&gt;Investor!$B$16,0,G91)</f>
        <v>127498550</v>
      </c>
      <c r="D92" s="11" t="n">
        <f aca="false">(Investor!$B$11+Investor!$B$10)*C92</f>
        <v>16574811.5</v>
      </c>
      <c r="E92" s="11" t="n">
        <f aca="false">IF(A92&gt;Investor!$B$16,0,MIN(C92,Stress!$C$14*B92*Investor!$B$7))</f>
        <v>63710667</v>
      </c>
      <c r="F92" s="11" t="n">
        <f aca="false">IF(A92&gt;Investor!$B$16,0,IF(A92=Investor!$B$16,C92-E92,IF(Investor!$B$17=1,(C92-E92)*(1-B92/B91),0)))</f>
        <v>5103030.64</v>
      </c>
      <c r="G92" s="11" t="n">
        <f aca="false">C92-E92-F92</f>
        <v>58684852.36</v>
      </c>
      <c r="H92" s="11" t="n">
        <f aca="false">D92+F92</f>
        <v>21677842.14</v>
      </c>
    </row>
    <row r="93" customFormat="false" ht="15" hidden="false" customHeight="false" outlineLevel="0" collapsed="false">
      <c r="A93" s="4" t="n">
        <v>4</v>
      </c>
      <c r="B93" s="11" t="n">
        <f aca="false">IF(A93&gt;Investor!$B$16,0,IF(A93&lt;=Investor!$B$12,Investor!$B$5,Investor!$B$5*(1-Investor!$B$13)^(A93-Investor!$B$12)))</f>
        <v>3385600000</v>
      </c>
      <c r="C93" s="11" t="n">
        <f aca="false">IF(A93&gt;Investor!$B$16,0,G92)</f>
        <v>58684852.36</v>
      </c>
      <c r="D93" s="11" t="n">
        <f aca="false">(Investor!$B$11+Investor!$B$10)*C93</f>
        <v>7629030.8068</v>
      </c>
      <c r="E93" s="11" t="n">
        <f aca="false">IF(A93&gt;Investor!$B$16,0,MIN(C93,Stress!$C$14*B93*Investor!$B$7))</f>
        <v>58613813.64</v>
      </c>
      <c r="F93" s="11" t="n">
        <f aca="false">IF(A93&gt;Investor!$B$16,0,IF(A93=Investor!$B$16,C93-E93,IF(Investor!$B$17=1,(C93-E93)*(1-B93/B92),0)))</f>
        <v>5683.0975999999</v>
      </c>
      <c r="G93" s="11" t="n">
        <f aca="false">C93-E93-F93</f>
        <v>65355.6223999989</v>
      </c>
      <c r="H93" s="11" t="n">
        <f aca="false">D93+F93</f>
        <v>7634713.9044</v>
      </c>
    </row>
    <row r="94" customFormat="false" ht="15" hidden="false" customHeight="false" outlineLevel="0" collapsed="false">
      <c r="A94" s="4" t="n">
        <v>5</v>
      </c>
      <c r="B94" s="11" t="n">
        <f aca="false">IF(A94&gt;Investor!$B$16,0,IF(A94&lt;=Investor!$B$12,Investor!$B$5,Investor!$B$5*(1-Investor!$B$13)^(A94-Investor!$B$12)))</f>
        <v>3114752000</v>
      </c>
      <c r="C94" s="11" t="n">
        <f aca="false">IF(A94&gt;Investor!$B$16,0,G93)</f>
        <v>65355.6223999989</v>
      </c>
      <c r="D94" s="11" t="n">
        <f aca="false">(Investor!$B$11+Investor!$B$10)*C94</f>
        <v>8496.23091199986</v>
      </c>
      <c r="E94" s="11" t="n">
        <f aca="false">IF(A94&gt;Investor!$B$16,0,MIN(C94,Stress!$C$14*B94*Investor!$B$7))</f>
        <v>65355.6223999989</v>
      </c>
      <c r="F94" s="11" t="n">
        <f aca="false">IF(A94&gt;Investor!$B$16,0,IF(A94=Investor!$B$16,C94-E94,IF(Investor!$B$17=1,(C94-E94)*(1-B94/B93),0)))</f>
        <v>0</v>
      </c>
      <c r="G94" s="11" t="n">
        <f aca="false">C94-E94-F94</f>
        <v>0</v>
      </c>
      <c r="H94" s="11" t="n">
        <f aca="false">D94+F94</f>
        <v>8496.23091199986</v>
      </c>
    </row>
    <row r="95" customFormat="false" ht="15" hidden="false" customHeight="false" outlineLevel="0" collapsed="false">
      <c r="A95" s="4" t="n">
        <v>6</v>
      </c>
      <c r="B95" s="11" t="n">
        <f aca="false">IF(A95&gt;Investor!$B$16,0,IF(A95&lt;=Investor!$B$12,Investor!$B$5,Investor!$B$5*(1-Investor!$B$13)^(A95-Investor!$B$12)))</f>
        <v>0</v>
      </c>
      <c r="C95" s="11" t="n">
        <f aca="false">IF(A95&gt;Investor!$B$16,0,G94)</f>
        <v>0</v>
      </c>
      <c r="D95" s="11" t="n">
        <f aca="false">(Investor!$B$11+Investor!$B$10)*C95</f>
        <v>0</v>
      </c>
      <c r="E95" s="11" t="n">
        <f aca="false">IF(A95&gt;Investor!$B$16,0,MIN(C95,Stress!$C$14*B95*Investor!$B$7))</f>
        <v>0</v>
      </c>
      <c r="F95" s="11" t="n">
        <f aca="false">IF(A95&gt;Investor!$B$16,0,IF(A95=Investor!$B$16,C95-E95,IF(Investor!$B$17=1,(C95-E95)*(1-B95/B94),0)))</f>
        <v>0</v>
      </c>
      <c r="G95" s="11" t="n">
        <f aca="false">C95-E95-F95</f>
        <v>0</v>
      </c>
      <c r="H95" s="11" t="n">
        <f aca="false">D95+F95</f>
        <v>0</v>
      </c>
    </row>
    <row r="96" customFormat="false" ht="15" hidden="false" customHeight="false" outlineLevel="0" collapsed="false">
      <c r="A96" s="4" t="n">
        <v>7</v>
      </c>
      <c r="B96" s="11" t="n">
        <f aca="false">IF(A96&gt;Investor!$B$16,0,IF(A96&lt;=Investor!$B$12,Investor!$B$5,Investor!$B$5*(1-Investor!$B$13)^(A96-Investor!$B$12)))</f>
        <v>0</v>
      </c>
      <c r="C96" s="11" t="n">
        <f aca="false">IF(A96&gt;Investor!$B$16,0,G95)</f>
        <v>0</v>
      </c>
      <c r="D96" s="11" t="n">
        <f aca="false">(Investor!$B$11+Investor!$B$10)*C96</f>
        <v>0</v>
      </c>
      <c r="E96" s="11" t="n">
        <f aca="false">IF(A96&gt;Investor!$B$16,0,MIN(C96,Stress!$C$14*B96*Investor!$B$7))</f>
        <v>0</v>
      </c>
      <c r="F96" s="11" t="n">
        <f aca="false">IF(A96&gt;Investor!$B$16,0,IF(A96=Investor!$B$16,C96-E96,IF(Investor!$B$17=1,(C96-E96)*(1-B96/B95),0)))</f>
        <v>0</v>
      </c>
      <c r="G96" s="11" t="n">
        <f aca="false">C96-E96-F96</f>
        <v>0</v>
      </c>
      <c r="H96" s="11" t="n">
        <f aca="false">D96+F96</f>
        <v>0</v>
      </c>
    </row>
    <row r="97" customFormat="false" ht="15" hidden="false" customHeight="false" outlineLevel="0" collapsed="false">
      <c r="A97" s="4" t="n">
        <v>8</v>
      </c>
      <c r="B97" s="11" t="n">
        <f aca="false">IF(A97&gt;Investor!$B$16,0,IF(A97&lt;=Investor!$B$12,Investor!$B$5,Investor!$B$5*(1-Investor!$B$13)^(A97-Investor!$B$12)))</f>
        <v>0</v>
      </c>
      <c r="C97" s="11" t="n">
        <f aca="false">IF(A97&gt;Investor!$B$16,0,G96)</f>
        <v>0</v>
      </c>
      <c r="D97" s="11" t="n">
        <f aca="false">(Investor!$B$11+Investor!$B$10)*C97</f>
        <v>0</v>
      </c>
      <c r="E97" s="11" t="n">
        <f aca="false">IF(A97&gt;Investor!$B$16,0,MIN(C97,Stress!$C$14*B97*Investor!$B$7))</f>
        <v>0</v>
      </c>
      <c r="F97" s="11" t="n">
        <f aca="false">IF(A97&gt;Investor!$B$16,0,IF(A97=Investor!$B$16,C97-E97,IF(Investor!$B$17=1,(C97-E97)*(1-B97/B96),0)))</f>
        <v>0</v>
      </c>
      <c r="G97" s="11" t="n">
        <f aca="false">C97-E97-F97</f>
        <v>0</v>
      </c>
      <c r="H97" s="11" t="n">
        <f aca="false">D97+F97</f>
        <v>0</v>
      </c>
    </row>
    <row r="98" customFormat="false" ht="15" hidden="false" customHeight="false" outlineLevel="0" collapsed="false">
      <c r="A98" s="3" t="s">
        <v>26</v>
      </c>
      <c r="D98" s="12" t="n">
        <f aca="false">SUM(D90:D97)</f>
        <v>84369744.287712</v>
      </c>
      <c r="E98" s="12" t="n">
        <f aca="false">SUM(E90:E97)</f>
        <v>260891286.2624</v>
      </c>
      <c r="F98" s="12" t="n">
        <f aca="false">SUM(F90:F97)</f>
        <v>5108713.7376</v>
      </c>
      <c r="G98" s="3" t="s">
        <v>27</v>
      </c>
      <c r="H98" s="13" t="n">
        <f aca="false">IRR(H89:H97,IF(SUM(H89:H97)&gt;=0,0.1,-0.3))</f>
        <v>-0.380894744481913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8" min="2" style="0" width="16"/>
  </cols>
  <sheetData>
    <row r="1" customFormat="false" ht="15" hidden="false" customHeight="false" outlineLevel="0" collapsed="false">
      <c r="A1" s="1" t="s">
        <v>82</v>
      </c>
    </row>
    <row r="2" customFormat="false" ht="15" hidden="false" customHeight="false" outlineLevel="0" collapsed="false">
      <c r="A2" s="2" t="s">
        <v>83</v>
      </c>
    </row>
    <row r="4" customFormat="false" ht="15" hidden="false" customHeight="false" outlineLevel="0" collapsed="false">
      <c r="A4" s="10" t="s">
        <v>84</v>
      </c>
      <c r="B4" s="10" t="s">
        <v>85</v>
      </c>
      <c r="C4" s="10" t="s">
        <v>86</v>
      </c>
    </row>
    <row r="5" customFormat="false" ht="15" hidden="false" customHeight="false" outlineLevel="0" collapsed="false">
      <c r="A5" s="4" t="n">
        <v>3</v>
      </c>
      <c r="B5" s="14" t="n">
        <f aca="false">H23</f>
        <v>0.1039593976427</v>
      </c>
      <c r="C5" s="14" t="n">
        <f aca="false">H37</f>
        <v>0.1039593976427</v>
      </c>
    </row>
    <row r="6" customFormat="false" ht="15" hidden="false" customHeight="false" outlineLevel="0" collapsed="false">
      <c r="A6" s="4" t="n">
        <v>5</v>
      </c>
      <c r="B6" s="14" t="n">
        <f aca="false">H51</f>
        <v>0.103902104467538</v>
      </c>
      <c r="C6" s="14" t="n">
        <f aca="false">H65</f>
        <v>0.104886009157235</v>
      </c>
    </row>
    <row r="7" customFormat="false" ht="15" hidden="false" customHeight="false" outlineLevel="0" collapsed="false">
      <c r="A7" s="4" t="n">
        <v>7</v>
      </c>
      <c r="B7" s="14" t="n">
        <f aca="false">H79</f>
        <v>0.103639835803686</v>
      </c>
      <c r="C7" s="14" t="n">
        <f aca="false">H93</f>
        <v>0.105810691321742</v>
      </c>
    </row>
    <row r="8" customFormat="false" ht="15" hidden="false" customHeight="false" outlineLevel="0" collapsed="false">
      <c r="A8" s="4" t="n">
        <v>8</v>
      </c>
      <c r="B8" s="14" t="n">
        <f aca="false">H107</f>
        <v>0.103494694645518</v>
      </c>
      <c r="C8" s="14" t="n">
        <f aca="false">H121</f>
        <v>0.106239347859971</v>
      </c>
    </row>
    <row r="10" customFormat="false" ht="15" hidden="false" customHeight="false" outlineLevel="0" collapsed="false">
      <c r="A10" s="4" t="s">
        <v>87</v>
      </c>
      <c r="B10" s="14" t="n">
        <f aca="false">B7-B6</f>
        <v>-0.000262268663852205</v>
      </c>
      <c r="C10" s="14" t="n">
        <f aca="false">C7-C6</f>
        <v>0.000924682164507473</v>
      </c>
    </row>
    <row r="12" customFormat="false" ht="15" hidden="false" customHeight="false" outlineLevel="0" collapsed="false">
      <c r="A12" s="3" t="s">
        <v>88</v>
      </c>
    </row>
    <row r="13" customFormat="false" ht="15" hidden="false" customHeight="false" outlineLevel="0" collapsed="false">
      <c r="A13" s="10" t="s">
        <v>18</v>
      </c>
      <c r="B13" s="10" t="s">
        <v>19</v>
      </c>
      <c r="C13" s="10" t="s">
        <v>20</v>
      </c>
      <c r="D13" s="10" t="s">
        <v>21</v>
      </c>
      <c r="E13" s="10" t="s">
        <v>22</v>
      </c>
      <c r="F13" s="10" t="s">
        <v>23</v>
      </c>
      <c r="G13" s="10" t="s">
        <v>24</v>
      </c>
      <c r="H13" s="10" t="s">
        <v>25</v>
      </c>
    </row>
    <row r="14" customFormat="false" ht="15" hidden="false" customHeight="false" outlineLevel="0" collapsed="false">
      <c r="A14" s="4" t="n">
        <v>0</v>
      </c>
      <c r="B14" s="11" t="n">
        <f aca="false">Investor!$B$5</f>
        <v>4000000000</v>
      </c>
      <c r="H14" s="11" t="n">
        <f aca="false">-C15</f>
        <v>-266000000</v>
      </c>
    </row>
    <row r="15" customFormat="false" ht="15" hidden="false" customHeight="false" outlineLevel="0" collapsed="false">
      <c r="A15" s="4" t="n">
        <v>1</v>
      </c>
      <c r="B15" s="11" t="n">
        <f aca="false">IF(A15&gt;$A$5,0,IF(A15&lt;=Investor!$B$12,Investor!$B$5,Investor!$B$5*(1-Investor!$B$13)^(A15-Investor!$B$12)))</f>
        <v>4000000000</v>
      </c>
      <c r="C15" s="11" t="n">
        <f aca="false">IF(A15&gt;$A$5,0,Investor!$B$6*Investor!$B$5*Investor!$B$7)</f>
        <v>266000000</v>
      </c>
      <c r="D15" s="11" t="n">
        <f aca="false">(Investor!$B$11+Investor!$B$10)*C15</f>
        <v>34580000</v>
      </c>
      <c r="E15" s="11" t="n">
        <f aca="false">IF(A15&gt;$A$5,0,MIN(C15,Investor!$B$8*Investor!$B$9*B15*Investor!$B$7))</f>
        <v>6925072.5</v>
      </c>
      <c r="F15" s="11" t="n">
        <f aca="false">IF(A15&gt;$A$5,0,IF(A15=$A$5,C15-E15,IF(1=1,(C15-E15)*(1-B15/B14),0)))</f>
        <v>0</v>
      </c>
      <c r="G15" s="11" t="n">
        <f aca="false">C15-E15-F15</f>
        <v>259074927.5</v>
      </c>
      <c r="H15" s="11" t="n">
        <f aca="false">D15+F15</f>
        <v>34580000</v>
      </c>
    </row>
    <row r="16" customFormat="false" ht="15" hidden="false" customHeight="false" outlineLevel="0" collapsed="false">
      <c r="A16" s="4" t="n">
        <v>2</v>
      </c>
      <c r="B16" s="11" t="n">
        <f aca="false">IF(A16&gt;$A$5,0,IF(A16&lt;=Investor!$B$12,Investor!$B$5,Investor!$B$5*(1-Investor!$B$13)^(A16-Investor!$B$12)))</f>
        <v>4000000000</v>
      </c>
      <c r="C16" s="11" t="n">
        <f aca="false">IF(A16&gt;$A$5,0,G15)</f>
        <v>259074927.5</v>
      </c>
      <c r="D16" s="11" t="n">
        <f aca="false">(Investor!$B$11+Investor!$B$10)*C16</f>
        <v>33679740.575</v>
      </c>
      <c r="E16" s="11" t="n">
        <f aca="false">IF(A16&gt;$A$5,0,MIN(C16,Investor!$B$8*Investor!$B$9*B16*Investor!$B$7))</f>
        <v>6925072.5</v>
      </c>
      <c r="F16" s="11" t="n">
        <f aca="false">IF(A16&gt;$A$5,0,IF(A16=$A$5,C16-E16,IF(1=1,(C16-E16)*(1-B16/B15),0)))</f>
        <v>0</v>
      </c>
      <c r="G16" s="11" t="n">
        <f aca="false">C16-E16-F16</f>
        <v>252149855</v>
      </c>
      <c r="H16" s="11" t="n">
        <f aca="false">D16+F16</f>
        <v>33679740.575</v>
      </c>
    </row>
    <row r="17" customFormat="false" ht="15" hidden="false" customHeight="false" outlineLevel="0" collapsed="false">
      <c r="A17" s="4" t="n">
        <v>3</v>
      </c>
      <c r="B17" s="11" t="n">
        <f aca="false">IF(A17&gt;$A$5,0,IF(A17&lt;=Investor!$B$12,Investor!$B$5,Investor!$B$5*(1-Investor!$B$13)^(A17-Investor!$B$12)))</f>
        <v>3680000000</v>
      </c>
      <c r="C17" s="11" t="n">
        <f aca="false">IF(A17&gt;$A$5,0,G16)</f>
        <v>252149855</v>
      </c>
      <c r="D17" s="11" t="n">
        <f aca="false">(Investor!$B$11+Investor!$B$10)*C17</f>
        <v>32779481.15</v>
      </c>
      <c r="E17" s="11" t="n">
        <f aca="false">IF(A17&gt;$A$5,0,MIN(C17,Investor!$B$8*Investor!$B$9*B17*Investor!$B$7))</f>
        <v>6371066.7</v>
      </c>
      <c r="F17" s="11" t="n">
        <f aca="false">IF(A17&gt;$A$5,0,IF(A17=$A$5,C17-E17,IF(1=1,(C17-E17)*(1-B17/B16),0)))</f>
        <v>245778788.3</v>
      </c>
      <c r="G17" s="11" t="n">
        <f aca="false">C17-E17-F17</f>
        <v>0</v>
      </c>
      <c r="H17" s="11" t="n">
        <f aca="false">D17+F17</f>
        <v>278558269.45</v>
      </c>
    </row>
    <row r="18" customFormat="false" ht="15" hidden="false" customHeight="false" outlineLevel="0" collapsed="false">
      <c r="A18" s="4" t="n">
        <v>4</v>
      </c>
      <c r="B18" s="11" t="n">
        <f aca="false">IF(A18&gt;$A$5,0,IF(A18&lt;=Investor!$B$12,Investor!$B$5,Investor!$B$5*(1-Investor!$B$13)^(A18-Investor!$B$12)))</f>
        <v>0</v>
      </c>
      <c r="C18" s="11" t="n">
        <f aca="false">IF(A18&gt;$A$5,0,G17)</f>
        <v>0</v>
      </c>
      <c r="D18" s="11" t="n">
        <f aca="false">(Investor!$B$11+Investor!$B$10)*C18</f>
        <v>0</v>
      </c>
      <c r="E18" s="11" t="n">
        <f aca="false">IF(A18&gt;$A$5,0,MIN(C18,Investor!$B$8*Investor!$B$9*B18*Investor!$B$7))</f>
        <v>0</v>
      </c>
      <c r="F18" s="11" t="n">
        <f aca="false">IF(A18&gt;$A$5,0,IF(A18=$A$5,C18-E18,IF(1=1,(C18-E18)*(1-B18/B17),0)))</f>
        <v>0</v>
      </c>
      <c r="G18" s="11" t="n">
        <f aca="false">C18-E18-F18</f>
        <v>0</v>
      </c>
      <c r="H18" s="11" t="n">
        <f aca="false">D18+F18</f>
        <v>0</v>
      </c>
    </row>
    <row r="19" customFormat="false" ht="15" hidden="false" customHeight="false" outlineLevel="0" collapsed="false">
      <c r="A19" s="4" t="n">
        <v>5</v>
      </c>
      <c r="B19" s="11" t="n">
        <f aca="false">IF(A19&gt;$A$5,0,IF(A19&lt;=Investor!$B$12,Investor!$B$5,Investor!$B$5*(1-Investor!$B$13)^(A19-Investor!$B$12)))</f>
        <v>0</v>
      </c>
      <c r="C19" s="11" t="n">
        <f aca="false">IF(A19&gt;$A$5,0,G18)</f>
        <v>0</v>
      </c>
      <c r="D19" s="11" t="n">
        <f aca="false">(Investor!$B$11+Investor!$B$10)*C19</f>
        <v>0</v>
      </c>
      <c r="E19" s="11" t="n">
        <f aca="false">IF(A19&gt;$A$5,0,MIN(C19,Investor!$B$8*Investor!$B$9*B19*Investor!$B$7))</f>
        <v>0</v>
      </c>
      <c r="F19" s="11" t="n">
        <f aca="false">IF(A19&gt;$A$5,0,IF(A19=$A$5,C19-E19,IF(1=1,(C19-E19)*(1-B19/B18),0)))</f>
        <v>0</v>
      </c>
      <c r="G19" s="11" t="n">
        <f aca="false">C19-E19-F19</f>
        <v>0</v>
      </c>
      <c r="H19" s="11" t="n">
        <f aca="false">D19+F19</f>
        <v>0</v>
      </c>
    </row>
    <row r="20" customFormat="false" ht="15" hidden="false" customHeight="false" outlineLevel="0" collapsed="false">
      <c r="A20" s="4" t="n">
        <v>6</v>
      </c>
      <c r="B20" s="11" t="n">
        <f aca="false">IF(A20&gt;$A$5,0,IF(A20&lt;=Investor!$B$12,Investor!$B$5,Investor!$B$5*(1-Investor!$B$13)^(A20-Investor!$B$12)))</f>
        <v>0</v>
      </c>
      <c r="C20" s="11" t="n">
        <f aca="false">IF(A20&gt;$A$5,0,G19)</f>
        <v>0</v>
      </c>
      <c r="D20" s="11" t="n">
        <f aca="false">(Investor!$B$11+Investor!$B$10)*C20</f>
        <v>0</v>
      </c>
      <c r="E20" s="11" t="n">
        <f aca="false">IF(A20&gt;$A$5,0,MIN(C20,Investor!$B$8*Investor!$B$9*B20*Investor!$B$7))</f>
        <v>0</v>
      </c>
      <c r="F20" s="11" t="n">
        <f aca="false">IF(A20&gt;$A$5,0,IF(A20=$A$5,C20-E20,IF(1=1,(C20-E20)*(1-B20/B19),0)))</f>
        <v>0</v>
      </c>
      <c r="G20" s="11" t="n">
        <f aca="false">C20-E20-F20</f>
        <v>0</v>
      </c>
      <c r="H20" s="11" t="n">
        <f aca="false">D20+F20</f>
        <v>0</v>
      </c>
    </row>
    <row r="21" customFormat="false" ht="15" hidden="false" customHeight="false" outlineLevel="0" collapsed="false">
      <c r="A21" s="4" t="n">
        <v>7</v>
      </c>
      <c r="B21" s="11" t="n">
        <f aca="false">IF(A21&gt;$A$5,0,IF(A21&lt;=Investor!$B$12,Investor!$B$5,Investor!$B$5*(1-Investor!$B$13)^(A21-Investor!$B$12)))</f>
        <v>0</v>
      </c>
      <c r="C21" s="11" t="n">
        <f aca="false">IF(A21&gt;$A$5,0,G20)</f>
        <v>0</v>
      </c>
      <c r="D21" s="11" t="n">
        <f aca="false">(Investor!$B$11+Investor!$B$10)*C21</f>
        <v>0</v>
      </c>
      <c r="E21" s="11" t="n">
        <f aca="false">IF(A21&gt;$A$5,0,MIN(C21,Investor!$B$8*Investor!$B$9*B21*Investor!$B$7))</f>
        <v>0</v>
      </c>
      <c r="F21" s="11" t="n">
        <f aca="false">IF(A21&gt;$A$5,0,IF(A21=$A$5,C21-E21,IF(1=1,(C21-E21)*(1-B21/B20),0)))</f>
        <v>0</v>
      </c>
      <c r="G21" s="11" t="n">
        <f aca="false">C21-E21-F21</f>
        <v>0</v>
      </c>
      <c r="H21" s="11" t="n">
        <f aca="false">D21+F21</f>
        <v>0</v>
      </c>
    </row>
    <row r="22" customFormat="false" ht="15" hidden="false" customHeight="false" outlineLevel="0" collapsed="false">
      <c r="A22" s="4" t="n">
        <v>8</v>
      </c>
      <c r="B22" s="11" t="n">
        <f aca="false">IF(A22&gt;$A$5,0,IF(A22&lt;=Investor!$B$12,Investor!$B$5,Investor!$B$5*(1-Investor!$B$13)^(A22-Investor!$B$12)))</f>
        <v>0</v>
      </c>
      <c r="C22" s="11" t="n">
        <f aca="false">IF(A22&gt;$A$5,0,G21)</f>
        <v>0</v>
      </c>
      <c r="D22" s="11" t="n">
        <f aca="false">(Investor!$B$11+Investor!$B$10)*C22</f>
        <v>0</v>
      </c>
      <c r="E22" s="11" t="n">
        <f aca="false">IF(A22&gt;$A$5,0,MIN(C22,Investor!$B$8*Investor!$B$9*B22*Investor!$B$7))</f>
        <v>0</v>
      </c>
      <c r="F22" s="11" t="n">
        <f aca="false">IF(A22&gt;$A$5,0,IF(A22=$A$5,C22-E22,IF(1=1,(C22-E22)*(1-B22/B21),0)))</f>
        <v>0</v>
      </c>
      <c r="G22" s="11" t="n">
        <f aca="false">C22-E22-F22</f>
        <v>0</v>
      </c>
      <c r="H22" s="11" t="n">
        <f aca="false">D22+F22</f>
        <v>0</v>
      </c>
    </row>
    <row r="23" customFormat="false" ht="15" hidden="false" customHeight="false" outlineLevel="0" collapsed="false">
      <c r="A23" s="3" t="s">
        <v>26</v>
      </c>
      <c r="D23" s="12" t="n">
        <f aca="false">SUM(D15:D22)</f>
        <v>101039221.725</v>
      </c>
      <c r="E23" s="12" t="n">
        <f aca="false">SUM(E15:E22)</f>
        <v>20221211.7</v>
      </c>
      <c r="F23" s="12" t="n">
        <f aca="false">SUM(F15:F22)</f>
        <v>245778788.3</v>
      </c>
      <c r="G23" s="3" t="s">
        <v>27</v>
      </c>
      <c r="H23" s="13" t="n">
        <f aca="false">IRR(H14:H22,IF(SUM(H14:H22)&gt;=0,0.1,-0.3))</f>
        <v>0.1039593976427</v>
      </c>
    </row>
    <row r="26" customFormat="false" ht="15" hidden="false" customHeight="false" outlineLevel="0" collapsed="false">
      <c r="A26" s="3" t="s">
        <v>89</v>
      </c>
    </row>
    <row r="27" customFormat="false" ht="15" hidden="false" customHeight="false" outlineLevel="0" collapsed="false">
      <c r="A27" s="10" t="s">
        <v>18</v>
      </c>
      <c r="B27" s="10" t="s">
        <v>19</v>
      </c>
      <c r="C27" s="10" t="s">
        <v>20</v>
      </c>
      <c r="D27" s="10" t="s">
        <v>21</v>
      </c>
      <c r="E27" s="10" t="s">
        <v>22</v>
      </c>
      <c r="F27" s="10" t="s">
        <v>23</v>
      </c>
      <c r="G27" s="10" t="s">
        <v>24</v>
      </c>
      <c r="H27" s="10" t="s">
        <v>25</v>
      </c>
    </row>
    <row r="28" customFormat="false" ht="15" hidden="false" customHeight="false" outlineLevel="0" collapsed="false">
      <c r="A28" s="4" t="n">
        <v>0</v>
      </c>
      <c r="B28" s="11" t="n">
        <f aca="false">Investor!$B$5</f>
        <v>4000000000</v>
      </c>
      <c r="H28" s="11" t="n">
        <f aca="false">-C29</f>
        <v>-266000000</v>
      </c>
    </row>
    <row r="29" customFormat="false" ht="15" hidden="false" customHeight="false" outlineLevel="0" collapsed="false">
      <c r="A29" s="4" t="n">
        <v>1</v>
      </c>
      <c r="B29" s="11" t="n">
        <f aca="false">IF(A29&gt;$A$5,0,IF(A29&lt;=Investor!$B$12,Investor!$B$5,Investor!$B$5*(1-Investor!$B$13)^(A29-Investor!$B$12)))</f>
        <v>4000000000</v>
      </c>
      <c r="C29" s="11" t="n">
        <f aca="false">IF(A29&gt;$A$5,0,Investor!$B$6*Investor!$B$5*Investor!$B$7)</f>
        <v>266000000</v>
      </c>
      <c r="D29" s="11" t="n">
        <f aca="false">(Investor!$B$11+Investor!$B$10)*C29</f>
        <v>34580000</v>
      </c>
      <c r="E29" s="11" t="n">
        <f aca="false">IF(A29&gt;$A$5,0,MIN(C29,Investor!$B$8*Investor!$B$9*B29*Investor!$B$7))</f>
        <v>6925072.5</v>
      </c>
      <c r="F29" s="11" t="n">
        <f aca="false">IF(A29&gt;$A$5,0,IF(A29=$A$5,C29-E29,IF(0=1,(C29-E29)*(1-B29/B28),0)))</f>
        <v>0</v>
      </c>
      <c r="G29" s="11" t="n">
        <f aca="false">C29-E29-F29</f>
        <v>259074927.5</v>
      </c>
      <c r="H29" s="11" t="n">
        <f aca="false">D29+F29</f>
        <v>34580000</v>
      </c>
    </row>
    <row r="30" customFormat="false" ht="15" hidden="false" customHeight="false" outlineLevel="0" collapsed="false">
      <c r="A30" s="4" t="n">
        <v>2</v>
      </c>
      <c r="B30" s="11" t="n">
        <f aca="false">IF(A30&gt;$A$5,0,IF(A30&lt;=Investor!$B$12,Investor!$B$5,Investor!$B$5*(1-Investor!$B$13)^(A30-Investor!$B$12)))</f>
        <v>4000000000</v>
      </c>
      <c r="C30" s="11" t="n">
        <f aca="false">IF(A30&gt;$A$5,0,G29)</f>
        <v>259074927.5</v>
      </c>
      <c r="D30" s="11" t="n">
        <f aca="false">(Investor!$B$11+Investor!$B$10)*C30</f>
        <v>33679740.575</v>
      </c>
      <c r="E30" s="11" t="n">
        <f aca="false">IF(A30&gt;$A$5,0,MIN(C30,Investor!$B$8*Investor!$B$9*B30*Investor!$B$7))</f>
        <v>6925072.5</v>
      </c>
      <c r="F30" s="11" t="n">
        <f aca="false">IF(A30&gt;$A$5,0,IF(A30=$A$5,C30-E30,IF(0=1,(C30-E30)*(1-B30/B29),0)))</f>
        <v>0</v>
      </c>
      <c r="G30" s="11" t="n">
        <f aca="false">C30-E30-F30</f>
        <v>252149855</v>
      </c>
      <c r="H30" s="11" t="n">
        <f aca="false">D30+F30</f>
        <v>33679740.575</v>
      </c>
    </row>
    <row r="31" customFormat="false" ht="15" hidden="false" customHeight="false" outlineLevel="0" collapsed="false">
      <c r="A31" s="4" t="n">
        <v>3</v>
      </c>
      <c r="B31" s="11" t="n">
        <f aca="false">IF(A31&gt;$A$5,0,IF(A31&lt;=Investor!$B$12,Investor!$B$5,Investor!$B$5*(1-Investor!$B$13)^(A31-Investor!$B$12)))</f>
        <v>3680000000</v>
      </c>
      <c r="C31" s="11" t="n">
        <f aca="false">IF(A31&gt;$A$5,0,G30)</f>
        <v>252149855</v>
      </c>
      <c r="D31" s="11" t="n">
        <f aca="false">(Investor!$B$11+Investor!$B$10)*C31</f>
        <v>32779481.15</v>
      </c>
      <c r="E31" s="11" t="n">
        <f aca="false">IF(A31&gt;$A$5,0,MIN(C31,Investor!$B$8*Investor!$B$9*B31*Investor!$B$7))</f>
        <v>6371066.7</v>
      </c>
      <c r="F31" s="11" t="n">
        <f aca="false">IF(A31&gt;$A$5,0,IF(A31=$A$5,C31-E31,IF(0=1,(C31-E31)*(1-B31/B30),0)))</f>
        <v>245778788.3</v>
      </c>
      <c r="G31" s="11" t="n">
        <f aca="false">C31-E31-F31</f>
        <v>0</v>
      </c>
      <c r="H31" s="11" t="n">
        <f aca="false">D31+F31</f>
        <v>278558269.45</v>
      </c>
    </row>
    <row r="32" customFormat="false" ht="15" hidden="false" customHeight="false" outlineLevel="0" collapsed="false">
      <c r="A32" s="4" t="n">
        <v>4</v>
      </c>
      <c r="B32" s="11" t="n">
        <f aca="false">IF(A32&gt;$A$5,0,IF(A32&lt;=Investor!$B$12,Investor!$B$5,Investor!$B$5*(1-Investor!$B$13)^(A32-Investor!$B$12)))</f>
        <v>0</v>
      </c>
      <c r="C32" s="11" t="n">
        <f aca="false">IF(A32&gt;$A$5,0,G31)</f>
        <v>0</v>
      </c>
      <c r="D32" s="11" t="n">
        <f aca="false">(Investor!$B$11+Investor!$B$10)*C32</f>
        <v>0</v>
      </c>
      <c r="E32" s="11" t="n">
        <f aca="false">IF(A32&gt;$A$5,0,MIN(C32,Investor!$B$8*Investor!$B$9*B32*Investor!$B$7))</f>
        <v>0</v>
      </c>
      <c r="F32" s="11" t="n">
        <f aca="false">IF(A32&gt;$A$5,0,IF(A32=$A$5,C32-E32,IF(0=1,(C32-E32)*(1-B32/B31),0)))</f>
        <v>0</v>
      </c>
      <c r="G32" s="11" t="n">
        <f aca="false">C32-E32-F32</f>
        <v>0</v>
      </c>
      <c r="H32" s="11" t="n">
        <f aca="false">D32+F32</f>
        <v>0</v>
      </c>
    </row>
    <row r="33" customFormat="false" ht="15" hidden="false" customHeight="false" outlineLevel="0" collapsed="false">
      <c r="A33" s="4" t="n">
        <v>5</v>
      </c>
      <c r="B33" s="11" t="n">
        <f aca="false">IF(A33&gt;$A$5,0,IF(A33&lt;=Investor!$B$12,Investor!$B$5,Investor!$B$5*(1-Investor!$B$13)^(A33-Investor!$B$12)))</f>
        <v>0</v>
      </c>
      <c r="C33" s="11" t="n">
        <f aca="false">IF(A33&gt;$A$5,0,G32)</f>
        <v>0</v>
      </c>
      <c r="D33" s="11" t="n">
        <f aca="false">(Investor!$B$11+Investor!$B$10)*C33</f>
        <v>0</v>
      </c>
      <c r="E33" s="11" t="n">
        <f aca="false">IF(A33&gt;$A$5,0,MIN(C33,Investor!$B$8*Investor!$B$9*B33*Investor!$B$7))</f>
        <v>0</v>
      </c>
      <c r="F33" s="11" t="n">
        <f aca="false">IF(A33&gt;$A$5,0,IF(A33=$A$5,C33-E33,IF(0=1,(C33-E33)*(1-B33/B32),0)))</f>
        <v>0</v>
      </c>
      <c r="G33" s="11" t="n">
        <f aca="false">C33-E33-F33</f>
        <v>0</v>
      </c>
      <c r="H33" s="11" t="n">
        <f aca="false">D33+F33</f>
        <v>0</v>
      </c>
    </row>
    <row r="34" customFormat="false" ht="15" hidden="false" customHeight="false" outlineLevel="0" collapsed="false">
      <c r="A34" s="4" t="n">
        <v>6</v>
      </c>
      <c r="B34" s="11" t="n">
        <f aca="false">IF(A34&gt;$A$5,0,IF(A34&lt;=Investor!$B$12,Investor!$B$5,Investor!$B$5*(1-Investor!$B$13)^(A34-Investor!$B$12)))</f>
        <v>0</v>
      </c>
      <c r="C34" s="11" t="n">
        <f aca="false">IF(A34&gt;$A$5,0,G33)</f>
        <v>0</v>
      </c>
      <c r="D34" s="11" t="n">
        <f aca="false">(Investor!$B$11+Investor!$B$10)*C34</f>
        <v>0</v>
      </c>
      <c r="E34" s="11" t="n">
        <f aca="false">IF(A34&gt;$A$5,0,MIN(C34,Investor!$B$8*Investor!$B$9*B34*Investor!$B$7))</f>
        <v>0</v>
      </c>
      <c r="F34" s="11" t="n">
        <f aca="false">IF(A34&gt;$A$5,0,IF(A34=$A$5,C34-E34,IF(0=1,(C34-E34)*(1-B34/B33),0)))</f>
        <v>0</v>
      </c>
      <c r="G34" s="11" t="n">
        <f aca="false">C34-E34-F34</f>
        <v>0</v>
      </c>
      <c r="H34" s="11" t="n">
        <f aca="false">D34+F34</f>
        <v>0</v>
      </c>
    </row>
    <row r="35" customFormat="false" ht="15" hidden="false" customHeight="false" outlineLevel="0" collapsed="false">
      <c r="A35" s="4" t="n">
        <v>7</v>
      </c>
      <c r="B35" s="11" t="n">
        <f aca="false">IF(A35&gt;$A$5,0,IF(A35&lt;=Investor!$B$12,Investor!$B$5,Investor!$B$5*(1-Investor!$B$13)^(A35-Investor!$B$12)))</f>
        <v>0</v>
      </c>
      <c r="C35" s="11" t="n">
        <f aca="false">IF(A35&gt;$A$5,0,G34)</f>
        <v>0</v>
      </c>
      <c r="D35" s="11" t="n">
        <f aca="false">(Investor!$B$11+Investor!$B$10)*C35</f>
        <v>0</v>
      </c>
      <c r="E35" s="11" t="n">
        <f aca="false">IF(A35&gt;$A$5,0,MIN(C35,Investor!$B$8*Investor!$B$9*B35*Investor!$B$7))</f>
        <v>0</v>
      </c>
      <c r="F35" s="11" t="n">
        <f aca="false">IF(A35&gt;$A$5,0,IF(A35=$A$5,C35-E35,IF(0=1,(C35-E35)*(1-B35/B34),0)))</f>
        <v>0</v>
      </c>
      <c r="G35" s="11" t="n">
        <f aca="false">C35-E35-F35</f>
        <v>0</v>
      </c>
      <c r="H35" s="11" t="n">
        <f aca="false">D35+F35</f>
        <v>0</v>
      </c>
    </row>
    <row r="36" customFormat="false" ht="15" hidden="false" customHeight="false" outlineLevel="0" collapsed="false">
      <c r="A36" s="4" t="n">
        <v>8</v>
      </c>
      <c r="B36" s="11" t="n">
        <f aca="false">IF(A36&gt;$A$5,0,IF(A36&lt;=Investor!$B$12,Investor!$B$5,Investor!$B$5*(1-Investor!$B$13)^(A36-Investor!$B$12)))</f>
        <v>0</v>
      </c>
      <c r="C36" s="11" t="n">
        <f aca="false">IF(A36&gt;$A$5,0,G35)</f>
        <v>0</v>
      </c>
      <c r="D36" s="11" t="n">
        <f aca="false">(Investor!$B$11+Investor!$B$10)*C36</f>
        <v>0</v>
      </c>
      <c r="E36" s="11" t="n">
        <f aca="false">IF(A36&gt;$A$5,0,MIN(C36,Investor!$B$8*Investor!$B$9*B36*Investor!$B$7))</f>
        <v>0</v>
      </c>
      <c r="F36" s="11" t="n">
        <f aca="false">IF(A36&gt;$A$5,0,IF(A36=$A$5,C36-E36,IF(0=1,(C36-E36)*(1-B36/B35),0)))</f>
        <v>0</v>
      </c>
      <c r="G36" s="11" t="n">
        <f aca="false">C36-E36-F36</f>
        <v>0</v>
      </c>
      <c r="H36" s="11" t="n">
        <f aca="false">D36+F36</f>
        <v>0</v>
      </c>
    </row>
    <row r="37" customFormat="false" ht="15" hidden="false" customHeight="false" outlineLevel="0" collapsed="false">
      <c r="A37" s="3" t="s">
        <v>26</v>
      </c>
      <c r="D37" s="12" t="n">
        <f aca="false">SUM(D29:D36)</f>
        <v>101039221.725</v>
      </c>
      <c r="E37" s="12" t="n">
        <f aca="false">SUM(E29:E36)</f>
        <v>20221211.7</v>
      </c>
      <c r="F37" s="12" t="n">
        <f aca="false">SUM(F29:F36)</f>
        <v>245778788.3</v>
      </c>
      <c r="G37" s="3" t="s">
        <v>27</v>
      </c>
      <c r="H37" s="13" t="n">
        <f aca="false">IRR(H28:H36,IF(SUM(H28:H36)&gt;=0,0.1,-0.3))</f>
        <v>0.1039593976427</v>
      </c>
    </row>
    <row r="40" customFormat="false" ht="15" hidden="false" customHeight="false" outlineLevel="0" collapsed="false">
      <c r="A40" s="3" t="s">
        <v>90</v>
      </c>
    </row>
    <row r="41" customFormat="false" ht="15" hidden="false" customHeight="false" outlineLevel="0" collapsed="false">
      <c r="A41" s="10" t="s">
        <v>18</v>
      </c>
      <c r="B41" s="10" t="s">
        <v>19</v>
      </c>
      <c r="C41" s="10" t="s">
        <v>20</v>
      </c>
      <c r="D41" s="10" t="s">
        <v>21</v>
      </c>
      <c r="E41" s="10" t="s">
        <v>22</v>
      </c>
      <c r="F41" s="10" t="s">
        <v>23</v>
      </c>
      <c r="G41" s="10" t="s">
        <v>24</v>
      </c>
      <c r="H41" s="10" t="s">
        <v>25</v>
      </c>
    </row>
    <row r="42" customFormat="false" ht="15" hidden="false" customHeight="false" outlineLevel="0" collapsed="false">
      <c r="A42" s="4" t="n">
        <v>0</v>
      </c>
      <c r="B42" s="11" t="n">
        <f aca="false">Investor!$B$5</f>
        <v>4000000000</v>
      </c>
      <c r="H42" s="11" t="n">
        <f aca="false">-C43</f>
        <v>-266000000</v>
      </c>
    </row>
    <row r="43" customFormat="false" ht="15" hidden="false" customHeight="false" outlineLevel="0" collapsed="false">
      <c r="A43" s="4" t="n">
        <v>1</v>
      </c>
      <c r="B43" s="11" t="n">
        <f aca="false">IF(A43&gt;$A$6,0,IF(A43&lt;=Investor!$B$12,Investor!$B$5,Investor!$B$5*(1-Investor!$B$13)^(A43-Investor!$B$12)))</f>
        <v>4000000000</v>
      </c>
      <c r="C43" s="11" t="n">
        <f aca="false">IF(A43&gt;$A$6,0,Investor!$B$6*Investor!$B$5*Investor!$B$7)</f>
        <v>266000000</v>
      </c>
      <c r="D43" s="11" t="n">
        <f aca="false">(Investor!$B$11+Investor!$B$10)*C43</f>
        <v>34580000</v>
      </c>
      <c r="E43" s="11" t="n">
        <f aca="false">IF(A43&gt;$A$6,0,MIN(C43,Investor!$B$8*Investor!$B$9*B43*Investor!$B$7))</f>
        <v>6925072.5</v>
      </c>
      <c r="F43" s="11" t="n">
        <f aca="false">IF(A43&gt;$A$6,0,IF(A43=$A$6,C43-E43,IF(1=1,(C43-E43)*(1-B43/B42),0)))</f>
        <v>0</v>
      </c>
      <c r="G43" s="11" t="n">
        <f aca="false">C43-E43-F43</f>
        <v>259074927.5</v>
      </c>
      <c r="H43" s="11" t="n">
        <f aca="false">D43+F43</f>
        <v>34580000</v>
      </c>
    </row>
    <row r="44" customFormat="false" ht="15" hidden="false" customHeight="false" outlineLevel="0" collapsed="false">
      <c r="A44" s="4" t="n">
        <v>2</v>
      </c>
      <c r="B44" s="11" t="n">
        <f aca="false">IF(A44&gt;$A$6,0,IF(A44&lt;=Investor!$B$12,Investor!$B$5,Investor!$B$5*(1-Investor!$B$13)^(A44-Investor!$B$12)))</f>
        <v>4000000000</v>
      </c>
      <c r="C44" s="11" t="n">
        <f aca="false">IF(A44&gt;$A$6,0,G43)</f>
        <v>259074927.5</v>
      </c>
      <c r="D44" s="11" t="n">
        <f aca="false">(Investor!$B$11+Investor!$B$10)*C44</f>
        <v>33679740.575</v>
      </c>
      <c r="E44" s="11" t="n">
        <f aca="false">IF(A44&gt;$A$6,0,MIN(C44,Investor!$B$8*Investor!$B$9*B44*Investor!$B$7))</f>
        <v>6925072.5</v>
      </c>
      <c r="F44" s="11" t="n">
        <f aca="false">IF(A44&gt;$A$6,0,IF(A44=$A$6,C44-E44,IF(1=1,(C44-E44)*(1-B44/B43),0)))</f>
        <v>0</v>
      </c>
      <c r="G44" s="11" t="n">
        <f aca="false">C44-E44-F44</f>
        <v>252149855</v>
      </c>
      <c r="H44" s="11" t="n">
        <f aca="false">D44+F44</f>
        <v>33679740.575</v>
      </c>
    </row>
    <row r="45" customFormat="false" ht="15" hidden="false" customHeight="false" outlineLevel="0" collapsed="false">
      <c r="A45" s="4" t="n">
        <v>3</v>
      </c>
      <c r="B45" s="11" t="n">
        <f aca="false">IF(A45&gt;$A$6,0,IF(A45&lt;=Investor!$B$12,Investor!$B$5,Investor!$B$5*(1-Investor!$B$13)^(A45-Investor!$B$12)))</f>
        <v>3680000000</v>
      </c>
      <c r="C45" s="11" t="n">
        <f aca="false">IF(A45&gt;$A$6,0,G44)</f>
        <v>252149855</v>
      </c>
      <c r="D45" s="11" t="n">
        <f aca="false">(Investor!$B$11+Investor!$B$10)*C45</f>
        <v>32779481.15</v>
      </c>
      <c r="E45" s="11" t="n">
        <f aca="false">IF(A45&gt;$A$6,0,MIN(C45,Investor!$B$8*Investor!$B$9*B45*Investor!$B$7))</f>
        <v>6371066.7</v>
      </c>
      <c r="F45" s="11" t="n">
        <f aca="false">IF(A45&gt;$A$6,0,IF(A45=$A$6,C45-E45,IF(1=1,(C45-E45)*(1-B45/B44),0)))</f>
        <v>19662303.064</v>
      </c>
      <c r="G45" s="11" t="n">
        <f aca="false">C45-E45-F45</f>
        <v>226116485.236</v>
      </c>
      <c r="H45" s="11" t="n">
        <f aca="false">D45+F45</f>
        <v>52441784.214</v>
      </c>
    </row>
    <row r="46" customFormat="false" ht="15" hidden="false" customHeight="false" outlineLevel="0" collapsed="false">
      <c r="A46" s="4" t="n">
        <v>4</v>
      </c>
      <c r="B46" s="11" t="n">
        <f aca="false">IF(A46&gt;$A$6,0,IF(A46&lt;=Investor!$B$12,Investor!$B$5,Investor!$B$5*(1-Investor!$B$13)^(A46-Investor!$B$12)))</f>
        <v>3385600000</v>
      </c>
      <c r="C46" s="11" t="n">
        <f aca="false">IF(A46&gt;$A$6,0,G45)</f>
        <v>226116485.236</v>
      </c>
      <c r="D46" s="11" t="n">
        <f aca="false">(Investor!$B$11+Investor!$B$10)*C46</f>
        <v>29395143.08068</v>
      </c>
      <c r="E46" s="11" t="n">
        <f aca="false">IF(A46&gt;$A$6,0,MIN(C46,Investor!$B$8*Investor!$B$9*B46*Investor!$B$7))</f>
        <v>5861381.364</v>
      </c>
      <c r="F46" s="11" t="n">
        <f aca="false">IF(A46&gt;$A$6,0,IF(A46=$A$6,C46-E46,IF(1=1,(C46-E46)*(1-B46/B45),0)))</f>
        <v>17620408.30976</v>
      </c>
      <c r="G46" s="11" t="n">
        <f aca="false">C46-E46-F46</f>
        <v>202634695.56224</v>
      </c>
      <c r="H46" s="11" t="n">
        <f aca="false">D46+F46</f>
        <v>47015551.39044</v>
      </c>
    </row>
    <row r="47" customFormat="false" ht="15" hidden="false" customHeight="false" outlineLevel="0" collapsed="false">
      <c r="A47" s="4" t="n">
        <v>5</v>
      </c>
      <c r="B47" s="11" t="n">
        <f aca="false">IF(A47&gt;$A$6,0,IF(A47&lt;=Investor!$B$12,Investor!$B$5,Investor!$B$5*(1-Investor!$B$13)^(A47-Investor!$B$12)))</f>
        <v>3114752000</v>
      </c>
      <c r="C47" s="11" t="n">
        <f aca="false">IF(A47&gt;$A$6,0,G46)</f>
        <v>202634695.56224</v>
      </c>
      <c r="D47" s="11" t="n">
        <f aca="false">(Investor!$B$11+Investor!$B$10)*C47</f>
        <v>26342510.4230912</v>
      </c>
      <c r="E47" s="11" t="n">
        <f aca="false">IF(A47&gt;$A$6,0,MIN(C47,Investor!$B$8*Investor!$B$9*B47*Investor!$B$7))</f>
        <v>5392470.85488</v>
      </c>
      <c r="F47" s="11" t="n">
        <f aca="false">IF(A47&gt;$A$6,0,IF(A47=$A$6,C47-E47,IF(1=1,(C47-E47)*(1-B47/B46),0)))</f>
        <v>197242224.70736</v>
      </c>
      <c r="G47" s="11" t="n">
        <f aca="false">C47-E47-F47</f>
        <v>0</v>
      </c>
      <c r="H47" s="11" t="n">
        <f aca="false">D47+F47</f>
        <v>223584735.130451</v>
      </c>
    </row>
    <row r="48" customFormat="false" ht="15" hidden="false" customHeight="false" outlineLevel="0" collapsed="false">
      <c r="A48" s="4" t="n">
        <v>6</v>
      </c>
      <c r="B48" s="11" t="n">
        <f aca="false">IF(A48&gt;$A$6,0,IF(A48&lt;=Investor!$B$12,Investor!$B$5,Investor!$B$5*(1-Investor!$B$13)^(A48-Investor!$B$12)))</f>
        <v>0</v>
      </c>
      <c r="C48" s="11" t="n">
        <f aca="false">IF(A48&gt;$A$6,0,G47)</f>
        <v>0</v>
      </c>
      <c r="D48" s="11" t="n">
        <f aca="false">(Investor!$B$11+Investor!$B$10)*C48</f>
        <v>0</v>
      </c>
      <c r="E48" s="11" t="n">
        <f aca="false">IF(A48&gt;$A$6,0,MIN(C48,Investor!$B$8*Investor!$B$9*B48*Investor!$B$7))</f>
        <v>0</v>
      </c>
      <c r="F48" s="11" t="n">
        <f aca="false">IF(A48&gt;$A$6,0,IF(A48=$A$6,C48-E48,IF(1=1,(C48-E48)*(1-B48/B47),0)))</f>
        <v>0</v>
      </c>
      <c r="G48" s="11" t="n">
        <f aca="false">C48-E48-F48</f>
        <v>0</v>
      </c>
      <c r="H48" s="11" t="n">
        <f aca="false">D48+F48</f>
        <v>0</v>
      </c>
    </row>
    <row r="49" customFormat="false" ht="15" hidden="false" customHeight="false" outlineLevel="0" collapsed="false">
      <c r="A49" s="4" t="n">
        <v>7</v>
      </c>
      <c r="B49" s="11" t="n">
        <f aca="false">IF(A49&gt;$A$6,0,IF(A49&lt;=Investor!$B$12,Investor!$B$5,Investor!$B$5*(1-Investor!$B$13)^(A49-Investor!$B$12)))</f>
        <v>0</v>
      </c>
      <c r="C49" s="11" t="n">
        <f aca="false">IF(A49&gt;$A$6,0,G48)</f>
        <v>0</v>
      </c>
      <c r="D49" s="11" t="n">
        <f aca="false">(Investor!$B$11+Investor!$B$10)*C49</f>
        <v>0</v>
      </c>
      <c r="E49" s="11" t="n">
        <f aca="false">IF(A49&gt;$A$6,0,MIN(C49,Investor!$B$8*Investor!$B$9*B49*Investor!$B$7))</f>
        <v>0</v>
      </c>
      <c r="F49" s="11" t="n">
        <f aca="false">IF(A49&gt;$A$6,0,IF(A49=$A$6,C49-E49,IF(1=1,(C49-E49)*(1-B49/B48),0)))</f>
        <v>0</v>
      </c>
      <c r="G49" s="11" t="n">
        <f aca="false">C49-E49-F49</f>
        <v>0</v>
      </c>
      <c r="H49" s="11" t="n">
        <f aca="false">D49+F49</f>
        <v>0</v>
      </c>
    </row>
    <row r="50" customFormat="false" ht="15" hidden="false" customHeight="false" outlineLevel="0" collapsed="false">
      <c r="A50" s="4" t="n">
        <v>8</v>
      </c>
      <c r="B50" s="11" t="n">
        <f aca="false">IF(A50&gt;$A$6,0,IF(A50&lt;=Investor!$B$12,Investor!$B$5,Investor!$B$5*(1-Investor!$B$13)^(A50-Investor!$B$12)))</f>
        <v>0</v>
      </c>
      <c r="C50" s="11" t="n">
        <f aca="false">IF(A50&gt;$A$6,0,G49)</f>
        <v>0</v>
      </c>
      <c r="D50" s="11" t="n">
        <f aca="false">(Investor!$B$11+Investor!$B$10)*C50</f>
        <v>0</v>
      </c>
      <c r="E50" s="11" t="n">
        <f aca="false">IF(A50&gt;$A$6,0,MIN(C50,Investor!$B$8*Investor!$B$9*B50*Investor!$B$7))</f>
        <v>0</v>
      </c>
      <c r="F50" s="11" t="n">
        <f aca="false">IF(A50&gt;$A$6,0,IF(A50=$A$6,C50-E50,IF(1=1,(C50-E50)*(1-B50/B49),0)))</f>
        <v>0</v>
      </c>
      <c r="G50" s="11" t="n">
        <f aca="false">C50-E50-F50</f>
        <v>0</v>
      </c>
      <c r="H50" s="11" t="n">
        <f aca="false">D50+F50</f>
        <v>0</v>
      </c>
    </row>
    <row r="51" customFormat="false" ht="15" hidden="false" customHeight="false" outlineLevel="0" collapsed="false">
      <c r="A51" s="3" t="s">
        <v>26</v>
      </c>
      <c r="D51" s="12" t="n">
        <f aca="false">SUM(D43:D50)</f>
        <v>156776875.228771</v>
      </c>
      <c r="E51" s="12" t="n">
        <f aca="false">SUM(E43:E50)</f>
        <v>31475063.91888</v>
      </c>
      <c r="F51" s="12" t="n">
        <f aca="false">SUM(F43:F50)</f>
        <v>234524936.08112</v>
      </c>
      <c r="G51" s="3" t="s">
        <v>27</v>
      </c>
      <c r="H51" s="13" t="n">
        <f aca="false">IRR(H42:H50,IF(SUM(H42:H50)&gt;=0,0.1,-0.3))</f>
        <v>0.103902104467538</v>
      </c>
    </row>
    <row r="54" customFormat="false" ht="15" hidden="false" customHeight="false" outlineLevel="0" collapsed="false">
      <c r="A54" s="3" t="s">
        <v>91</v>
      </c>
    </row>
    <row r="55" customFormat="false" ht="15" hidden="false" customHeight="false" outlineLevel="0" collapsed="false">
      <c r="A55" s="10" t="s">
        <v>18</v>
      </c>
      <c r="B55" s="10" t="s">
        <v>19</v>
      </c>
      <c r="C55" s="10" t="s">
        <v>20</v>
      </c>
      <c r="D55" s="10" t="s">
        <v>21</v>
      </c>
      <c r="E55" s="10" t="s">
        <v>22</v>
      </c>
      <c r="F55" s="10" t="s">
        <v>23</v>
      </c>
      <c r="G55" s="10" t="s">
        <v>24</v>
      </c>
      <c r="H55" s="10" t="s">
        <v>25</v>
      </c>
    </row>
    <row r="56" customFormat="false" ht="15" hidden="false" customHeight="false" outlineLevel="0" collapsed="false">
      <c r="A56" s="4" t="n">
        <v>0</v>
      </c>
      <c r="B56" s="11" t="n">
        <f aca="false">Investor!$B$5</f>
        <v>4000000000</v>
      </c>
      <c r="H56" s="11" t="n">
        <f aca="false">-C57</f>
        <v>-266000000</v>
      </c>
    </row>
    <row r="57" customFormat="false" ht="15" hidden="false" customHeight="false" outlineLevel="0" collapsed="false">
      <c r="A57" s="4" t="n">
        <v>1</v>
      </c>
      <c r="B57" s="11" t="n">
        <f aca="false">IF(A57&gt;$A$6,0,IF(A57&lt;=Investor!$B$12,Investor!$B$5,Investor!$B$5*(1-Investor!$B$13)^(A57-Investor!$B$12)))</f>
        <v>4000000000</v>
      </c>
      <c r="C57" s="11" t="n">
        <f aca="false">IF(A57&gt;$A$6,0,Investor!$B$6*Investor!$B$5*Investor!$B$7)</f>
        <v>266000000</v>
      </c>
      <c r="D57" s="11" t="n">
        <f aca="false">(Investor!$B$11+Investor!$B$10)*C57</f>
        <v>34580000</v>
      </c>
      <c r="E57" s="11" t="n">
        <f aca="false">IF(A57&gt;$A$6,0,MIN(C57,Investor!$B$8*Investor!$B$9*B57*Investor!$B$7))</f>
        <v>6925072.5</v>
      </c>
      <c r="F57" s="11" t="n">
        <f aca="false">IF(A57&gt;$A$6,0,IF(A57=$A$6,C57-E57,IF(0=1,(C57-E57)*(1-B57/B56),0)))</f>
        <v>0</v>
      </c>
      <c r="G57" s="11" t="n">
        <f aca="false">C57-E57-F57</f>
        <v>259074927.5</v>
      </c>
      <c r="H57" s="11" t="n">
        <f aca="false">D57+F57</f>
        <v>34580000</v>
      </c>
    </row>
    <row r="58" customFormat="false" ht="15" hidden="false" customHeight="false" outlineLevel="0" collapsed="false">
      <c r="A58" s="4" t="n">
        <v>2</v>
      </c>
      <c r="B58" s="11" t="n">
        <f aca="false">IF(A58&gt;$A$6,0,IF(A58&lt;=Investor!$B$12,Investor!$B$5,Investor!$B$5*(1-Investor!$B$13)^(A58-Investor!$B$12)))</f>
        <v>4000000000</v>
      </c>
      <c r="C58" s="11" t="n">
        <f aca="false">IF(A58&gt;$A$6,0,G57)</f>
        <v>259074927.5</v>
      </c>
      <c r="D58" s="11" t="n">
        <f aca="false">(Investor!$B$11+Investor!$B$10)*C58</f>
        <v>33679740.575</v>
      </c>
      <c r="E58" s="11" t="n">
        <f aca="false">IF(A58&gt;$A$6,0,MIN(C58,Investor!$B$8*Investor!$B$9*B58*Investor!$B$7))</f>
        <v>6925072.5</v>
      </c>
      <c r="F58" s="11" t="n">
        <f aca="false">IF(A58&gt;$A$6,0,IF(A58=$A$6,C58-E58,IF(0=1,(C58-E58)*(1-B58/B57),0)))</f>
        <v>0</v>
      </c>
      <c r="G58" s="11" t="n">
        <f aca="false">C58-E58-F58</f>
        <v>252149855</v>
      </c>
      <c r="H58" s="11" t="n">
        <f aca="false">D58+F58</f>
        <v>33679740.575</v>
      </c>
    </row>
    <row r="59" customFormat="false" ht="15" hidden="false" customHeight="false" outlineLevel="0" collapsed="false">
      <c r="A59" s="4" t="n">
        <v>3</v>
      </c>
      <c r="B59" s="11" t="n">
        <f aca="false">IF(A59&gt;$A$6,0,IF(A59&lt;=Investor!$B$12,Investor!$B$5,Investor!$B$5*(1-Investor!$B$13)^(A59-Investor!$B$12)))</f>
        <v>3680000000</v>
      </c>
      <c r="C59" s="11" t="n">
        <f aca="false">IF(A59&gt;$A$6,0,G58)</f>
        <v>252149855</v>
      </c>
      <c r="D59" s="11" t="n">
        <f aca="false">(Investor!$B$11+Investor!$B$10)*C59</f>
        <v>32779481.15</v>
      </c>
      <c r="E59" s="11" t="n">
        <f aca="false">IF(A59&gt;$A$6,0,MIN(C59,Investor!$B$8*Investor!$B$9*B59*Investor!$B$7))</f>
        <v>6371066.7</v>
      </c>
      <c r="F59" s="11" t="n">
        <f aca="false">IF(A59&gt;$A$6,0,IF(A59=$A$6,C59-E59,IF(0=1,(C59-E59)*(1-B59/B58),0)))</f>
        <v>0</v>
      </c>
      <c r="G59" s="11" t="n">
        <f aca="false">C59-E59-F59</f>
        <v>245778788.3</v>
      </c>
      <c r="H59" s="11" t="n">
        <f aca="false">D59+F59</f>
        <v>32779481.15</v>
      </c>
    </row>
    <row r="60" customFormat="false" ht="15" hidden="false" customHeight="false" outlineLevel="0" collapsed="false">
      <c r="A60" s="4" t="n">
        <v>4</v>
      </c>
      <c r="B60" s="11" t="n">
        <f aca="false">IF(A60&gt;$A$6,0,IF(A60&lt;=Investor!$B$12,Investor!$B$5,Investor!$B$5*(1-Investor!$B$13)^(A60-Investor!$B$12)))</f>
        <v>3385600000</v>
      </c>
      <c r="C60" s="11" t="n">
        <f aca="false">IF(A60&gt;$A$6,0,G59)</f>
        <v>245778788.3</v>
      </c>
      <c r="D60" s="11" t="n">
        <f aca="false">(Investor!$B$11+Investor!$B$10)*C60</f>
        <v>31951242.479</v>
      </c>
      <c r="E60" s="11" t="n">
        <f aca="false">IF(A60&gt;$A$6,0,MIN(C60,Investor!$B$8*Investor!$B$9*B60*Investor!$B$7))</f>
        <v>5861381.364</v>
      </c>
      <c r="F60" s="11" t="n">
        <f aca="false">IF(A60&gt;$A$6,0,IF(A60=$A$6,C60-E60,IF(0=1,(C60-E60)*(1-B60/B59),0)))</f>
        <v>0</v>
      </c>
      <c r="G60" s="11" t="n">
        <f aca="false">C60-E60-F60</f>
        <v>239917406.936</v>
      </c>
      <c r="H60" s="11" t="n">
        <f aca="false">D60+F60</f>
        <v>31951242.479</v>
      </c>
    </row>
    <row r="61" customFormat="false" ht="15" hidden="false" customHeight="false" outlineLevel="0" collapsed="false">
      <c r="A61" s="4" t="n">
        <v>5</v>
      </c>
      <c r="B61" s="11" t="n">
        <f aca="false">IF(A61&gt;$A$6,0,IF(A61&lt;=Investor!$B$12,Investor!$B$5,Investor!$B$5*(1-Investor!$B$13)^(A61-Investor!$B$12)))</f>
        <v>3114752000</v>
      </c>
      <c r="C61" s="11" t="n">
        <f aca="false">IF(A61&gt;$A$6,0,G60)</f>
        <v>239917406.936</v>
      </c>
      <c r="D61" s="11" t="n">
        <f aca="false">(Investor!$B$11+Investor!$B$10)*C61</f>
        <v>31189262.90168</v>
      </c>
      <c r="E61" s="11" t="n">
        <f aca="false">IF(A61&gt;$A$6,0,MIN(C61,Investor!$B$8*Investor!$B$9*B61*Investor!$B$7))</f>
        <v>5392470.85488</v>
      </c>
      <c r="F61" s="11" t="n">
        <f aca="false">IF(A61&gt;$A$6,0,IF(A61=$A$6,C61-E61,IF(0=1,(C61-E61)*(1-B61/B60),0)))</f>
        <v>234524936.08112</v>
      </c>
      <c r="G61" s="11" t="n">
        <f aca="false">C61-E61-F61</f>
        <v>0</v>
      </c>
      <c r="H61" s="11" t="n">
        <f aca="false">D61+F61</f>
        <v>265714198.9828</v>
      </c>
    </row>
    <row r="62" customFormat="false" ht="15" hidden="false" customHeight="false" outlineLevel="0" collapsed="false">
      <c r="A62" s="4" t="n">
        <v>6</v>
      </c>
      <c r="B62" s="11" t="n">
        <f aca="false">IF(A62&gt;$A$6,0,IF(A62&lt;=Investor!$B$12,Investor!$B$5,Investor!$B$5*(1-Investor!$B$13)^(A62-Investor!$B$12)))</f>
        <v>0</v>
      </c>
      <c r="C62" s="11" t="n">
        <f aca="false">IF(A62&gt;$A$6,0,G61)</f>
        <v>0</v>
      </c>
      <c r="D62" s="11" t="n">
        <f aca="false">(Investor!$B$11+Investor!$B$10)*C62</f>
        <v>0</v>
      </c>
      <c r="E62" s="11" t="n">
        <f aca="false">IF(A62&gt;$A$6,0,MIN(C62,Investor!$B$8*Investor!$B$9*B62*Investor!$B$7))</f>
        <v>0</v>
      </c>
      <c r="F62" s="11" t="n">
        <f aca="false">IF(A62&gt;$A$6,0,IF(A62=$A$6,C62-E62,IF(0=1,(C62-E62)*(1-B62/B61),0)))</f>
        <v>0</v>
      </c>
      <c r="G62" s="11" t="n">
        <f aca="false">C62-E62-F62</f>
        <v>0</v>
      </c>
      <c r="H62" s="11" t="n">
        <f aca="false">D62+F62</f>
        <v>0</v>
      </c>
    </row>
    <row r="63" customFormat="false" ht="15" hidden="false" customHeight="false" outlineLevel="0" collapsed="false">
      <c r="A63" s="4" t="n">
        <v>7</v>
      </c>
      <c r="B63" s="11" t="n">
        <f aca="false">IF(A63&gt;$A$6,0,IF(A63&lt;=Investor!$B$12,Investor!$B$5,Investor!$B$5*(1-Investor!$B$13)^(A63-Investor!$B$12)))</f>
        <v>0</v>
      </c>
      <c r="C63" s="11" t="n">
        <f aca="false">IF(A63&gt;$A$6,0,G62)</f>
        <v>0</v>
      </c>
      <c r="D63" s="11" t="n">
        <f aca="false">(Investor!$B$11+Investor!$B$10)*C63</f>
        <v>0</v>
      </c>
      <c r="E63" s="11" t="n">
        <f aca="false">IF(A63&gt;$A$6,0,MIN(C63,Investor!$B$8*Investor!$B$9*B63*Investor!$B$7))</f>
        <v>0</v>
      </c>
      <c r="F63" s="11" t="n">
        <f aca="false">IF(A63&gt;$A$6,0,IF(A63=$A$6,C63-E63,IF(0=1,(C63-E63)*(1-B63/B62),0)))</f>
        <v>0</v>
      </c>
      <c r="G63" s="11" t="n">
        <f aca="false">C63-E63-F63</f>
        <v>0</v>
      </c>
      <c r="H63" s="11" t="n">
        <f aca="false">D63+F63</f>
        <v>0</v>
      </c>
    </row>
    <row r="64" customFormat="false" ht="15" hidden="false" customHeight="false" outlineLevel="0" collapsed="false">
      <c r="A64" s="4" t="n">
        <v>8</v>
      </c>
      <c r="B64" s="11" t="n">
        <f aca="false">IF(A64&gt;$A$6,0,IF(A64&lt;=Investor!$B$12,Investor!$B$5,Investor!$B$5*(1-Investor!$B$13)^(A64-Investor!$B$12)))</f>
        <v>0</v>
      </c>
      <c r="C64" s="11" t="n">
        <f aca="false">IF(A64&gt;$A$6,0,G63)</f>
        <v>0</v>
      </c>
      <c r="D64" s="11" t="n">
        <f aca="false">(Investor!$B$11+Investor!$B$10)*C64</f>
        <v>0</v>
      </c>
      <c r="E64" s="11" t="n">
        <f aca="false">IF(A64&gt;$A$6,0,MIN(C64,Investor!$B$8*Investor!$B$9*B64*Investor!$B$7))</f>
        <v>0</v>
      </c>
      <c r="F64" s="11" t="n">
        <f aca="false">IF(A64&gt;$A$6,0,IF(A64=$A$6,C64-E64,IF(0=1,(C64-E64)*(1-B64/B63),0)))</f>
        <v>0</v>
      </c>
      <c r="G64" s="11" t="n">
        <f aca="false">C64-E64-F64</f>
        <v>0</v>
      </c>
      <c r="H64" s="11" t="n">
        <f aca="false">D64+F64</f>
        <v>0</v>
      </c>
    </row>
    <row r="65" customFormat="false" ht="15" hidden="false" customHeight="false" outlineLevel="0" collapsed="false">
      <c r="A65" s="3" t="s">
        <v>26</v>
      </c>
      <c r="D65" s="12" t="n">
        <f aca="false">SUM(D57:D64)</f>
        <v>164179727.10568</v>
      </c>
      <c r="E65" s="12" t="n">
        <f aca="false">SUM(E57:E64)</f>
        <v>31475063.91888</v>
      </c>
      <c r="F65" s="12" t="n">
        <f aca="false">SUM(F57:F64)</f>
        <v>234524936.08112</v>
      </c>
      <c r="G65" s="3" t="s">
        <v>27</v>
      </c>
      <c r="H65" s="13" t="n">
        <f aca="false">IRR(H56:H64,IF(SUM(H56:H64)&gt;=0,0.1,-0.3))</f>
        <v>0.104886009157235</v>
      </c>
    </row>
    <row r="68" customFormat="false" ht="15" hidden="false" customHeight="false" outlineLevel="0" collapsed="false">
      <c r="A68" s="3" t="s">
        <v>92</v>
      </c>
    </row>
    <row r="69" customFormat="false" ht="15" hidden="false" customHeight="false" outlineLevel="0" collapsed="false">
      <c r="A69" s="10" t="s">
        <v>18</v>
      </c>
      <c r="B69" s="10" t="s">
        <v>19</v>
      </c>
      <c r="C69" s="10" t="s">
        <v>20</v>
      </c>
      <c r="D69" s="10" t="s">
        <v>21</v>
      </c>
      <c r="E69" s="10" t="s">
        <v>22</v>
      </c>
      <c r="F69" s="10" t="s">
        <v>23</v>
      </c>
      <c r="G69" s="10" t="s">
        <v>24</v>
      </c>
      <c r="H69" s="10" t="s">
        <v>25</v>
      </c>
    </row>
    <row r="70" customFormat="false" ht="15" hidden="false" customHeight="false" outlineLevel="0" collapsed="false">
      <c r="A70" s="4" t="n">
        <v>0</v>
      </c>
      <c r="B70" s="11" t="n">
        <f aca="false">Investor!$B$5</f>
        <v>4000000000</v>
      </c>
      <c r="H70" s="11" t="n">
        <f aca="false">-C71</f>
        <v>-266000000</v>
      </c>
    </row>
    <row r="71" customFormat="false" ht="15" hidden="false" customHeight="false" outlineLevel="0" collapsed="false">
      <c r="A71" s="4" t="n">
        <v>1</v>
      </c>
      <c r="B71" s="11" t="n">
        <f aca="false">IF(A71&gt;$A$7,0,IF(A71&lt;=Investor!$B$12,Investor!$B$5,Investor!$B$5*(1-Investor!$B$13)^(A71-Investor!$B$12)))</f>
        <v>4000000000</v>
      </c>
      <c r="C71" s="11" t="n">
        <f aca="false">IF(A71&gt;$A$7,0,Investor!$B$6*Investor!$B$5*Investor!$B$7)</f>
        <v>266000000</v>
      </c>
      <c r="D71" s="11" t="n">
        <f aca="false">(Investor!$B$11+Investor!$B$10)*C71</f>
        <v>34580000</v>
      </c>
      <c r="E71" s="11" t="n">
        <f aca="false">IF(A71&gt;$A$7,0,MIN(C71,Investor!$B$8*Investor!$B$9*B71*Investor!$B$7))</f>
        <v>6925072.5</v>
      </c>
      <c r="F71" s="11" t="n">
        <f aca="false">IF(A71&gt;$A$7,0,IF(A71=$A$7,C71-E71,IF(1=1,(C71-E71)*(1-B71/B70),0)))</f>
        <v>0</v>
      </c>
      <c r="G71" s="11" t="n">
        <f aca="false">C71-E71-F71</f>
        <v>259074927.5</v>
      </c>
      <c r="H71" s="11" t="n">
        <f aca="false">D71+F71</f>
        <v>34580000</v>
      </c>
    </row>
    <row r="72" customFormat="false" ht="15" hidden="false" customHeight="false" outlineLevel="0" collapsed="false">
      <c r="A72" s="4" t="n">
        <v>2</v>
      </c>
      <c r="B72" s="11" t="n">
        <f aca="false">IF(A72&gt;$A$7,0,IF(A72&lt;=Investor!$B$12,Investor!$B$5,Investor!$B$5*(1-Investor!$B$13)^(A72-Investor!$B$12)))</f>
        <v>4000000000</v>
      </c>
      <c r="C72" s="11" t="n">
        <f aca="false">IF(A72&gt;$A$7,0,G71)</f>
        <v>259074927.5</v>
      </c>
      <c r="D72" s="11" t="n">
        <f aca="false">(Investor!$B$11+Investor!$B$10)*C72</f>
        <v>33679740.575</v>
      </c>
      <c r="E72" s="11" t="n">
        <f aca="false">IF(A72&gt;$A$7,0,MIN(C72,Investor!$B$8*Investor!$B$9*B72*Investor!$B$7))</f>
        <v>6925072.5</v>
      </c>
      <c r="F72" s="11" t="n">
        <f aca="false">IF(A72&gt;$A$7,0,IF(A72=$A$7,C72-E72,IF(1=1,(C72-E72)*(1-B72/B71),0)))</f>
        <v>0</v>
      </c>
      <c r="G72" s="11" t="n">
        <f aca="false">C72-E72-F72</f>
        <v>252149855</v>
      </c>
      <c r="H72" s="11" t="n">
        <f aca="false">D72+F72</f>
        <v>33679740.575</v>
      </c>
    </row>
    <row r="73" customFormat="false" ht="15" hidden="false" customHeight="false" outlineLevel="0" collapsed="false">
      <c r="A73" s="4" t="n">
        <v>3</v>
      </c>
      <c r="B73" s="11" t="n">
        <f aca="false">IF(A73&gt;$A$7,0,IF(A73&lt;=Investor!$B$12,Investor!$B$5,Investor!$B$5*(1-Investor!$B$13)^(A73-Investor!$B$12)))</f>
        <v>3680000000</v>
      </c>
      <c r="C73" s="11" t="n">
        <f aca="false">IF(A73&gt;$A$7,0,G72)</f>
        <v>252149855</v>
      </c>
      <c r="D73" s="11" t="n">
        <f aca="false">(Investor!$B$11+Investor!$B$10)*C73</f>
        <v>32779481.15</v>
      </c>
      <c r="E73" s="11" t="n">
        <f aca="false">IF(A73&gt;$A$7,0,MIN(C73,Investor!$B$8*Investor!$B$9*B73*Investor!$B$7))</f>
        <v>6371066.7</v>
      </c>
      <c r="F73" s="11" t="n">
        <f aca="false">IF(A73&gt;$A$7,0,IF(A73=$A$7,C73-E73,IF(1=1,(C73-E73)*(1-B73/B72),0)))</f>
        <v>19662303.064</v>
      </c>
      <c r="G73" s="11" t="n">
        <f aca="false">C73-E73-F73</f>
        <v>226116485.236</v>
      </c>
      <c r="H73" s="11" t="n">
        <f aca="false">D73+F73</f>
        <v>52441784.214</v>
      </c>
    </row>
    <row r="74" customFormat="false" ht="15" hidden="false" customHeight="false" outlineLevel="0" collapsed="false">
      <c r="A74" s="4" t="n">
        <v>4</v>
      </c>
      <c r="B74" s="11" t="n">
        <f aca="false">IF(A74&gt;$A$7,0,IF(A74&lt;=Investor!$B$12,Investor!$B$5,Investor!$B$5*(1-Investor!$B$13)^(A74-Investor!$B$12)))</f>
        <v>3385600000</v>
      </c>
      <c r="C74" s="11" t="n">
        <f aca="false">IF(A74&gt;$A$7,0,G73)</f>
        <v>226116485.236</v>
      </c>
      <c r="D74" s="11" t="n">
        <f aca="false">(Investor!$B$11+Investor!$B$10)*C74</f>
        <v>29395143.08068</v>
      </c>
      <c r="E74" s="11" t="n">
        <f aca="false">IF(A74&gt;$A$7,0,MIN(C74,Investor!$B$8*Investor!$B$9*B74*Investor!$B$7))</f>
        <v>5861381.364</v>
      </c>
      <c r="F74" s="11" t="n">
        <f aca="false">IF(A74&gt;$A$7,0,IF(A74=$A$7,C74-E74,IF(1=1,(C74-E74)*(1-B74/B73),0)))</f>
        <v>17620408.30976</v>
      </c>
      <c r="G74" s="11" t="n">
        <f aca="false">C74-E74-F74</f>
        <v>202634695.56224</v>
      </c>
      <c r="H74" s="11" t="n">
        <f aca="false">D74+F74</f>
        <v>47015551.39044</v>
      </c>
    </row>
    <row r="75" customFormat="false" ht="15" hidden="false" customHeight="false" outlineLevel="0" collapsed="false">
      <c r="A75" s="4" t="n">
        <v>5</v>
      </c>
      <c r="B75" s="11" t="n">
        <f aca="false">IF(A75&gt;$A$7,0,IF(A75&lt;=Investor!$B$12,Investor!$B$5,Investor!$B$5*(1-Investor!$B$13)^(A75-Investor!$B$12)))</f>
        <v>3114752000</v>
      </c>
      <c r="C75" s="11" t="n">
        <f aca="false">IF(A75&gt;$A$7,0,G74)</f>
        <v>202634695.56224</v>
      </c>
      <c r="D75" s="11" t="n">
        <f aca="false">(Investor!$B$11+Investor!$B$10)*C75</f>
        <v>26342510.4230912</v>
      </c>
      <c r="E75" s="11" t="n">
        <f aca="false">IF(A75&gt;$A$7,0,MIN(C75,Investor!$B$8*Investor!$B$9*B75*Investor!$B$7))</f>
        <v>5392470.85488</v>
      </c>
      <c r="F75" s="11" t="n">
        <f aca="false">IF(A75&gt;$A$7,0,IF(A75=$A$7,C75-E75,IF(1=1,(C75-E75)*(1-B75/B74),0)))</f>
        <v>15779377.9765888</v>
      </c>
      <c r="G75" s="11" t="n">
        <f aca="false">C75-E75-F75</f>
        <v>181462846.730771</v>
      </c>
      <c r="H75" s="11" t="n">
        <f aca="false">D75+F75</f>
        <v>42121888.39968</v>
      </c>
    </row>
    <row r="76" customFormat="false" ht="15" hidden="false" customHeight="false" outlineLevel="0" collapsed="false">
      <c r="A76" s="4" t="n">
        <v>6</v>
      </c>
      <c r="B76" s="11" t="n">
        <f aca="false">IF(A76&gt;$A$7,0,IF(A76&lt;=Investor!$B$12,Investor!$B$5,Investor!$B$5*(1-Investor!$B$13)^(A76-Investor!$B$12)))</f>
        <v>2865571840</v>
      </c>
      <c r="C76" s="11" t="n">
        <f aca="false">IF(A76&gt;$A$7,0,G75)</f>
        <v>181462846.730771</v>
      </c>
      <c r="D76" s="11" t="n">
        <f aca="false">(Investor!$B$11+Investor!$B$10)*C76</f>
        <v>23590170.0750003</v>
      </c>
      <c r="E76" s="11" t="n">
        <f aca="false">IF(A76&gt;$A$7,0,MIN(C76,Investor!$B$8*Investor!$B$9*B76*Investor!$B$7))</f>
        <v>4961073.1864896</v>
      </c>
      <c r="F76" s="11" t="n">
        <f aca="false">IF(A76&gt;$A$7,0,IF(A76=$A$7,C76-E76,IF(1=1,(C76-E76)*(1-B76/B75),0)))</f>
        <v>14120141.8835425</v>
      </c>
      <c r="G76" s="11" t="n">
        <f aca="false">C76-E76-F76</f>
        <v>162381631.660739</v>
      </c>
      <c r="H76" s="11" t="n">
        <f aca="false">D76+F76</f>
        <v>37710311.9585428</v>
      </c>
    </row>
    <row r="77" customFormat="false" ht="15" hidden="false" customHeight="false" outlineLevel="0" collapsed="false">
      <c r="A77" s="4" t="n">
        <v>7</v>
      </c>
      <c r="B77" s="11" t="n">
        <f aca="false">IF(A77&gt;$A$7,0,IF(A77&lt;=Investor!$B$12,Investor!$B$5,Investor!$B$5*(1-Investor!$B$13)^(A77-Investor!$B$12)))</f>
        <v>2636326092.8</v>
      </c>
      <c r="C77" s="11" t="n">
        <f aca="false">IF(A77&gt;$A$7,0,G76)</f>
        <v>162381631.660739</v>
      </c>
      <c r="D77" s="11" t="n">
        <f aca="false">(Investor!$B$11+Investor!$B$10)*C77</f>
        <v>21109612.1158961</v>
      </c>
      <c r="E77" s="11" t="n">
        <f aca="false">IF(A77&gt;$A$7,0,MIN(C77,Investor!$B$8*Investor!$B$9*B77*Investor!$B$7))</f>
        <v>4564187.33157043</v>
      </c>
      <c r="F77" s="11" t="n">
        <f aca="false">IF(A77&gt;$A$7,0,IF(A77=$A$7,C77-E77,IF(1=1,(C77-E77)*(1-B77/B76),0)))</f>
        <v>157817444.329169</v>
      </c>
      <c r="G77" s="11" t="n">
        <f aca="false">C77-E77-F77</f>
        <v>0</v>
      </c>
      <c r="H77" s="11" t="n">
        <f aca="false">D77+F77</f>
        <v>178927056.445065</v>
      </c>
    </row>
    <row r="78" customFormat="false" ht="15" hidden="false" customHeight="false" outlineLevel="0" collapsed="false">
      <c r="A78" s="4" t="n">
        <v>8</v>
      </c>
      <c r="B78" s="11" t="n">
        <f aca="false">IF(A78&gt;$A$7,0,IF(A78&lt;=Investor!$B$12,Investor!$B$5,Investor!$B$5*(1-Investor!$B$13)^(A78-Investor!$B$12)))</f>
        <v>0</v>
      </c>
      <c r="C78" s="11" t="n">
        <f aca="false">IF(A78&gt;$A$7,0,G77)</f>
        <v>0</v>
      </c>
      <c r="D78" s="11" t="n">
        <f aca="false">(Investor!$B$11+Investor!$B$10)*C78</f>
        <v>0</v>
      </c>
      <c r="E78" s="11" t="n">
        <f aca="false">IF(A78&gt;$A$7,0,MIN(C78,Investor!$B$8*Investor!$B$9*B78*Investor!$B$7))</f>
        <v>0</v>
      </c>
      <c r="F78" s="11" t="n">
        <f aca="false">IF(A78&gt;$A$7,0,IF(A78=$A$7,C78-E78,IF(1=1,(C78-E78)*(1-B78/B77),0)))</f>
        <v>0</v>
      </c>
      <c r="G78" s="11" t="n">
        <f aca="false">C78-E78-F78</f>
        <v>0</v>
      </c>
      <c r="H78" s="11" t="n">
        <f aca="false">D78+F78</f>
        <v>0</v>
      </c>
    </row>
    <row r="79" customFormat="false" ht="15" hidden="false" customHeight="false" outlineLevel="0" collapsed="false">
      <c r="A79" s="3" t="s">
        <v>26</v>
      </c>
      <c r="D79" s="12" t="n">
        <f aca="false">SUM(D71:D78)</f>
        <v>201476657.419668</v>
      </c>
      <c r="E79" s="12" t="n">
        <f aca="false">SUM(E71:E78)</f>
        <v>41000324.43694</v>
      </c>
      <c r="F79" s="12" t="n">
        <f aca="false">SUM(F71:F78)</f>
        <v>224999675.56306</v>
      </c>
      <c r="G79" s="3" t="s">
        <v>27</v>
      </c>
      <c r="H79" s="13" t="n">
        <f aca="false">IRR(H70:H78,IF(SUM(H70:H78)&gt;=0,0.1,-0.3))</f>
        <v>0.103639835803686</v>
      </c>
    </row>
    <row r="82" customFormat="false" ht="15" hidden="false" customHeight="false" outlineLevel="0" collapsed="false">
      <c r="A82" s="3" t="s">
        <v>93</v>
      </c>
    </row>
    <row r="83" customFormat="false" ht="15" hidden="false" customHeight="false" outlineLevel="0" collapsed="false">
      <c r="A83" s="10" t="s">
        <v>18</v>
      </c>
      <c r="B83" s="10" t="s">
        <v>19</v>
      </c>
      <c r="C83" s="10" t="s">
        <v>20</v>
      </c>
      <c r="D83" s="10" t="s">
        <v>21</v>
      </c>
      <c r="E83" s="10" t="s">
        <v>22</v>
      </c>
      <c r="F83" s="10" t="s">
        <v>23</v>
      </c>
      <c r="G83" s="10" t="s">
        <v>24</v>
      </c>
      <c r="H83" s="10" t="s">
        <v>25</v>
      </c>
    </row>
    <row r="84" customFormat="false" ht="15" hidden="false" customHeight="false" outlineLevel="0" collapsed="false">
      <c r="A84" s="4" t="n">
        <v>0</v>
      </c>
      <c r="B84" s="11" t="n">
        <f aca="false">Investor!$B$5</f>
        <v>4000000000</v>
      </c>
      <c r="H84" s="11" t="n">
        <f aca="false">-C85</f>
        <v>-266000000</v>
      </c>
    </row>
    <row r="85" customFormat="false" ht="15" hidden="false" customHeight="false" outlineLevel="0" collapsed="false">
      <c r="A85" s="4" t="n">
        <v>1</v>
      </c>
      <c r="B85" s="11" t="n">
        <f aca="false">IF(A85&gt;$A$7,0,IF(A85&lt;=Investor!$B$12,Investor!$B$5,Investor!$B$5*(1-Investor!$B$13)^(A85-Investor!$B$12)))</f>
        <v>4000000000</v>
      </c>
      <c r="C85" s="11" t="n">
        <f aca="false">IF(A85&gt;$A$7,0,Investor!$B$6*Investor!$B$5*Investor!$B$7)</f>
        <v>266000000</v>
      </c>
      <c r="D85" s="11" t="n">
        <f aca="false">(Investor!$B$11+Investor!$B$10)*C85</f>
        <v>34580000</v>
      </c>
      <c r="E85" s="11" t="n">
        <f aca="false">IF(A85&gt;$A$7,0,MIN(C85,Investor!$B$8*Investor!$B$9*B85*Investor!$B$7))</f>
        <v>6925072.5</v>
      </c>
      <c r="F85" s="11" t="n">
        <f aca="false">IF(A85&gt;$A$7,0,IF(A85=$A$7,C85-E85,IF(0=1,(C85-E85)*(1-B85/B84),0)))</f>
        <v>0</v>
      </c>
      <c r="G85" s="11" t="n">
        <f aca="false">C85-E85-F85</f>
        <v>259074927.5</v>
      </c>
      <c r="H85" s="11" t="n">
        <f aca="false">D85+F85</f>
        <v>34580000</v>
      </c>
    </row>
    <row r="86" customFormat="false" ht="15" hidden="false" customHeight="false" outlineLevel="0" collapsed="false">
      <c r="A86" s="4" t="n">
        <v>2</v>
      </c>
      <c r="B86" s="11" t="n">
        <f aca="false">IF(A86&gt;$A$7,0,IF(A86&lt;=Investor!$B$12,Investor!$B$5,Investor!$B$5*(1-Investor!$B$13)^(A86-Investor!$B$12)))</f>
        <v>4000000000</v>
      </c>
      <c r="C86" s="11" t="n">
        <f aca="false">IF(A86&gt;$A$7,0,G85)</f>
        <v>259074927.5</v>
      </c>
      <c r="D86" s="11" t="n">
        <f aca="false">(Investor!$B$11+Investor!$B$10)*C86</f>
        <v>33679740.575</v>
      </c>
      <c r="E86" s="11" t="n">
        <f aca="false">IF(A86&gt;$A$7,0,MIN(C86,Investor!$B$8*Investor!$B$9*B86*Investor!$B$7))</f>
        <v>6925072.5</v>
      </c>
      <c r="F86" s="11" t="n">
        <f aca="false">IF(A86&gt;$A$7,0,IF(A86=$A$7,C86-E86,IF(0=1,(C86-E86)*(1-B86/B85),0)))</f>
        <v>0</v>
      </c>
      <c r="G86" s="11" t="n">
        <f aca="false">C86-E86-F86</f>
        <v>252149855</v>
      </c>
      <c r="H86" s="11" t="n">
        <f aca="false">D86+F86</f>
        <v>33679740.575</v>
      </c>
    </row>
    <row r="87" customFormat="false" ht="15" hidden="false" customHeight="false" outlineLevel="0" collapsed="false">
      <c r="A87" s="4" t="n">
        <v>3</v>
      </c>
      <c r="B87" s="11" t="n">
        <f aca="false">IF(A87&gt;$A$7,0,IF(A87&lt;=Investor!$B$12,Investor!$B$5,Investor!$B$5*(1-Investor!$B$13)^(A87-Investor!$B$12)))</f>
        <v>3680000000</v>
      </c>
      <c r="C87" s="11" t="n">
        <f aca="false">IF(A87&gt;$A$7,0,G86)</f>
        <v>252149855</v>
      </c>
      <c r="D87" s="11" t="n">
        <f aca="false">(Investor!$B$11+Investor!$B$10)*C87</f>
        <v>32779481.15</v>
      </c>
      <c r="E87" s="11" t="n">
        <f aca="false">IF(A87&gt;$A$7,0,MIN(C87,Investor!$B$8*Investor!$B$9*B87*Investor!$B$7))</f>
        <v>6371066.7</v>
      </c>
      <c r="F87" s="11" t="n">
        <f aca="false">IF(A87&gt;$A$7,0,IF(A87=$A$7,C87-E87,IF(0=1,(C87-E87)*(1-B87/B86),0)))</f>
        <v>0</v>
      </c>
      <c r="G87" s="11" t="n">
        <f aca="false">C87-E87-F87</f>
        <v>245778788.3</v>
      </c>
      <c r="H87" s="11" t="n">
        <f aca="false">D87+F87</f>
        <v>32779481.15</v>
      </c>
    </row>
    <row r="88" customFormat="false" ht="15" hidden="false" customHeight="false" outlineLevel="0" collapsed="false">
      <c r="A88" s="4" t="n">
        <v>4</v>
      </c>
      <c r="B88" s="11" t="n">
        <f aca="false">IF(A88&gt;$A$7,0,IF(A88&lt;=Investor!$B$12,Investor!$B$5,Investor!$B$5*(1-Investor!$B$13)^(A88-Investor!$B$12)))</f>
        <v>3385600000</v>
      </c>
      <c r="C88" s="11" t="n">
        <f aca="false">IF(A88&gt;$A$7,0,G87)</f>
        <v>245778788.3</v>
      </c>
      <c r="D88" s="11" t="n">
        <f aca="false">(Investor!$B$11+Investor!$B$10)*C88</f>
        <v>31951242.479</v>
      </c>
      <c r="E88" s="11" t="n">
        <f aca="false">IF(A88&gt;$A$7,0,MIN(C88,Investor!$B$8*Investor!$B$9*B88*Investor!$B$7))</f>
        <v>5861381.364</v>
      </c>
      <c r="F88" s="11" t="n">
        <f aca="false">IF(A88&gt;$A$7,0,IF(A88=$A$7,C88-E88,IF(0=1,(C88-E88)*(1-B88/B87),0)))</f>
        <v>0</v>
      </c>
      <c r="G88" s="11" t="n">
        <f aca="false">C88-E88-F88</f>
        <v>239917406.936</v>
      </c>
      <c r="H88" s="11" t="n">
        <f aca="false">D88+F88</f>
        <v>31951242.479</v>
      </c>
    </row>
    <row r="89" customFormat="false" ht="15" hidden="false" customHeight="false" outlineLevel="0" collapsed="false">
      <c r="A89" s="4" t="n">
        <v>5</v>
      </c>
      <c r="B89" s="11" t="n">
        <f aca="false">IF(A89&gt;$A$7,0,IF(A89&lt;=Investor!$B$12,Investor!$B$5,Investor!$B$5*(1-Investor!$B$13)^(A89-Investor!$B$12)))</f>
        <v>3114752000</v>
      </c>
      <c r="C89" s="11" t="n">
        <f aca="false">IF(A89&gt;$A$7,0,G88)</f>
        <v>239917406.936</v>
      </c>
      <c r="D89" s="11" t="n">
        <f aca="false">(Investor!$B$11+Investor!$B$10)*C89</f>
        <v>31189262.90168</v>
      </c>
      <c r="E89" s="11" t="n">
        <f aca="false">IF(A89&gt;$A$7,0,MIN(C89,Investor!$B$8*Investor!$B$9*B89*Investor!$B$7))</f>
        <v>5392470.85488</v>
      </c>
      <c r="F89" s="11" t="n">
        <f aca="false">IF(A89&gt;$A$7,0,IF(A89=$A$7,C89-E89,IF(0=1,(C89-E89)*(1-B89/B88),0)))</f>
        <v>0</v>
      </c>
      <c r="G89" s="11" t="n">
        <f aca="false">C89-E89-F89</f>
        <v>234524936.08112</v>
      </c>
      <c r="H89" s="11" t="n">
        <f aca="false">D89+F89</f>
        <v>31189262.90168</v>
      </c>
    </row>
    <row r="90" customFormat="false" ht="15" hidden="false" customHeight="false" outlineLevel="0" collapsed="false">
      <c r="A90" s="4" t="n">
        <v>6</v>
      </c>
      <c r="B90" s="11" t="n">
        <f aca="false">IF(A90&gt;$A$7,0,IF(A90&lt;=Investor!$B$12,Investor!$B$5,Investor!$B$5*(1-Investor!$B$13)^(A90-Investor!$B$12)))</f>
        <v>2865571840</v>
      </c>
      <c r="C90" s="11" t="n">
        <f aca="false">IF(A90&gt;$A$7,0,G89)</f>
        <v>234524936.08112</v>
      </c>
      <c r="D90" s="11" t="n">
        <f aca="false">(Investor!$B$11+Investor!$B$10)*C90</f>
        <v>30488241.6905456</v>
      </c>
      <c r="E90" s="11" t="n">
        <f aca="false">IF(A90&gt;$A$7,0,MIN(C90,Investor!$B$8*Investor!$B$9*B90*Investor!$B$7))</f>
        <v>4961073.1864896</v>
      </c>
      <c r="F90" s="11" t="n">
        <f aca="false">IF(A90&gt;$A$7,0,IF(A90=$A$7,C90-E90,IF(0=1,(C90-E90)*(1-B90/B89),0)))</f>
        <v>0</v>
      </c>
      <c r="G90" s="11" t="n">
        <f aca="false">C90-E90-F90</f>
        <v>229563862.89463</v>
      </c>
      <c r="H90" s="11" t="n">
        <f aca="false">D90+F90</f>
        <v>30488241.6905456</v>
      </c>
    </row>
    <row r="91" customFormat="false" ht="15" hidden="false" customHeight="false" outlineLevel="0" collapsed="false">
      <c r="A91" s="4" t="n">
        <v>7</v>
      </c>
      <c r="B91" s="11" t="n">
        <f aca="false">IF(A91&gt;$A$7,0,IF(A91&lt;=Investor!$B$12,Investor!$B$5,Investor!$B$5*(1-Investor!$B$13)^(A91-Investor!$B$12)))</f>
        <v>2636326092.8</v>
      </c>
      <c r="C91" s="11" t="n">
        <f aca="false">IF(A91&gt;$A$7,0,G90)</f>
        <v>229563862.89463</v>
      </c>
      <c r="D91" s="11" t="n">
        <f aca="false">(Investor!$B$11+Investor!$B$10)*C91</f>
        <v>29843302.176302</v>
      </c>
      <c r="E91" s="11" t="n">
        <f aca="false">IF(A91&gt;$A$7,0,MIN(C91,Investor!$B$8*Investor!$B$9*B91*Investor!$B$7))</f>
        <v>4564187.33157043</v>
      </c>
      <c r="F91" s="11" t="n">
        <f aca="false">IF(A91&gt;$A$7,0,IF(A91=$A$7,C91-E91,IF(0=1,(C91-E91)*(1-B91/B90),0)))</f>
        <v>224999675.56306</v>
      </c>
      <c r="G91" s="11" t="n">
        <f aca="false">C91-E91-F91</f>
        <v>0</v>
      </c>
      <c r="H91" s="11" t="n">
        <f aca="false">D91+F91</f>
        <v>254842977.739362</v>
      </c>
    </row>
    <row r="92" customFormat="false" ht="15" hidden="false" customHeight="false" outlineLevel="0" collapsed="false">
      <c r="A92" s="4" t="n">
        <v>8</v>
      </c>
      <c r="B92" s="11" t="n">
        <f aca="false">IF(A92&gt;$A$7,0,IF(A92&lt;=Investor!$B$12,Investor!$B$5,Investor!$B$5*(1-Investor!$B$13)^(A92-Investor!$B$12)))</f>
        <v>0</v>
      </c>
      <c r="C92" s="11" t="n">
        <f aca="false">IF(A92&gt;$A$7,0,G91)</f>
        <v>0</v>
      </c>
      <c r="D92" s="11" t="n">
        <f aca="false">(Investor!$B$11+Investor!$B$10)*C92</f>
        <v>0</v>
      </c>
      <c r="E92" s="11" t="n">
        <f aca="false">IF(A92&gt;$A$7,0,MIN(C92,Investor!$B$8*Investor!$B$9*B92*Investor!$B$7))</f>
        <v>0</v>
      </c>
      <c r="F92" s="11" t="n">
        <f aca="false">IF(A92&gt;$A$7,0,IF(A92=$A$7,C92-E92,IF(0=1,(C92-E92)*(1-B92/B91),0)))</f>
        <v>0</v>
      </c>
      <c r="G92" s="11" t="n">
        <f aca="false">C92-E92-F92</f>
        <v>0</v>
      </c>
      <c r="H92" s="11" t="n">
        <f aca="false">D92+F92</f>
        <v>0</v>
      </c>
    </row>
    <row r="93" customFormat="false" ht="15" hidden="false" customHeight="false" outlineLevel="0" collapsed="false">
      <c r="A93" s="3" t="s">
        <v>26</v>
      </c>
      <c r="D93" s="12" t="n">
        <f aca="false">SUM(D85:D92)</f>
        <v>224511270.972528</v>
      </c>
      <c r="E93" s="12" t="n">
        <f aca="false">SUM(E85:E92)</f>
        <v>41000324.43694</v>
      </c>
      <c r="F93" s="12" t="n">
        <f aca="false">SUM(F85:F92)</f>
        <v>224999675.56306</v>
      </c>
      <c r="G93" s="3" t="s">
        <v>27</v>
      </c>
      <c r="H93" s="13" t="n">
        <f aca="false">IRR(H84:H92,IF(SUM(H84:H92)&gt;=0,0.1,-0.3))</f>
        <v>0.105810691321742</v>
      </c>
    </row>
    <row r="96" customFormat="false" ht="15" hidden="false" customHeight="false" outlineLevel="0" collapsed="false">
      <c r="A96" s="3" t="s">
        <v>94</v>
      </c>
    </row>
    <row r="97" customFormat="false" ht="15" hidden="false" customHeight="false" outlineLevel="0" collapsed="false">
      <c r="A97" s="10" t="s">
        <v>18</v>
      </c>
      <c r="B97" s="10" t="s">
        <v>19</v>
      </c>
      <c r="C97" s="10" t="s">
        <v>20</v>
      </c>
      <c r="D97" s="10" t="s">
        <v>21</v>
      </c>
      <c r="E97" s="10" t="s">
        <v>22</v>
      </c>
      <c r="F97" s="10" t="s">
        <v>23</v>
      </c>
      <c r="G97" s="10" t="s">
        <v>24</v>
      </c>
      <c r="H97" s="10" t="s">
        <v>25</v>
      </c>
    </row>
    <row r="98" customFormat="false" ht="15" hidden="false" customHeight="false" outlineLevel="0" collapsed="false">
      <c r="A98" s="4" t="n">
        <v>0</v>
      </c>
      <c r="B98" s="11" t="n">
        <f aca="false">Investor!$B$5</f>
        <v>4000000000</v>
      </c>
      <c r="H98" s="11" t="n">
        <f aca="false">-C99</f>
        <v>-266000000</v>
      </c>
    </row>
    <row r="99" customFormat="false" ht="15" hidden="false" customHeight="false" outlineLevel="0" collapsed="false">
      <c r="A99" s="4" t="n">
        <v>1</v>
      </c>
      <c r="B99" s="11" t="n">
        <f aca="false">IF(A99&gt;$A$8,0,IF(A99&lt;=Investor!$B$12,Investor!$B$5,Investor!$B$5*(1-Investor!$B$13)^(A99-Investor!$B$12)))</f>
        <v>4000000000</v>
      </c>
      <c r="C99" s="11" t="n">
        <f aca="false">IF(A99&gt;$A$8,0,Investor!$B$6*Investor!$B$5*Investor!$B$7)</f>
        <v>266000000</v>
      </c>
      <c r="D99" s="11" t="n">
        <f aca="false">(Investor!$B$11+Investor!$B$10)*C99</f>
        <v>34580000</v>
      </c>
      <c r="E99" s="11" t="n">
        <f aca="false">IF(A99&gt;$A$8,0,MIN(C99,Investor!$B$8*Investor!$B$9*B99*Investor!$B$7))</f>
        <v>6925072.5</v>
      </c>
      <c r="F99" s="11" t="n">
        <f aca="false">IF(A99&gt;$A$8,0,IF(A99=$A$8,C99-E99,IF(1=1,(C99-E99)*(1-B99/B98),0)))</f>
        <v>0</v>
      </c>
      <c r="G99" s="11" t="n">
        <f aca="false">C99-E99-F99</f>
        <v>259074927.5</v>
      </c>
      <c r="H99" s="11" t="n">
        <f aca="false">D99+F99</f>
        <v>34580000</v>
      </c>
    </row>
    <row r="100" customFormat="false" ht="15" hidden="false" customHeight="false" outlineLevel="0" collapsed="false">
      <c r="A100" s="4" t="n">
        <v>2</v>
      </c>
      <c r="B100" s="11" t="n">
        <f aca="false">IF(A100&gt;$A$8,0,IF(A100&lt;=Investor!$B$12,Investor!$B$5,Investor!$B$5*(1-Investor!$B$13)^(A100-Investor!$B$12)))</f>
        <v>4000000000</v>
      </c>
      <c r="C100" s="11" t="n">
        <f aca="false">IF(A100&gt;$A$8,0,G99)</f>
        <v>259074927.5</v>
      </c>
      <c r="D100" s="11" t="n">
        <f aca="false">(Investor!$B$11+Investor!$B$10)*C100</f>
        <v>33679740.575</v>
      </c>
      <c r="E100" s="11" t="n">
        <f aca="false">IF(A100&gt;$A$8,0,MIN(C100,Investor!$B$8*Investor!$B$9*B100*Investor!$B$7))</f>
        <v>6925072.5</v>
      </c>
      <c r="F100" s="11" t="n">
        <f aca="false">IF(A100&gt;$A$8,0,IF(A100=$A$8,C100-E100,IF(1=1,(C100-E100)*(1-B100/B99),0)))</f>
        <v>0</v>
      </c>
      <c r="G100" s="11" t="n">
        <f aca="false">C100-E100-F100</f>
        <v>252149855</v>
      </c>
      <c r="H100" s="11" t="n">
        <f aca="false">D100+F100</f>
        <v>33679740.575</v>
      </c>
    </row>
    <row r="101" customFormat="false" ht="15" hidden="false" customHeight="false" outlineLevel="0" collapsed="false">
      <c r="A101" s="4" t="n">
        <v>3</v>
      </c>
      <c r="B101" s="11" t="n">
        <f aca="false">IF(A101&gt;$A$8,0,IF(A101&lt;=Investor!$B$12,Investor!$B$5,Investor!$B$5*(1-Investor!$B$13)^(A101-Investor!$B$12)))</f>
        <v>3680000000</v>
      </c>
      <c r="C101" s="11" t="n">
        <f aca="false">IF(A101&gt;$A$8,0,G100)</f>
        <v>252149855</v>
      </c>
      <c r="D101" s="11" t="n">
        <f aca="false">(Investor!$B$11+Investor!$B$10)*C101</f>
        <v>32779481.15</v>
      </c>
      <c r="E101" s="11" t="n">
        <f aca="false">IF(A101&gt;$A$8,0,MIN(C101,Investor!$B$8*Investor!$B$9*B101*Investor!$B$7))</f>
        <v>6371066.7</v>
      </c>
      <c r="F101" s="11" t="n">
        <f aca="false">IF(A101&gt;$A$8,0,IF(A101=$A$8,C101-E101,IF(1=1,(C101-E101)*(1-B101/B100),0)))</f>
        <v>19662303.064</v>
      </c>
      <c r="G101" s="11" t="n">
        <f aca="false">C101-E101-F101</f>
        <v>226116485.236</v>
      </c>
      <c r="H101" s="11" t="n">
        <f aca="false">D101+F101</f>
        <v>52441784.214</v>
      </c>
    </row>
    <row r="102" customFormat="false" ht="15" hidden="false" customHeight="false" outlineLevel="0" collapsed="false">
      <c r="A102" s="4" t="n">
        <v>4</v>
      </c>
      <c r="B102" s="11" t="n">
        <f aca="false">IF(A102&gt;$A$8,0,IF(A102&lt;=Investor!$B$12,Investor!$B$5,Investor!$B$5*(1-Investor!$B$13)^(A102-Investor!$B$12)))</f>
        <v>3385600000</v>
      </c>
      <c r="C102" s="11" t="n">
        <f aca="false">IF(A102&gt;$A$8,0,G101)</f>
        <v>226116485.236</v>
      </c>
      <c r="D102" s="11" t="n">
        <f aca="false">(Investor!$B$11+Investor!$B$10)*C102</f>
        <v>29395143.08068</v>
      </c>
      <c r="E102" s="11" t="n">
        <f aca="false">IF(A102&gt;$A$8,0,MIN(C102,Investor!$B$8*Investor!$B$9*B102*Investor!$B$7))</f>
        <v>5861381.364</v>
      </c>
      <c r="F102" s="11" t="n">
        <f aca="false">IF(A102&gt;$A$8,0,IF(A102=$A$8,C102-E102,IF(1=1,(C102-E102)*(1-B102/B101),0)))</f>
        <v>17620408.30976</v>
      </c>
      <c r="G102" s="11" t="n">
        <f aca="false">C102-E102-F102</f>
        <v>202634695.56224</v>
      </c>
      <c r="H102" s="11" t="n">
        <f aca="false">D102+F102</f>
        <v>47015551.39044</v>
      </c>
    </row>
    <row r="103" customFormat="false" ht="15" hidden="false" customHeight="false" outlineLevel="0" collapsed="false">
      <c r="A103" s="4" t="n">
        <v>5</v>
      </c>
      <c r="B103" s="11" t="n">
        <f aca="false">IF(A103&gt;$A$8,0,IF(A103&lt;=Investor!$B$12,Investor!$B$5,Investor!$B$5*(1-Investor!$B$13)^(A103-Investor!$B$12)))</f>
        <v>3114752000</v>
      </c>
      <c r="C103" s="11" t="n">
        <f aca="false">IF(A103&gt;$A$8,0,G102)</f>
        <v>202634695.56224</v>
      </c>
      <c r="D103" s="11" t="n">
        <f aca="false">(Investor!$B$11+Investor!$B$10)*C103</f>
        <v>26342510.4230912</v>
      </c>
      <c r="E103" s="11" t="n">
        <f aca="false">IF(A103&gt;$A$8,0,MIN(C103,Investor!$B$8*Investor!$B$9*B103*Investor!$B$7))</f>
        <v>5392470.85488</v>
      </c>
      <c r="F103" s="11" t="n">
        <f aca="false">IF(A103&gt;$A$8,0,IF(A103=$A$8,C103-E103,IF(1=1,(C103-E103)*(1-B103/B102),0)))</f>
        <v>15779377.9765888</v>
      </c>
      <c r="G103" s="11" t="n">
        <f aca="false">C103-E103-F103</f>
        <v>181462846.730771</v>
      </c>
      <c r="H103" s="11" t="n">
        <f aca="false">D103+F103</f>
        <v>42121888.39968</v>
      </c>
    </row>
    <row r="104" customFormat="false" ht="15" hidden="false" customHeight="false" outlineLevel="0" collapsed="false">
      <c r="A104" s="4" t="n">
        <v>6</v>
      </c>
      <c r="B104" s="11" t="n">
        <f aca="false">IF(A104&gt;$A$8,0,IF(A104&lt;=Investor!$B$12,Investor!$B$5,Investor!$B$5*(1-Investor!$B$13)^(A104-Investor!$B$12)))</f>
        <v>2865571840</v>
      </c>
      <c r="C104" s="11" t="n">
        <f aca="false">IF(A104&gt;$A$8,0,G103)</f>
        <v>181462846.730771</v>
      </c>
      <c r="D104" s="11" t="n">
        <f aca="false">(Investor!$B$11+Investor!$B$10)*C104</f>
        <v>23590170.0750003</v>
      </c>
      <c r="E104" s="11" t="n">
        <f aca="false">IF(A104&gt;$A$8,0,MIN(C104,Investor!$B$8*Investor!$B$9*B104*Investor!$B$7))</f>
        <v>4961073.1864896</v>
      </c>
      <c r="F104" s="11" t="n">
        <f aca="false">IF(A104&gt;$A$8,0,IF(A104=$A$8,C104-E104,IF(1=1,(C104-E104)*(1-B104/B103),0)))</f>
        <v>14120141.8835425</v>
      </c>
      <c r="G104" s="11" t="n">
        <f aca="false">C104-E104-F104</f>
        <v>162381631.660739</v>
      </c>
      <c r="H104" s="11" t="n">
        <f aca="false">D104+F104</f>
        <v>37710311.9585428</v>
      </c>
    </row>
    <row r="105" customFormat="false" ht="15" hidden="false" customHeight="false" outlineLevel="0" collapsed="false">
      <c r="A105" s="4" t="n">
        <v>7</v>
      </c>
      <c r="B105" s="11" t="n">
        <f aca="false">IF(A105&gt;$A$8,0,IF(A105&lt;=Investor!$B$12,Investor!$B$5,Investor!$B$5*(1-Investor!$B$13)^(A105-Investor!$B$12)))</f>
        <v>2636326092.8</v>
      </c>
      <c r="C105" s="11" t="n">
        <f aca="false">IF(A105&gt;$A$8,0,G104)</f>
        <v>162381631.660739</v>
      </c>
      <c r="D105" s="11" t="n">
        <f aca="false">(Investor!$B$11+Investor!$B$10)*C105</f>
        <v>21109612.1158961</v>
      </c>
      <c r="E105" s="11" t="n">
        <f aca="false">IF(A105&gt;$A$8,0,MIN(C105,Investor!$B$8*Investor!$B$9*B105*Investor!$B$7))</f>
        <v>4564187.33157043</v>
      </c>
      <c r="F105" s="11" t="n">
        <f aca="false">IF(A105&gt;$A$8,0,IF(A105=$A$8,C105-E105,IF(1=1,(C105-E105)*(1-B105/B104),0)))</f>
        <v>12625395.5463335</v>
      </c>
      <c r="G105" s="11" t="n">
        <f aca="false">C105-E105-F105</f>
        <v>145192048.782835</v>
      </c>
      <c r="H105" s="11" t="n">
        <f aca="false">D105+F105</f>
        <v>33735007.6622296</v>
      </c>
    </row>
    <row r="106" customFormat="false" ht="15" hidden="false" customHeight="false" outlineLevel="0" collapsed="false">
      <c r="A106" s="4" t="n">
        <v>8</v>
      </c>
      <c r="B106" s="11" t="n">
        <f aca="false">IF(A106&gt;$A$8,0,IF(A106&lt;=Investor!$B$12,Investor!$B$5,Investor!$B$5*(1-Investor!$B$13)^(A106-Investor!$B$12)))</f>
        <v>2425420005.376</v>
      </c>
      <c r="C106" s="11" t="n">
        <f aca="false">IF(A106&gt;$A$8,0,G105)</f>
        <v>145192048.782835</v>
      </c>
      <c r="D106" s="11" t="n">
        <f aca="false">(Investor!$B$11+Investor!$B$10)*C106</f>
        <v>18874966.3417686</v>
      </c>
      <c r="E106" s="11" t="n">
        <f aca="false">IF(A106&gt;$A$8,0,MIN(C106,Investor!$B$8*Investor!$B$9*B106*Investor!$B$7))</f>
        <v>4199052.3450448</v>
      </c>
      <c r="F106" s="11" t="n">
        <f aca="false">IF(A106&gt;$A$8,0,IF(A106=$A$8,C106-E106,IF(1=1,(C106-E106)*(1-B106/B105),0)))</f>
        <v>140992996.43779</v>
      </c>
      <c r="G106" s="11" t="n">
        <f aca="false">C106-E106-F106</f>
        <v>0</v>
      </c>
      <c r="H106" s="11" t="n">
        <f aca="false">D106+F106</f>
        <v>159867962.779559</v>
      </c>
    </row>
    <row r="107" customFormat="false" ht="15" hidden="false" customHeight="false" outlineLevel="0" collapsed="false">
      <c r="A107" s="3" t="s">
        <v>26</v>
      </c>
      <c r="D107" s="12" t="n">
        <f aca="false">SUM(D99:D106)</f>
        <v>220351623.761436</v>
      </c>
      <c r="E107" s="12" t="n">
        <f aca="false">SUM(E99:E106)</f>
        <v>45199376.7819848</v>
      </c>
      <c r="F107" s="12" t="n">
        <f aca="false">SUM(F99:F106)</f>
        <v>220800623.218015</v>
      </c>
      <c r="G107" s="3" t="s">
        <v>27</v>
      </c>
      <c r="H107" s="13" t="n">
        <f aca="false">IRR(H98:H106,IF(SUM(H98:H106)&gt;=0,0.1,-0.3))</f>
        <v>0.103494694645518</v>
      </c>
    </row>
    <row r="110" customFormat="false" ht="15" hidden="false" customHeight="false" outlineLevel="0" collapsed="false">
      <c r="A110" s="3" t="s">
        <v>95</v>
      </c>
    </row>
    <row r="111" customFormat="false" ht="15" hidden="false" customHeight="false" outlineLevel="0" collapsed="false">
      <c r="A111" s="10" t="s">
        <v>18</v>
      </c>
      <c r="B111" s="10" t="s">
        <v>19</v>
      </c>
      <c r="C111" s="10" t="s">
        <v>20</v>
      </c>
      <c r="D111" s="10" t="s">
        <v>21</v>
      </c>
      <c r="E111" s="10" t="s">
        <v>22</v>
      </c>
      <c r="F111" s="10" t="s">
        <v>23</v>
      </c>
      <c r="G111" s="10" t="s">
        <v>24</v>
      </c>
      <c r="H111" s="10" t="s">
        <v>25</v>
      </c>
    </row>
    <row r="112" customFormat="false" ht="15" hidden="false" customHeight="false" outlineLevel="0" collapsed="false">
      <c r="A112" s="4" t="n">
        <v>0</v>
      </c>
      <c r="B112" s="11" t="n">
        <f aca="false">Investor!$B$5</f>
        <v>4000000000</v>
      </c>
      <c r="H112" s="11" t="n">
        <f aca="false">-C113</f>
        <v>-266000000</v>
      </c>
    </row>
    <row r="113" customFormat="false" ht="15" hidden="false" customHeight="false" outlineLevel="0" collapsed="false">
      <c r="A113" s="4" t="n">
        <v>1</v>
      </c>
      <c r="B113" s="11" t="n">
        <f aca="false">IF(A113&gt;$A$8,0,IF(A113&lt;=Investor!$B$12,Investor!$B$5,Investor!$B$5*(1-Investor!$B$13)^(A113-Investor!$B$12)))</f>
        <v>4000000000</v>
      </c>
      <c r="C113" s="11" t="n">
        <f aca="false">IF(A113&gt;$A$8,0,Investor!$B$6*Investor!$B$5*Investor!$B$7)</f>
        <v>266000000</v>
      </c>
      <c r="D113" s="11" t="n">
        <f aca="false">(Investor!$B$11+Investor!$B$10)*C113</f>
        <v>34580000</v>
      </c>
      <c r="E113" s="11" t="n">
        <f aca="false">IF(A113&gt;$A$8,0,MIN(C113,Investor!$B$8*Investor!$B$9*B113*Investor!$B$7))</f>
        <v>6925072.5</v>
      </c>
      <c r="F113" s="11" t="n">
        <f aca="false">IF(A113&gt;$A$8,0,IF(A113=$A$8,C113-E113,IF(0=1,(C113-E113)*(1-B113/B112),0)))</f>
        <v>0</v>
      </c>
      <c r="G113" s="11" t="n">
        <f aca="false">C113-E113-F113</f>
        <v>259074927.5</v>
      </c>
      <c r="H113" s="11" t="n">
        <f aca="false">D113+F113</f>
        <v>34580000</v>
      </c>
    </row>
    <row r="114" customFormat="false" ht="15" hidden="false" customHeight="false" outlineLevel="0" collapsed="false">
      <c r="A114" s="4" t="n">
        <v>2</v>
      </c>
      <c r="B114" s="11" t="n">
        <f aca="false">IF(A114&gt;$A$8,0,IF(A114&lt;=Investor!$B$12,Investor!$B$5,Investor!$B$5*(1-Investor!$B$13)^(A114-Investor!$B$12)))</f>
        <v>4000000000</v>
      </c>
      <c r="C114" s="11" t="n">
        <f aca="false">IF(A114&gt;$A$8,0,G113)</f>
        <v>259074927.5</v>
      </c>
      <c r="D114" s="11" t="n">
        <f aca="false">(Investor!$B$11+Investor!$B$10)*C114</f>
        <v>33679740.575</v>
      </c>
      <c r="E114" s="11" t="n">
        <f aca="false">IF(A114&gt;$A$8,0,MIN(C114,Investor!$B$8*Investor!$B$9*B114*Investor!$B$7))</f>
        <v>6925072.5</v>
      </c>
      <c r="F114" s="11" t="n">
        <f aca="false">IF(A114&gt;$A$8,0,IF(A114=$A$8,C114-E114,IF(0=1,(C114-E114)*(1-B114/B113),0)))</f>
        <v>0</v>
      </c>
      <c r="G114" s="11" t="n">
        <f aca="false">C114-E114-F114</f>
        <v>252149855</v>
      </c>
      <c r="H114" s="11" t="n">
        <f aca="false">D114+F114</f>
        <v>33679740.575</v>
      </c>
    </row>
    <row r="115" customFormat="false" ht="15" hidden="false" customHeight="false" outlineLevel="0" collapsed="false">
      <c r="A115" s="4" t="n">
        <v>3</v>
      </c>
      <c r="B115" s="11" t="n">
        <f aca="false">IF(A115&gt;$A$8,0,IF(A115&lt;=Investor!$B$12,Investor!$B$5,Investor!$B$5*(1-Investor!$B$13)^(A115-Investor!$B$12)))</f>
        <v>3680000000</v>
      </c>
      <c r="C115" s="11" t="n">
        <f aca="false">IF(A115&gt;$A$8,0,G114)</f>
        <v>252149855</v>
      </c>
      <c r="D115" s="11" t="n">
        <f aca="false">(Investor!$B$11+Investor!$B$10)*C115</f>
        <v>32779481.15</v>
      </c>
      <c r="E115" s="11" t="n">
        <f aca="false">IF(A115&gt;$A$8,0,MIN(C115,Investor!$B$8*Investor!$B$9*B115*Investor!$B$7))</f>
        <v>6371066.7</v>
      </c>
      <c r="F115" s="11" t="n">
        <f aca="false">IF(A115&gt;$A$8,0,IF(A115=$A$8,C115-E115,IF(0=1,(C115-E115)*(1-B115/B114),0)))</f>
        <v>0</v>
      </c>
      <c r="G115" s="11" t="n">
        <f aca="false">C115-E115-F115</f>
        <v>245778788.3</v>
      </c>
      <c r="H115" s="11" t="n">
        <f aca="false">D115+F115</f>
        <v>32779481.15</v>
      </c>
    </row>
    <row r="116" customFormat="false" ht="15" hidden="false" customHeight="false" outlineLevel="0" collapsed="false">
      <c r="A116" s="4" t="n">
        <v>4</v>
      </c>
      <c r="B116" s="11" t="n">
        <f aca="false">IF(A116&gt;$A$8,0,IF(A116&lt;=Investor!$B$12,Investor!$B$5,Investor!$B$5*(1-Investor!$B$13)^(A116-Investor!$B$12)))</f>
        <v>3385600000</v>
      </c>
      <c r="C116" s="11" t="n">
        <f aca="false">IF(A116&gt;$A$8,0,G115)</f>
        <v>245778788.3</v>
      </c>
      <c r="D116" s="11" t="n">
        <f aca="false">(Investor!$B$11+Investor!$B$10)*C116</f>
        <v>31951242.479</v>
      </c>
      <c r="E116" s="11" t="n">
        <f aca="false">IF(A116&gt;$A$8,0,MIN(C116,Investor!$B$8*Investor!$B$9*B116*Investor!$B$7))</f>
        <v>5861381.364</v>
      </c>
      <c r="F116" s="11" t="n">
        <f aca="false">IF(A116&gt;$A$8,0,IF(A116=$A$8,C116-E116,IF(0=1,(C116-E116)*(1-B116/B115),0)))</f>
        <v>0</v>
      </c>
      <c r="G116" s="11" t="n">
        <f aca="false">C116-E116-F116</f>
        <v>239917406.936</v>
      </c>
      <c r="H116" s="11" t="n">
        <f aca="false">D116+F116</f>
        <v>31951242.479</v>
      </c>
    </row>
    <row r="117" customFormat="false" ht="15" hidden="false" customHeight="false" outlineLevel="0" collapsed="false">
      <c r="A117" s="4" t="n">
        <v>5</v>
      </c>
      <c r="B117" s="11" t="n">
        <f aca="false">IF(A117&gt;$A$8,0,IF(A117&lt;=Investor!$B$12,Investor!$B$5,Investor!$B$5*(1-Investor!$B$13)^(A117-Investor!$B$12)))</f>
        <v>3114752000</v>
      </c>
      <c r="C117" s="11" t="n">
        <f aca="false">IF(A117&gt;$A$8,0,G116)</f>
        <v>239917406.936</v>
      </c>
      <c r="D117" s="11" t="n">
        <f aca="false">(Investor!$B$11+Investor!$B$10)*C117</f>
        <v>31189262.90168</v>
      </c>
      <c r="E117" s="11" t="n">
        <f aca="false">IF(A117&gt;$A$8,0,MIN(C117,Investor!$B$8*Investor!$B$9*B117*Investor!$B$7))</f>
        <v>5392470.85488</v>
      </c>
      <c r="F117" s="11" t="n">
        <f aca="false">IF(A117&gt;$A$8,0,IF(A117=$A$8,C117-E117,IF(0=1,(C117-E117)*(1-B117/B116),0)))</f>
        <v>0</v>
      </c>
      <c r="G117" s="11" t="n">
        <f aca="false">C117-E117-F117</f>
        <v>234524936.08112</v>
      </c>
      <c r="H117" s="11" t="n">
        <f aca="false">D117+F117</f>
        <v>31189262.90168</v>
      </c>
    </row>
    <row r="118" customFormat="false" ht="15" hidden="false" customHeight="false" outlineLevel="0" collapsed="false">
      <c r="A118" s="4" t="n">
        <v>6</v>
      </c>
      <c r="B118" s="11" t="n">
        <f aca="false">IF(A118&gt;$A$8,0,IF(A118&lt;=Investor!$B$12,Investor!$B$5,Investor!$B$5*(1-Investor!$B$13)^(A118-Investor!$B$12)))</f>
        <v>2865571840</v>
      </c>
      <c r="C118" s="11" t="n">
        <f aca="false">IF(A118&gt;$A$8,0,G117)</f>
        <v>234524936.08112</v>
      </c>
      <c r="D118" s="11" t="n">
        <f aca="false">(Investor!$B$11+Investor!$B$10)*C118</f>
        <v>30488241.6905456</v>
      </c>
      <c r="E118" s="11" t="n">
        <f aca="false">IF(A118&gt;$A$8,0,MIN(C118,Investor!$B$8*Investor!$B$9*B118*Investor!$B$7))</f>
        <v>4961073.1864896</v>
      </c>
      <c r="F118" s="11" t="n">
        <f aca="false">IF(A118&gt;$A$8,0,IF(A118=$A$8,C118-E118,IF(0=1,(C118-E118)*(1-B118/B117),0)))</f>
        <v>0</v>
      </c>
      <c r="G118" s="11" t="n">
        <f aca="false">C118-E118-F118</f>
        <v>229563862.89463</v>
      </c>
      <c r="H118" s="11" t="n">
        <f aca="false">D118+F118</f>
        <v>30488241.6905456</v>
      </c>
    </row>
    <row r="119" customFormat="false" ht="15" hidden="false" customHeight="false" outlineLevel="0" collapsed="false">
      <c r="A119" s="4" t="n">
        <v>7</v>
      </c>
      <c r="B119" s="11" t="n">
        <f aca="false">IF(A119&gt;$A$8,0,IF(A119&lt;=Investor!$B$12,Investor!$B$5,Investor!$B$5*(1-Investor!$B$13)^(A119-Investor!$B$12)))</f>
        <v>2636326092.8</v>
      </c>
      <c r="C119" s="11" t="n">
        <f aca="false">IF(A119&gt;$A$8,0,G118)</f>
        <v>229563862.89463</v>
      </c>
      <c r="D119" s="11" t="n">
        <f aca="false">(Investor!$B$11+Investor!$B$10)*C119</f>
        <v>29843302.176302</v>
      </c>
      <c r="E119" s="11" t="n">
        <f aca="false">IF(A119&gt;$A$8,0,MIN(C119,Investor!$B$8*Investor!$B$9*B119*Investor!$B$7))</f>
        <v>4564187.33157043</v>
      </c>
      <c r="F119" s="11" t="n">
        <f aca="false">IF(A119&gt;$A$8,0,IF(A119=$A$8,C119-E119,IF(0=1,(C119-E119)*(1-B119/B118),0)))</f>
        <v>0</v>
      </c>
      <c r="G119" s="11" t="n">
        <f aca="false">C119-E119-F119</f>
        <v>224999675.56306</v>
      </c>
      <c r="H119" s="11" t="n">
        <f aca="false">D119+F119</f>
        <v>29843302.176302</v>
      </c>
    </row>
    <row r="120" customFormat="false" ht="15" hidden="false" customHeight="false" outlineLevel="0" collapsed="false">
      <c r="A120" s="4" t="n">
        <v>8</v>
      </c>
      <c r="B120" s="11" t="n">
        <f aca="false">IF(A120&gt;$A$8,0,IF(A120&lt;=Investor!$B$12,Investor!$B$5,Investor!$B$5*(1-Investor!$B$13)^(A120-Investor!$B$12)))</f>
        <v>2425420005.376</v>
      </c>
      <c r="C120" s="11" t="n">
        <f aca="false">IF(A120&gt;$A$8,0,G119)</f>
        <v>224999675.56306</v>
      </c>
      <c r="D120" s="11" t="n">
        <f aca="false">(Investor!$B$11+Investor!$B$10)*C120</f>
        <v>29249957.8231978</v>
      </c>
      <c r="E120" s="11" t="n">
        <f aca="false">IF(A120&gt;$A$8,0,MIN(C120,Investor!$B$8*Investor!$B$9*B120*Investor!$B$7))</f>
        <v>4199052.3450448</v>
      </c>
      <c r="F120" s="11" t="n">
        <f aca="false">IF(A120&gt;$A$8,0,IF(A120=$A$8,C120-E120,IF(0=1,(C120-E120)*(1-B120/B119),0)))</f>
        <v>220800623.218015</v>
      </c>
      <c r="G120" s="11" t="n">
        <f aca="false">C120-E120-F120</f>
        <v>0</v>
      </c>
      <c r="H120" s="11" t="n">
        <f aca="false">D120+F120</f>
        <v>250050581.041213</v>
      </c>
    </row>
    <row r="121" customFormat="false" ht="15" hidden="false" customHeight="false" outlineLevel="0" collapsed="false">
      <c r="A121" s="3" t="s">
        <v>26</v>
      </c>
      <c r="D121" s="12" t="n">
        <f aca="false">SUM(D113:D120)</f>
        <v>253761228.795725</v>
      </c>
      <c r="E121" s="12" t="n">
        <f aca="false">SUM(E113:E120)</f>
        <v>45199376.7819848</v>
      </c>
      <c r="F121" s="12" t="n">
        <f aca="false">SUM(F113:F120)</f>
        <v>220800623.218015</v>
      </c>
      <c r="G121" s="3" t="s">
        <v>27</v>
      </c>
      <c r="H121" s="13" t="n">
        <f aca="false">IRR(H112:H120,IF(SUM(H112:H120)&gt;=0,0.1,-0.3))</f>
        <v>0.106239347859971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4" customFormat="false" ht="15" hidden="false" customHeight="false" outlineLevel="0" collapsed="false">
      <c r="A4" s="10" t="s">
        <v>98</v>
      </c>
      <c r="B4" s="10" t="s">
        <v>99</v>
      </c>
      <c r="C4" s="10" t="s">
        <v>100</v>
      </c>
      <c r="D4" s="10" t="s">
        <v>101</v>
      </c>
      <c r="E4" s="10" t="s">
        <v>102</v>
      </c>
      <c r="F4" s="10" t="s">
        <v>103</v>
      </c>
    </row>
    <row r="5" customFormat="false" ht="15" hidden="false" customHeight="false" outlineLevel="0" collapsed="false">
      <c r="A5" s="22" t="s">
        <v>104</v>
      </c>
      <c r="B5" s="11" t="n">
        <f aca="false">Investor!D31</f>
        <v>156776875.228771</v>
      </c>
      <c r="C5" s="23" t="n">
        <v>156776875.228771</v>
      </c>
      <c r="D5" s="11" t="n">
        <f aca="false">B5-C5</f>
        <v>0</v>
      </c>
      <c r="E5" s="3" t="str">
        <f aca="false">IF(ISNUMBER(B5),IF(ABS(D5)&lt;=ABS(C5)*0.0001+0.000001,"OK","CHECK"),"CHECK")</f>
        <v>OK</v>
      </c>
      <c r="F5" s="24" t="s">
        <v>105</v>
      </c>
    </row>
    <row r="6" customFormat="false" ht="15" hidden="false" customHeight="false" outlineLevel="0" collapsed="false">
      <c r="A6" s="22" t="s">
        <v>22</v>
      </c>
      <c r="B6" s="11" t="n">
        <f aca="false">Investor!E31</f>
        <v>31475063.91888</v>
      </c>
      <c r="C6" s="23" t="n">
        <v>31475063.91888</v>
      </c>
      <c r="D6" s="11" t="n">
        <f aca="false">B6-C6</f>
        <v>0</v>
      </c>
      <c r="E6" s="3" t="str">
        <f aca="false">IF(ISNUMBER(B6),IF(ABS(D6)&lt;=ABS(C6)*0.0001+0.000001,"OK","CHECK"),"CHECK")</f>
        <v>OK</v>
      </c>
      <c r="F6" s="24" t="s">
        <v>105</v>
      </c>
    </row>
    <row r="7" customFormat="false" ht="15" hidden="false" customHeight="false" outlineLevel="0" collapsed="false">
      <c r="A7" s="22" t="s">
        <v>23</v>
      </c>
      <c r="B7" s="11" t="n">
        <f aca="false">Investor!F31</f>
        <v>234524936.08112</v>
      </c>
      <c r="C7" s="23" t="n">
        <v>234524936.08112</v>
      </c>
      <c r="D7" s="11" t="n">
        <f aca="false">B7-C7</f>
        <v>0</v>
      </c>
      <c r="E7" s="3" t="str">
        <f aca="false">IF(ISNUMBER(B7),IF(ABS(D7)&lt;=ABS(C7)*0.0001+0.000001,"OK","CHECK"),"CHECK")</f>
        <v>OK</v>
      </c>
      <c r="F7" s="24" t="s">
        <v>105</v>
      </c>
    </row>
    <row r="8" customFormat="false" ht="15" hidden="false" customHeight="false" outlineLevel="0" collapsed="false">
      <c r="A8" s="22" t="s">
        <v>106</v>
      </c>
      <c r="B8" s="11" t="n">
        <f aca="false">Investor!B35</f>
        <v>266000000</v>
      </c>
      <c r="C8" s="23" t="n">
        <v>266000000</v>
      </c>
      <c r="D8" s="11" t="n">
        <f aca="false">B8-C8</f>
        <v>0</v>
      </c>
      <c r="E8" s="3" t="str">
        <f aca="false">IF(ISNUMBER(B8),IF(ABS(D8)&lt;=ABS(C8)*0.0001+0.000001,"OK","CHECK"),"CHECK")</f>
        <v>OK</v>
      </c>
    </row>
    <row r="9" customFormat="false" ht="15" hidden="false" customHeight="false" outlineLevel="0" collapsed="false">
      <c r="A9" s="22" t="s">
        <v>31</v>
      </c>
      <c r="B9" s="14" t="n">
        <f aca="false">Investor!B36</f>
        <v>0.103902104467538</v>
      </c>
      <c r="C9" s="25" t="n">
        <v>0.103902104467538</v>
      </c>
      <c r="D9" s="14" t="n">
        <f aca="false">B9-C9</f>
        <v>0</v>
      </c>
      <c r="E9" s="3" t="str">
        <f aca="false">IF(ISNUMBER(B9),IF(ABS(D9)&lt;=ABS(C9)*0.0001+0.000001,"OK","CHECK"),"CHECK")</f>
        <v>OK</v>
      </c>
      <c r="F9" s="24" t="s">
        <v>105</v>
      </c>
    </row>
    <row r="10" customFormat="false" ht="15" hidden="false" customHeight="false" outlineLevel="0" collapsed="false">
      <c r="A10" s="22" t="s">
        <v>107</v>
      </c>
      <c r="B10" s="14" t="n">
        <f aca="false">Investor!B37</f>
        <v>0.166005261168845</v>
      </c>
      <c r="C10" s="25" t="n">
        <v>0.166005261168845</v>
      </c>
      <c r="D10" s="14" t="n">
        <f aca="false">B10-C10</f>
        <v>0</v>
      </c>
      <c r="E10" s="3" t="str">
        <f aca="false">IF(ISNUMBER(B10),IF(ABS(D10)&lt;=ABS(C10)*0.0001+0.000001,"OK","CHECK"),"CHECK")</f>
        <v>OK</v>
      </c>
      <c r="F10" s="24" t="s">
        <v>108</v>
      </c>
    </row>
    <row r="11" customFormat="false" ht="15" hidden="false" customHeight="false" outlineLevel="0" collapsed="false">
      <c r="A11" s="22" t="s">
        <v>109</v>
      </c>
      <c r="B11" s="11" t="n">
        <f aca="false">Investor!D23</f>
        <v>34580000</v>
      </c>
      <c r="C11" s="23" t="n">
        <v>34600000</v>
      </c>
      <c r="D11" s="11" t="n">
        <f aca="false">B11-C11</f>
        <v>-20000</v>
      </c>
      <c r="E11" s="3" t="str">
        <f aca="false">IF(ISNUMBER(B11),IF(ABS(D11)&lt;=50000,"OK","CHECK"),"CHECK")</f>
        <v>OK</v>
      </c>
      <c r="F11" s="24" t="s">
        <v>105</v>
      </c>
    </row>
    <row r="12" customFormat="false" ht="15" hidden="false" customHeight="false" outlineLevel="0" collapsed="false">
      <c r="A12" s="22" t="s">
        <v>110</v>
      </c>
      <c r="B12" s="11" t="n">
        <f aca="false">Investor!E23</f>
        <v>6925072.5</v>
      </c>
      <c r="C12" s="23" t="n">
        <v>6900000</v>
      </c>
      <c r="D12" s="11" t="n">
        <f aca="false">B12-C12</f>
        <v>25072.5</v>
      </c>
      <c r="E12" s="3" t="str">
        <f aca="false">IF(ISNUMBER(B12),IF(ABS(D12)&lt;=50000,"OK","CHECK"),"CHECK")</f>
        <v>OK</v>
      </c>
      <c r="F12" s="24" t="s">
        <v>105</v>
      </c>
    </row>
    <row r="13" customFormat="false" ht="15" hidden="false" customHeight="false" outlineLevel="0" collapsed="false">
      <c r="A13" s="22" t="s">
        <v>111</v>
      </c>
      <c r="B13" s="11" t="n">
        <f aca="false">Investor!F23</f>
        <v>0</v>
      </c>
      <c r="C13" s="23" t="n">
        <v>0</v>
      </c>
      <c r="D13" s="11" t="n">
        <f aca="false">B13-C13</f>
        <v>0</v>
      </c>
      <c r="E13" s="3" t="str">
        <f aca="false">IF(ISNUMBER(B13),IF(ABS(D13)&lt;=50000,"OK","CHECK"),"CHECK")</f>
        <v>OK</v>
      </c>
      <c r="F13" s="24" t="s">
        <v>105</v>
      </c>
    </row>
    <row r="14" customFormat="false" ht="15" hidden="false" customHeight="false" outlineLevel="0" collapsed="false">
      <c r="A14" s="22" t="s">
        <v>112</v>
      </c>
      <c r="B14" s="11" t="n">
        <f aca="false">Investor!D24</f>
        <v>33679740.575</v>
      </c>
      <c r="C14" s="23" t="n">
        <v>33700000</v>
      </c>
      <c r="D14" s="11" t="n">
        <f aca="false">B14-C14</f>
        <v>-20259.424999997</v>
      </c>
      <c r="E14" s="3" t="str">
        <f aca="false">IF(ISNUMBER(B14),IF(ABS(D14)&lt;=50000,"OK","CHECK"),"CHECK")</f>
        <v>OK</v>
      </c>
      <c r="F14" s="24" t="s">
        <v>105</v>
      </c>
    </row>
    <row r="15" customFormat="false" ht="15" hidden="false" customHeight="false" outlineLevel="0" collapsed="false">
      <c r="A15" s="22" t="s">
        <v>113</v>
      </c>
      <c r="B15" s="11" t="n">
        <f aca="false">Investor!E24</f>
        <v>6925072.5</v>
      </c>
      <c r="C15" s="23" t="n">
        <v>6900000</v>
      </c>
      <c r="D15" s="11" t="n">
        <f aca="false">B15-C15</f>
        <v>25072.5</v>
      </c>
      <c r="E15" s="3" t="str">
        <f aca="false">IF(ISNUMBER(B15),IF(ABS(D15)&lt;=50000,"OK","CHECK"),"CHECK")</f>
        <v>OK</v>
      </c>
      <c r="F15" s="24" t="s">
        <v>105</v>
      </c>
    </row>
    <row r="16" customFormat="false" ht="15" hidden="false" customHeight="false" outlineLevel="0" collapsed="false">
      <c r="A16" s="22" t="s">
        <v>114</v>
      </c>
      <c r="B16" s="11" t="n">
        <f aca="false">Investor!F24</f>
        <v>0</v>
      </c>
      <c r="C16" s="23" t="n">
        <v>0</v>
      </c>
      <c r="D16" s="11" t="n">
        <f aca="false">B16-C16</f>
        <v>0</v>
      </c>
      <c r="E16" s="3" t="str">
        <f aca="false">IF(ISNUMBER(B16),IF(ABS(D16)&lt;=50000,"OK","CHECK"),"CHECK")</f>
        <v>OK</v>
      </c>
      <c r="F16" s="24" t="s">
        <v>105</v>
      </c>
    </row>
    <row r="17" customFormat="false" ht="15" hidden="false" customHeight="false" outlineLevel="0" collapsed="false">
      <c r="A17" s="22" t="s">
        <v>115</v>
      </c>
      <c r="B17" s="11" t="n">
        <f aca="false">Investor!D25</f>
        <v>32779481.15</v>
      </c>
      <c r="C17" s="23" t="n">
        <v>32800000</v>
      </c>
      <c r="D17" s="11" t="n">
        <f aca="false">B17-C17</f>
        <v>-20518.8499999978</v>
      </c>
      <c r="E17" s="3" t="str">
        <f aca="false">IF(ISNUMBER(B17),IF(ABS(D17)&lt;=50000,"OK","CHECK"),"CHECK")</f>
        <v>OK</v>
      </c>
      <c r="F17" s="24" t="s">
        <v>105</v>
      </c>
    </row>
    <row r="18" customFormat="false" ht="15" hidden="false" customHeight="false" outlineLevel="0" collapsed="false">
      <c r="A18" s="22" t="s">
        <v>116</v>
      </c>
      <c r="B18" s="11" t="n">
        <f aca="false">Investor!E25</f>
        <v>6371066.7</v>
      </c>
      <c r="C18" s="23" t="n">
        <v>6400000</v>
      </c>
      <c r="D18" s="11" t="n">
        <f aca="false">B18-C18</f>
        <v>-28933.3000000007</v>
      </c>
      <c r="E18" s="3" t="str">
        <f aca="false">IF(ISNUMBER(B18),IF(ABS(D18)&lt;=50000,"OK","CHECK"),"CHECK")</f>
        <v>OK</v>
      </c>
      <c r="F18" s="24" t="s">
        <v>105</v>
      </c>
    </row>
    <row r="19" customFormat="false" ht="15" hidden="false" customHeight="false" outlineLevel="0" collapsed="false">
      <c r="A19" s="22" t="s">
        <v>117</v>
      </c>
      <c r="B19" s="11" t="n">
        <f aca="false">Investor!F25</f>
        <v>19662303.064</v>
      </c>
      <c r="C19" s="23" t="n">
        <v>19700000</v>
      </c>
      <c r="D19" s="11" t="n">
        <f aca="false">B19-C19</f>
        <v>-37696.9360000081</v>
      </c>
      <c r="E19" s="3" t="str">
        <f aca="false">IF(ISNUMBER(B19),IF(ABS(D19)&lt;=50000,"OK","CHECK"),"CHECK")</f>
        <v>OK</v>
      </c>
      <c r="F19" s="24" t="s">
        <v>105</v>
      </c>
    </row>
    <row r="20" customFormat="false" ht="15" hidden="false" customHeight="false" outlineLevel="0" collapsed="false">
      <c r="A20" s="22" t="s">
        <v>118</v>
      </c>
      <c r="B20" s="11" t="n">
        <f aca="false">Investor!D26</f>
        <v>29395143.08068</v>
      </c>
      <c r="C20" s="23" t="n">
        <v>29400000</v>
      </c>
      <c r="D20" s="11" t="n">
        <f aca="false">B20-C20</f>
        <v>-4856.91931999475</v>
      </c>
      <c r="E20" s="3" t="str">
        <f aca="false">IF(ISNUMBER(B20),IF(ABS(D20)&lt;=50000,"OK","CHECK"),"CHECK")</f>
        <v>OK</v>
      </c>
      <c r="F20" s="24" t="s">
        <v>105</v>
      </c>
    </row>
    <row r="21" customFormat="false" ht="15" hidden="false" customHeight="false" outlineLevel="0" collapsed="false">
      <c r="A21" s="22" t="s">
        <v>119</v>
      </c>
      <c r="B21" s="11" t="n">
        <f aca="false">Investor!E26</f>
        <v>5861381.364</v>
      </c>
      <c r="C21" s="23" t="n">
        <v>5900000</v>
      </c>
      <c r="D21" s="11" t="n">
        <f aca="false">B21-C21</f>
        <v>-38618.6359999999</v>
      </c>
      <c r="E21" s="3" t="str">
        <f aca="false">IF(ISNUMBER(B21),IF(ABS(D21)&lt;=50000,"OK","CHECK"),"CHECK")</f>
        <v>OK</v>
      </c>
      <c r="F21" s="24" t="s">
        <v>105</v>
      </c>
    </row>
    <row r="22" customFormat="false" ht="15" hidden="false" customHeight="false" outlineLevel="0" collapsed="false">
      <c r="A22" s="22" t="s">
        <v>120</v>
      </c>
      <c r="B22" s="11" t="n">
        <f aca="false">Investor!F26</f>
        <v>17620408.30976</v>
      </c>
      <c r="C22" s="23" t="n">
        <v>17600000</v>
      </c>
      <c r="D22" s="11" t="n">
        <f aca="false">B22-C22</f>
        <v>20408.3097599931</v>
      </c>
      <c r="E22" s="3" t="str">
        <f aca="false">IF(ISNUMBER(B22),IF(ABS(D22)&lt;=50000,"OK","CHECK"),"CHECK")</f>
        <v>OK</v>
      </c>
      <c r="F22" s="24" t="s">
        <v>105</v>
      </c>
    </row>
    <row r="23" customFormat="false" ht="15" hidden="false" customHeight="false" outlineLevel="0" collapsed="false">
      <c r="A23" s="22" t="s">
        <v>121</v>
      </c>
      <c r="B23" s="11" t="n">
        <f aca="false">Investor!D27</f>
        <v>26342510.4230912</v>
      </c>
      <c r="C23" s="23" t="n">
        <v>26300000</v>
      </c>
      <c r="D23" s="11" t="n">
        <f aca="false">B23-C23</f>
        <v>42510.4230912067</v>
      </c>
      <c r="E23" s="3" t="str">
        <f aca="false">IF(ISNUMBER(B23),IF(ABS(D23)&lt;=50000,"OK","CHECK"),"CHECK")</f>
        <v>OK</v>
      </c>
      <c r="F23" s="24" t="s">
        <v>105</v>
      </c>
    </row>
    <row r="24" customFormat="false" ht="15" hidden="false" customHeight="false" outlineLevel="0" collapsed="false">
      <c r="A24" s="22" t="s">
        <v>122</v>
      </c>
      <c r="B24" s="11" t="n">
        <f aca="false">Investor!E27</f>
        <v>5392470.85488</v>
      </c>
      <c r="C24" s="23" t="n">
        <v>5400000</v>
      </c>
      <c r="D24" s="11" t="n">
        <f aca="false">B24-C24</f>
        <v>-7529.14512000047</v>
      </c>
      <c r="E24" s="3" t="str">
        <f aca="false">IF(ISNUMBER(B24),IF(ABS(D24)&lt;=50000,"OK","CHECK"),"CHECK")</f>
        <v>OK</v>
      </c>
      <c r="F24" s="24" t="s">
        <v>105</v>
      </c>
    </row>
    <row r="25" customFormat="false" ht="15" hidden="false" customHeight="false" outlineLevel="0" collapsed="false">
      <c r="A25" s="22" t="s">
        <v>123</v>
      </c>
      <c r="B25" s="11" t="n">
        <f aca="false">Investor!F27</f>
        <v>197242224.70736</v>
      </c>
      <c r="C25" s="23" t="n">
        <v>197200000</v>
      </c>
      <c r="D25" s="11" t="n">
        <f aca="false">B25-C25</f>
        <v>42224.7073600292</v>
      </c>
      <c r="E25" s="3" t="str">
        <f aca="false">IF(ISNUMBER(B25),IF(ABS(D25)&lt;=50000,"OK","CHECK"),"CHECK")</f>
        <v>OK</v>
      </c>
      <c r="F25" s="24" t="s">
        <v>105</v>
      </c>
    </row>
    <row r="26" customFormat="false" ht="15" hidden="false" customHeight="false" outlineLevel="0" collapsed="false">
      <c r="A26" s="22" t="s">
        <v>124</v>
      </c>
      <c r="B26" s="14" t="n">
        <f aca="false">Investor!B40</f>
        <v>0.118327307965714</v>
      </c>
      <c r="C26" s="25" t="n">
        <v>0.1183</v>
      </c>
      <c r="D26" s="14" t="n">
        <f aca="false">B26-C26</f>
        <v>2.73079657142905E-005</v>
      </c>
      <c r="E26" s="3" t="str">
        <f aca="false">IF(ISNUMBER(B26),IF(ABS(D26)&lt;=0.00005,"OK","CHECK"),"CHECK")</f>
        <v>OK</v>
      </c>
      <c r="F26" s="24" t="s">
        <v>105</v>
      </c>
    </row>
    <row r="27" customFormat="false" ht="15" hidden="false" customHeight="false" outlineLevel="0" collapsed="false">
      <c r="A27" s="22" t="s">
        <v>125</v>
      </c>
      <c r="B27" s="20" t="n">
        <f aca="false">Investor!B41</f>
        <v>14.2857142857143</v>
      </c>
      <c r="C27" s="26" t="n">
        <v>14.3</v>
      </c>
      <c r="D27" s="20" t="n">
        <f aca="false">B27-C27</f>
        <v>-0.014285714285716</v>
      </c>
      <c r="E27" s="3" t="str">
        <f aca="false">IF(ISNUMBER(B27),IF(ABS(D27)&lt;=0.05,"OK","CHECK"),"CHECK")</f>
        <v>OK</v>
      </c>
      <c r="F27" s="24" t="s">
        <v>105</v>
      </c>
    </row>
    <row r="28" customFormat="false" ht="15" hidden="false" customHeight="false" outlineLevel="0" collapsed="false">
      <c r="A28" s="22" t="s">
        <v>126</v>
      </c>
      <c r="B28" s="20" t="n">
        <f aca="false">Investor!B42</f>
        <v>15.0375939849624</v>
      </c>
      <c r="C28" s="26" t="n">
        <v>15</v>
      </c>
      <c r="D28" s="20" t="n">
        <f aca="false">B28-C28</f>
        <v>0.0375939849624061</v>
      </c>
      <c r="E28" s="3" t="str">
        <f aca="false">IF(ISNUMBER(B28),IF(ABS(D28)&lt;=0.05,"OK","CHECK"),"CHECK")</f>
        <v>OK</v>
      </c>
      <c r="F28" s="24" t="s">
        <v>105</v>
      </c>
    </row>
    <row r="29" customFormat="false" ht="15" hidden="false" customHeight="false" outlineLevel="0" collapsed="false">
      <c r="A29" s="22" t="s">
        <v>127</v>
      </c>
      <c r="B29" s="14" t="n">
        <f aca="false">Investor!B47</f>
        <v>0.0760979144777193</v>
      </c>
      <c r="C29" s="25" t="n">
        <v>0.0761</v>
      </c>
      <c r="D29" s="14" t="n">
        <f aca="false">B29-C29</f>
        <v>-2.08552228067593E-006</v>
      </c>
      <c r="E29" s="3" t="str">
        <f aca="false">IF(ISNUMBER(B29),IF(ABS(D29)&lt;=0.00005,"OK","CHECK"),"CHECK")</f>
        <v>OK</v>
      </c>
      <c r="F29" s="24" t="s">
        <v>128</v>
      </c>
    </row>
    <row r="30" customFormat="false" ht="15" hidden="false" customHeight="false" outlineLevel="0" collapsed="false">
      <c r="A30" s="22" t="s">
        <v>129</v>
      </c>
      <c r="B30" s="27" t="b">
        <f aca="false">ABS(-Investor!B34+(Investor!B47+Investor!B11)*Investor!B45+Investor!B46)&lt;1</f>
        <v>1</v>
      </c>
      <c r="C30" s="4" t="s">
        <v>130</v>
      </c>
      <c r="E30" s="3" t="str">
        <f aca="false">IF(B30=TRUE(),"OK","CHECK")</f>
        <v>OK</v>
      </c>
    </row>
    <row r="31" customFormat="false" ht="15" hidden="false" customHeight="false" outlineLevel="0" collapsed="false">
      <c r="A31" s="22" t="s">
        <v>131</v>
      </c>
      <c r="B31" s="14" t="n">
        <f aca="false">Investor!B62</f>
        <v>0.0260979085726609</v>
      </c>
      <c r="C31" s="25" t="n">
        <v>0.0261</v>
      </c>
      <c r="D31" s="14" t="n">
        <f aca="false">B31-C31</f>
        <v>-2.09142733912163E-006</v>
      </c>
      <c r="E31" s="3" t="str">
        <f aca="false">IF(ISNUMBER(B31),IF(ABS(D31)&lt;=0.00005,"OK","CHECK"),"CHECK")</f>
        <v>OK</v>
      </c>
      <c r="F31" s="24" t="s">
        <v>132</v>
      </c>
    </row>
    <row r="32" customFormat="false" ht="15" hidden="false" customHeight="false" outlineLevel="0" collapsed="false">
      <c r="A32" s="22" t="s">
        <v>133</v>
      </c>
      <c r="B32" s="15" t="n">
        <f aca="false">'Break-even'!B35</f>
        <v>4.17056826800035</v>
      </c>
      <c r="C32" s="28" t="n">
        <v>4.17</v>
      </c>
      <c r="D32" s="15" t="n">
        <f aca="false">B32-C32</f>
        <v>0.000568268000348482</v>
      </c>
      <c r="E32" s="3" t="str">
        <f aca="false">IF(ISNUMBER(B32),IF(ABS(D32)&lt;=0.005,"OK","CHECK"),"CHECK")</f>
        <v>OK</v>
      </c>
      <c r="F32" s="24" t="s">
        <v>134</v>
      </c>
    </row>
    <row r="33" customFormat="false" ht="15" hidden="false" customHeight="false" outlineLevel="0" collapsed="false">
      <c r="A33" s="22" t="s">
        <v>135</v>
      </c>
      <c r="B33" s="15" t="n">
        <f aca="false">'Break-even'!B38</f>
        <v>3.50578205535119</v>
      </c>
      <c r="C33" s="28" t="n">
        <v>3.51</v>
      </c>
      <c r="D33" s="15" t="n">
        <f aca="false">B33-C33</f>
        <v>-0.00421794464881486</v>
      </c>
      <c r="E33" s="3" t="str">
        <f aca="false">IF(ISNUMBER(B33),IF(ABS(D33)&lt;=0.005,"OK","CHECK"),"CHECK")</f>
        <v>OK</v>
      </c>
      <c r="F33" s="24" t="s">
        <v>134</v>
      </c>
    </row>
    <row r="34" customFormat="false" ht="15" hidden="false" customHeight="false" outlineLevel="0" collapsed="false">
      <c r="A34" s="22" t="s">
        <v>136</v>
      </c>
      <c r="B34" s="27" t="b">
        <f aca="false">ABS('Break-even'!B68)&lt;1</f>
        <v>1</v>
      </c>
      <c r="C34" s="4" t="s">
        <v>130</v>
      </c>
      <c r="E34" s="3" t="str">
        <f aca="false">IF(B34=TRUE(),"OK","CHECK")</f>
        <v>OK</v>
      </c>
    </row>
    <row r="35" customFormat="false" ht="15" hidden="false" customHeight="false" outlineLevel="0" collapsed="false">
      <c r="A35" s="22" t="s">
        <v>137</v>
      </c>
      <c r="B35" s="27" t="b">
        <f aca="false">ABS('Break-even'!B69)&lt;1</f>
        <v>1</v>
      </c>
      <c r="C35" s="4" t="s">
        <v>130</v>
      </c>
      <c r="E35" s="3" t="str">
        <f aca="false">IF(B35=TRUE(),"OK","CHECK")</f>
        <v>OK</v>
      </c>
    </row>
    <row r="36" customFormat="false" ht="15" hidden="false" customHeight="false" outlineLevel="0" collapsed="false">
      <c r="A36" s="22" t="s">
        <v>138</v>
      </c>
      <c r="B36" s="11" t="n">
        <f aca="false">Stress!D9</f>
        <v>31475063.91888</v>
      </c>
      <c r="C36" s="23" t="n">
        <v>31500000</v>
      </c>
      <c r="D36" s="11" t="n">
        <f aca="false">B36-C36</f>
        <v>-24936.0811199993</v>
      </c>
      <c r="E36" s="3" t="str">
        <f aca="false">IF(ISNUMBER(B36),IF(ABS(D36)&lt;=50000,"OK","CHECK"),"CHECK")</f>
        <v>OK</v>
      </c>
      <c r="F36" s="24" t="s">
        <v>134</v>
      </c>
    </row>
    <row r="37" customFormat="false" ht="15" hidden="false" customHeight="false" outlineLevel="0" collapsed="false">
      <c r="A37" s="22" t="s">
        <v>139</v>
      </c>
      <c r="B37" s="14" t="n">
        <f aca="false">Stress!E9</f>
        <v>0.118327307965714</v>
      </c>
      <c r="C37" s="25" t="n">
        <v>0.1183</v>
      </c>
      <c r="D37" s="14" t="n">
        <f aca="false">B37-C37</f>
        <v>2.73079657142905E-005</v>
      </c>
      <c r="E37" s="3" t="str">
        <f aca="false">IF(ISNUMBER(B37),IF(ABS(D37)&lt;=0.00005,"OK","CHECK"),"CHECK")</f>
        <v>OK</v>
      </c>
      <c r="F37" s="24" t="s">
        <v>134</v>
      </c>
    </row>
    <row r="38" customFormat="false" ht="15" hidden="false" customHeight="false" outlineLevel="0" collapsed="false">
      <c r="A38" s="22" t="s">
        <v>140</v>
      </c>
      <c r="B38" s="11" t="n">
        <f aca="false">Stress!F9</f>
        <v>156776875.228771</v>
      </c>
      <c r="C38" s="23" t="n">
        <v>156800000</v>
      </c>
      <c r="D38" s="11" t="n">
        <f aca="false">B38-C38</f>
        <v>-23124.7712287903</v>
      </c>
      <c r="E38" s="3" t="str">
        <f aca="false">IF(ISNUMBER(B38),IF(ABS(D38)&lt;=50000,"OK","CHECK"),"CHECK")</f>
        <v>OK</v>
      </c>
      <c r="F38" s="24" t="s">
        <v>134</v>
      </c>
    </row>
    <row r="39" customFormat="false" ht="15" hidden="false" customHeight="false" outlineLevel="0" collapsed="false">
      <c r="A39" s="22" t="s">
        <v>141</v>
      </c>
      <c r="B39" s="14" t="n">
        <f aca="false">Stress!G9</f>
        <v>0.103902104467538</v>
      </c>
      <c r="C39" s="25" t="n">
        <v>0.1039</v>
      </c>
      <c r="D39" s="14" t="n">
        <f aca="false">B39-C39</f>
        <v>2.10446753790006E-006</v>
      </c>
      <c r="E39" s="3" t="str">
        <f aca="false">IF(ISNUMBER(B39),IF(ABS(D39)&lt;=0.00005,"OK","CHECK"),"CHECK")</f>
        <v>OK</v>
      </c>
      <c r="F39" s="24" t="s">
        <v>134</v>
      </c>
    </row>
    <row r="40" customFormat="false" ht="15" hidden="false" customHeight="false" outlineLevel="0" collapsed="false">
      <c r="A40" s="22" t="s">
        <v>142</v>
      </c>
      <c r="B40" s="14" t="n">
        <f aca="false">Stress!H9</f>
        <v>0.166005261168845</v>
      </c>
      <c r="C40" s="25" t="n">
        <v>0.166</v>
      </c>
      <c r="D40" s="14" t="n">
        <f aca="false">B40-C40</f>
        <v>5.26116884475014E-006</v>
      </c>
      <c r="E40" s="3" t="str">
        <f aca="false">IF(ISNUMBER(B40),IF(ABS(D40)&lt;=0.00005,"OK","CHECK"),"CHECK")</f>
        <v>OK</v>
      </c>
      <c r="F40" s="24" t="s">
        <v>108</v>
      </c>
    </row>
    <row r="41" customFormat="false" ht="15" hidden="false" customHeight="false" outlineLevel="0" collapsed="false">
      <c r="A41" s="22" t="s">
        <v>143</v>
      </c>
      <c r="B41" s="11" t="n">
        <f aca="false">Stress!D10</f>
        <v>60599585.582592</v>
      </c>
      <c r="C41" s="23" t="n">
        <v>60600000</v>
      </c>
      <c r="D41" s="11" t="n">
        <f aca="false">B41-C41</f>
        <v>-414.417407996953</v>
      </c>
      <c r="E41" s="3" t="str">
        <f aca="false">IF(ISNUMBER(B41),IF(ABS(D41)&lt;=50000,"OK","CHECK"),"CHECK")</f>
        <v>OK</v>
      </c>
      <c r="F41" s="24" t="s">
        <v>134</v>
      </c>
    </row>
    <row r="42" customFormat="false" ht="15" hidden="false" customHeight="false" outlineLevel="0" collapsed="false">
      <c r="A42" s="22" t="s">
        <v>144</v>
      </c>
      <c r="B42" s="14" t="n">
        <f aca="false">Stress!E10</f>
        <v>0.227817990912</v>
      </c>
      <c r="C42" s="25" t="n">
        <v>0.2278</v>
      </c>
      <c r="D42" s="14" t="n">
        <f aca="false">B42-C42</f>
        <v>1.79909119999988E-005</v>
      </c>
      <c r="E42" s="3" t="str">
        <f aca="false">IF(ISNUMBER(B42),IF(ABS(D42)&lt;=0.00005,"OK","CHECK"),"CHECK")</f>
        <v>OK</v>
      </c>
      <c r="F42" s="24" t="s">
        <v>134</v>
      </c>
    </row>
    <row r="43" customFormat="false" ht="15" hidden="false" customHeight="false" outlineLevel="0" collapsed="false">
      <c r="A43" s="22" t="s">
        <v>145</v>
      </c>
      <c r="B43" s="11" t="n">
        <f aca="false">Stress!F10</f>
        <v>149332452.773038</v>
      </c>
      <c r="C43" s="23" t="n">
        <v>149300000</v>
      </c>
      <c r="D43" s="11" t="n">
        <f aca="false">B43-C43</f>
        <v>32452.7730380893</v>
      </c>
      <c r="E43" s="3" t="str">
        <f aca="false">IF(ISNUMBER(B43),IF(ABS(D43)&lt;=50000,"OK","CHECK"),"CHECK")</f>
        <v>OK</v>
      </c>
      <c r="F43" s="24" t="s">
        <v>134</v>
      </c>
    </row>
    <row r="44" customFormat="false" ht="15" hidden="false" customHeight="false" outlineLevel="0" collapsed="false">
      <c r="A44" s="22" t="s">
        <v>146</v>
      </c>
      <c r="B44" s="14" t="n">
        <f aca="false">Stress!G10</f>
        <v>0.0774513759971541</v>
      </c>
      <c r="C44" s="25" t="n">
        <v>0.0775</v>
      </c>
      <c r="D44" s="14" t="n">
        <f aca="false">B44-C44</f>
        <v>-4.86240028458734E-005</v>
      </c>
      <c r="E44" s="3" t="str">
        <f aca="false">IF(ISNUMBER(B44),IF(ABS(D44)&lt;=0.00005,"OK","CHECK"),"CHECK")</f>
        <v>OK</v>
      </c>
      <c r="F44" s="24" t="s">
        <v>134</v>
      </c>
    </row>
    <row r="45" customFormat="false" ht="15" hidden="false" customHeight="false" outlineLevel="0" collapsed="false">
      <c r="A45" s="22" t="s">
        <v>147</v>
      </c>
      <c r="B45" s="14" t="n">
        <f aca="false">Stress!H10</f>
        <v>0.0998784399928853</v>
      </c>
      <c r="C45" s="25" t="n">
        <v>0.0999</v>
      </c>
      <c r="D45" s="14" t="n">
        <f aca="false">B45-C45</f>
        <v>-2.15600071146876E-005</v>
      </c>
      <c r="E45" s="3" t="str">
        <f aca="false">IF(ISNUMBER(B45),IF(ABS(D45)&lt;=0.00005,"OK","CHECK"),"CHECK")</f>
        <v>OK</v>
      </c>
      <c r="F45" s="24" t="s">
        <v>108</v>
      </c>
    </row>
    <row r="46" customFormat="false" ht="15" hidden="false" customHeight="false" outlineLevel="0" collapsed="false">
      <c r="A46" s="22" t="s">
        <v>148</v>
      </c>
      <c r="B46" s="11" t="n">
        <f aca="false">Stress!D11</f>
        <v>62950127.83776</v>
      </c>
      <c r="C46" s="23" t="n">
        <v>63000000</v>
      </c>
      <c r="D46" s="11" t="n">
        <f aca="false">B46-C46</f>
        <v>-49872.1622399986</v>
      </c>
      <c r="E46" s="3" t="str">
        <f aca="false">IF(ISNUMBER(B46),IF(ABS(D46)&lt;=50000,"OK","CHECK"),"CHECK")</f>
        <v>OK</v>
      </c>
      <c r="F46" s="24" t="s">
        <v>134</v>
      </c>
    </row>
    <row r="47" customFormat="false" ht="15" hidden="false" customHeight="false" outlineLevel="0" collapsed="false">
      <c r="A47" s="22" t="s">
        <v>149</v>
      </c>
      <c r="B47" s="14" t="n">
        <f aca="false">Stress!E11</f>
        <v>0.236654615931429</v>
      </c>
      <c r="C47" s="25" t="n">
        <v>0.2367</v>
      </c>
      <c r="D47" s="14" t="n">
        <f aca="false">B47-C47</f>
        <v>-4.5384068571408E-005</v>
      </c>
      <c r="E47" s="3" t="str">
        <f aca="false">IF(ISNUMBER(B47),IF(ABS(D47)&lt;=0.00005,"OK","CHECK"),"CHECK")</f>
        <v>OK</v>
      </c>
      <c r="F47" s="24" t="s">
        <v>134</v>
      </c>
    </row>
    <row r="48" customFormat="false" ht="15" hidden="false" customHeight="false" outlineLevel="0" collapsed="false">
      <c r="A48" s="22" t="s">
        <v>150</v>
      </c>
      <c r="B48" s="11" t="n">
        <f aca="false">Stress!F11</f>
        <v>148731638.457542</v>
      </c>
      <c r="C48" s="23" t="n">
        <v>148700000</v>
      </c>
      <c r="D48" s="11" t="n">
        <f aca="false">B48-C48</f>
        <v>31638.4575424194</v>
      </c>
      <c r="E48" s="3" t="str">
        <f aca="false">IF(ISNUMBER(B48),IF(ABS(D48)&lt;=50000,"OK","CHECK"),"CHECK")</f>
        <v>OK</v>
      </c>
      <c r="F48" s="24" t="s">
        <v>134</v>
      </c>
    </row>
    <row r="49" customFormat="false" ht="15" hidden="false" customHeight="false" outlineLevel="0" collapsed="false">
      <c r="A49" s="22" t="s">
        <v>151</v>
      </c>
      <c r="B49" s="14" t="n">
        <f aca="false">Stress!G11</f>
        <v>0.0752041942758465</v>
      </c>
      <c r="C49" s="25" t="n">
        <v>0.0752</v>
      </c>
      <c r="D49" s="14" t="n">
        <f aca="false">B49-C49</f>
        <v>4.19427584652521E-006</v>
      </c>
      <c r="E49" s="3" t="str">
        <f aca="false">IF(ISNUMBER(B49),IF(ABS(D49)&lt;=0.00005,"OK","CHECK"),"CHECK")</f>
        <v>OK</v>
      </c>
      <c r="F49" s="24" t="s">
        <v>134</v>
      </c>
    </row>
    <row r="50" customFormat="false" ht="15" hidden="false" customHeight="false" outlineLevel="0" collapsed="false">
      <c r="A50" s="22" t="s">
        <v>152</v>
      </c>
      <c r="B50" s="14" t="n">
        <f aca="false">Stress!H11</f>
        <v>0.0942604856896163</v>
      </c>
      <c r="C50" s="25" t="n">
        <v>0.0943</v>
      </c>
      <c r="D50" s="14" t="n">
        <f aca="false">B50-C50</f>
        <v>-3.95143103836815E-005</v>
      </c>
      <c r="E50" s="3" t="str">
        <f aca="false">IF(ISNUMBER(B50),IF(ABS(D50)&lt;=0.00005,"OK","CHECK"),"CHECK")</f>
        <v>OK</v>
      </c>
      <c r="F50" s="24" t="s">
        <v>108</v>
      </c>
    </row>
    <row r="51" customFormat="false" ht="15" hidden="false" customHeight="false" outlineLevel="0" collapsed="false">
      <c r="A51" s="22" t="s">
        <v>153</v>
      </c>
      <c r="B51" s="11" t="n">
        <f aca="false">Stress!D12</f>
        <v>110162723.71608</v>
      </c>
      <c r="C51" s="23" t="n">
        <v>110200000</v>
      </c>
      <c r="D51" s="11" t="n">
        <f aca="false">B51-C51</f>
        <v>-37276.283920005</v>
      </c>
      <c r="E51" s="3" t="str">
        <f aca="false">IF(ISNUMBER(B51),IF(ABS(D51)&lt;=50000,"OK","CHECK"),"CHECK")</f>
        <v>OK</v>
      </c>
      <c r="F51" s="24" t="s">
        <v>134</v>
      </c>
    </row>
    <row r="52" customFormat="false" ht="15" hidden="false" customHeight="false" outlineLevel="0" collapsed="false">
      <c r="A52" s="22" t="s">
        <v>154</v>
      </c>
      <c r="B52" s="14" t="n">
        <f aca="false">Stress!E12</f>
        <v>0.41414557788</v>
      </c>
      <c r="C52" s="25" t="n">
        <v>0.4141</v>
      </c>
      <c r="D52" s="14" t="n">
        <f aca="false">B52-C52</f>
        <v>4.55778799999806E-005</v>
      </c>
      <c r="E52" s="3" t="str">
        <f aca="false">IF(ISNUMBER(B52),IF(ABS(D52)&lt;=0.00005,"OK","CHECK"),"CHECK")</f>
        <v>OK</v>
      </c>
      <c r="F52" s="24" t="s">
        <v>134</v>
      </c>
    </row>
    <row r="53" customFormat="false" ht="15" hidden="false" customHeight="false" outlineLevel="0" collapsed="false">
      <c r="A53" s="22" t="s">
        <v>155</v>
      </c>
      <c r="B53" s="11" t="n">
        <f aca="false">Stress!F12</f>
        <v>136663783.300699</v>
      </c>
      <c r="C53" s="23" t="n">
        <v>136700000</v>
      </c>
      <c r="D53" s="11" t="n">
        <f aca="false">B53-C53</f>
        <v>-36216.6993007958</v>
      </c>
      <c r="E53" s="3" t="str">
        <f aca="false">IF(ISNUMBER(B53),IF(ABS(D53)&lt;=50000,"OK","CHECK"),"CHECK")</f>
        <v>OK</v>
      </c>
      <c r="F53" s="24" t="s">
        <v>134</v>
      </c>
    </row>
    <row r="54" customFormat="false" ht="15" hidden="false" customHeight="false" outlineLevel="0" collapsed="false">
      <c r="A54" s="22" t="s">
        <v>156</v>
      </c>
      <c r="B54" s="14" t="n">
        <f aca="false">Stress!G12</f>
        <v>0.0256180373833853</v>
      </c>
      <c r="C54" s="25" t="n">
        <v>0.0256</v>
      </c>
      <c r="D54" s="14" t="n">
        <f aca="false">B54-C54</f>
        <v>1.80373833853463E-005</v>
      </c>
      <c r="E54" s="3" t="str">
        <f aca="false">IF(ISNUMBER(B54),IF(ABS(D54)&lt;=0.00005,"OK","CHECK"),"CHECK")</f>
        <v>OK</v>
      </c>
      <c r="F54" s="24" t="s">
        <v>134</v>
      </c>
    </row>
    <row r="55" customFormat="false" ht="15" hidden="false" customHeight="false" outlineLevel="0" collapsed="false">
      <c r="A55" s="22" t="s">
        <v>157</v>
      </c>
      <c r="B55" s="14" t="n">
        <f aca="false">Stress!H12</f>
        <v>-0.0297049065415366</v>
      </c>
      <c r="C55" s="25" t="n">
        <v>-0.0297</v>
      </c>
      <c r="D55" s="14" t="n">
        <f aca="false">B55-C55</f>
        <v>-4.90654153663048E-006</v>
      </c>
      <c r="E55" s="3" t="str">
        <f aca="false">IF(ISNUMBER(B55),IF(ABS(D55)&lt;=0.00005,"OK","CHECK"),"CHECK")</f>
        <v>OK</v>
      </c>
      <c r="F55" s="24" t="s">
        <v>108</v>
      </c>
    </row>
    <row r="56" customFormat="false" ht="15" hidden="false" customHeight="false" outlineLevel="0" collapsed="false">
      <c r="A56" s="22" t="s">
        <v>158</v>
      </c>
      <c r="B56" s="11" t="n">
        <f aca="false">Stress!D13</f>
        <v>220325447.43216</v>
      </c>
      <c r="C56" s="23" t="n">
        <v>220300000</v>
      </c>
      <c r="D56" s="11" t="n">
        <f aca="false">B56-C56</f>
        <v>25447.4321599901</v>
      </c>
      <c r="E56" s="3" t="str">
        <f aca="false">IF(ISNUMBER(B56),IF(ABS(D56)&lt;=50000,"OK","CHECK"),"CHECK")</f>
        <v>OK</v>
      </c>
      <c r="F56" s="24" t="s">
        <v>134</v>
      </c>
    </row>
    <row r="57" customFormat="false" ht="15" hidden="false" customHeight="false" outlineLevel="0" collapsed="false">
      <c r="A57" s="22" t="s">
        <v>159</v>
      </c>
      <c r="B57" s="14" t="n">
        <f aca="false">Stress!E13</f>
        <v>0.82829115576</v>
      </c>
      <c r="C57" s="25" t="n">
        <v>0.8283</v>
      </c>
      <c r="D57" s="14" t="n">
        <f aca="false">B57-C57</f>
        <v>-8.8442400000277E-006</v>
      </c>
      <c r="E57" s="3" t="str">
        <f aca="false">IF(ISNUMBER(B57),IF(ABS(D57)&lt;=0.00005,"OK","CHECK"),"CHECK")</f>
        <v>OK</v>
      </c>
      <c r="F57" s="24" t="s">
        <v>134</v>
      </c>
    </row>
    <row r="58" customFormat="false" ht="15" hidden="false" customHeight="false" outlineLevel="0" collapsed="false">
      <c r="A58" s="22" t="s">
        <v>160</v>
      </c>
      <c r="B58" s="11" t="n">
        <f aca="false">Stress!F13</f>
        <v>108505454.601398</v>
      </c>
      <c r="C58" s="23" t="n">
        <v>108500000</v>
      </c>
      <c r="D58" s="11" t="n">
        <f aca="false">B58-C58</f>
        <v>5454.60139840841</v>
      </c>
      <c r="E58" s="3" t="str">
        <f aca="false">IF(ISNUMBER(B58),IF(ABS(D58)&lt;=50000,"OK","CHECK"),"CHECK")</f>
        <v>OK</v>
      </c>
      <c r="F58" s="24" t="s">
        <v>134</v>
      </c>
    </row>
    <row r="59" customFormat="false" ht="15" hidden="false" customHeight="false" outlineLevel="0" collapsed="false">
      <c r="A59" s="22" t="s">
        <v>161</v>
      </c>
      <c r="B59" s="14" t="n">
        <f aca="false">Stress!G13</f>
        <v>-0.157039890436841</v>
      </c>
      <c r="C59" s="25" t="n">
        <v>-0.157</v>
      </c>
      <c r="D59" s="14" t="n">
        <f aca="false">B59-C59</f>
        <v>-3.98904368405506E-005</v>
      </c>
      <c r="E59" s="3" t="str">
        <f aca="false">IF(ISNUMBER(B59),IF(ABS(D59)&lt;=0.00005,"OK","CHECK"),"CHECK")</f>
        <v>OK</v>
      </c>
      <c r="F59" s="24" t="s">
        <v>134</v>
      </c>
    </row>
    <row r="60" customFormat="false" ht="15" hidden="false" customHeight="false" outlineLevel="0" collapsed="false">
      <c r="A60" s="22" t="s">
        <v>162</v>
      </c>
      <c r="B60" s="14" t="n">
        <f aca="false">Stress!H13</f>
        <v>-0.486349726092101</v>
      </c>
      <c r="C60" s="25" t="n">
        <v>-0.4863</v>
      </c>
      <c r="D60" s="14" t="n">
        <f aca="false">B60-C60</f>
        <v>-4.97260921013543E-005</v>
      </c>
      <c r="E60" s="3" t="str">
        <f aca="false">IF(ISNUMBER(B60),IF(ABS(D60)&lt;=0.00005,"OK","CHECK"),"CHECK")</f>
        <v>OK</v>
      </c>
      <c r="F60" s="24" t="s">
        <v>108</v>
      </c>
    </row>
    <row r="61" customFormat="false" ht="15" hidden="false" customHeight="false" outlineLevel="0" collapsed="false">
      <c r="A61" s="22" t="s">
        <v>163</v>
      </c>
      <c r="B61" s="11" t="n">
        <f aca="false">Stress!D14</f>
        <v>260891286.2624</v>
      </c>
      <c r="C61" s="23" t="n">
        <v>260900000</v>
      </c>
      <c r="D61" s="11" t="n">
        <f aca="false">B61-C61</f>
        <v>-8713.73760002852</v>
      </c>
      <c r="E61" s="3" t="str">
        <f aca="false">IF(ISNUMBER(B61),IF(ABS(D61)&lt;=50000,"OK","CHECK"),"CHECK")</f>
        <v>OK</v>
      </c>
      <c r="F61" s="24" t="s">
        <v>134</v>
      </c>
    </row>
    <row r="62" customFormat="false" ht="15" hidden="false" customHeight="false" outlineLevel="0" collapsed="false">
      <c r="A62" s="22" t="s">
        <v>164</v>
      </c>
      <c r="B62" s="14" t="n">
        <f aca="false">Stress!E14</f>
        <v>0.980794309257143</v>
      </c>
      <c r="C62" s="25" t="n">
        <v>0.9808</v>
      </c>
      <c r="D62" s="14" t="n">
        <f aca="false">B62-C62</f>
        <v>-5.69074285727833E-006</v>
      </c>
      <c r="E62" s="3" t="str">
        <f aca="false">IF(ISNUMBER(B62),IF(ABS(D62)&lt;=0.00005,"OK","CHECK"),"CHECK")</f>
        <v>OK</v>
      </c>
      <c r="F62" s="24" t="s">
        <v>134</v>
      </c>
    </row>
    <row r="63" customFormat="false" ht="15" hidden="false" customHeight="false" outlineLevel="0" collapsed="false">
      <c r="A63" s="22" t="s">
        <v>165</v>
      </c>
      <c r="B63" s="11" t="n">
        <f aca="false">Stress!F14</f>
        <v>84369744.287712</v>
      </c>
      <c r="C63" s="23" t="n">
        <v>84400000</v>
      </c>
      <c r="D63" s="11" t="n">
        <f aca="false">B63-C63</f>
        <v>-30255.7122879922</v>
      </c>
      <c r="E63" s="3" t="str">
        <f aca="false">IF(ISNUMBER(B63),IF(ABS(D63)&lt;=50000,"OK","CHECK"),"CHECK")</f>
        <v>OK</v>
      </c>
      <c r="F63" s="24" t="s">
        <v>134</v>
      </c>
    </row>
    <row r="64" customFormat="false" ht="15" hidden="false" customHeight="false" outlineLevel="0" collapsed="false">
      <c r="A64" s="22" t="s">
        <v>166</v>
      </c>
      <c r="B64" s="14" t="n">
        <f aca="false">Stress!G14</f>
        <v>-0.380894744481913</v>
      </c>
      <c r="C64" s="25" t="n">
        <v>-0.3809</v>
      </c>
      <c r="D64" s="14" t="n">
        <f aca="false">B64-C64</f>
        <v>5.25551808716607E-006</v>
      </c>
      <c r="E64" s="3" t="str">
        <f aca="false">IF(ISNUMBER(B64),IF(ABS(D64)&lt;=0.00005,"OK","CHECK"),"CHECK")</f>
        <v>OK</v>
      </c>
      <c r="F64" s="24" t="s">
        <v>134</v>
      </c>
    </row>
    <row r="65" customFormat="false" ht="15" hidden="false" customHeight="false" outlineLevel="0" collapsed="false">
      <c r="A65" s="22" t="s">
        <v>167</v>
      </c>
      <c r="B65" s="14" t="n">
        <f aca="false">Stress!H14</f>
        <v>-1</v>
      </c>
      <c r="C65" s="25" t="n">
        <v>-1</v>
      </c>
      <c r="D65" s="14" t="n">
        <f aca="false">B65-C65</f>
        <v>0</v>
      </c>
      <c r="E65" s="3" t="str">
        <f aca="false">IF(ISNUMBER(B65),IF(ABS(D65)&lt;=0.00005,"OK","CHECK"),"CHECK")</f>
        <v>OK</v>
      </c>
      <c r="F65" s="24" t="s">
        <v>108</v>
      </c>
    </row>
    <row r="66" customFormat="false" ht="15" hidden="false" customHeight="false" outlineLevel="0" collapsed="false">
      <c r="A66" s="22" t="s">
        <v>168</v>
      </c>
      <c r="B66" s="11" t="n">
        <f aca="false">Stress!I14</f>
        <v>5108713.7376</v>
      </c>
      <c r="C66" s="23" t="n">
        <v>5100000</v>
      </c>
      <c r="D66" s="11" t="n">
        <f aca="false">B66-C66</f>
        <v>8713.73759999778</v>
      </c>
      <c r="E66" s="3" t="str">
        <f aca="false">IF(ISNUMBER(B66),IF(ABS(D66)&lt;=50000,"OK","CHECK"),"CHECK")</f>
        <v>OK</v>
      </c>
      <c r="F66" s="24" t="s">
        <v>134</v>
      </c>
    </row>
    <row r="67" customFormat="false" ht="15" hidden="false" customHeight="false" outlineLevel="0" collapsed="false">
      <c r="A67" s="22" t="s">
        <v>169</v>
      </c>
      <c r="B67" s="27" t="b">
        <f aca="false">AND(ABS(Stress!D9+Stress!I9-Investor!B34)&lt;1,ABS(Stress!D10+Stress!I10-Investor!B34)&lt;1,ABS(Stress!D11+Stress!I11-Investor!B34)&lt;1,ABS(Stress!D12+Stress!I12-Investor!B34)&lt;1,ABS(Stress!D13+Stress!I13-Investor!B34)&lt;1,ABS(Stress!D14+Stress!I14-Investor!B34)&lt;1)</f>
        <v>1</v>
      </c>
      <c r="C67" s="4" t="s">
        <v>130</v>
      </c>
      <c r="E67" s="3" t="str">
        <f aca="false">IF(B67=TRUE(),"OK","CHECK")</f>
        <v>OK</v>
      </c>
    </row>
    <row r="68" customFormat="false" ht="15" hidden="false" customHeight="false" outlineLevel="0" collapsed="false">
      <c r="A68" s="22" t="s">
        <v>88</v>
      </c>
      <c r="B68" s="14" t="n">
        <f aca="false">'Holding period'!B5</f>
        <v>0.1039593976427</v>
      </c>
      <c r="C68" s="25" t="n">
        <v>0.104</v>
      </c>
      <c r="D68" s="14" t="n">
        <f aca="false">B68-C68</f>
        <v>-4.06023572999265E-005</v>
      </c>
      <c r="E68" s="3" t="str">
        <f aca="false">IF(ISNUMBER(B68),IF(ABS(D68)&lt;=0.00005,"OK","CHECK"),"CHECK")</f>
        <v>OK</v>
      </c>
      <c r="F68" s="24" t="s">
        <v>170</v>
      </c>
    </row>
    <row r="69" customFormat="false" ht="15" hidden="false" customHeight="false" outlineLevel="0" collapsed="false">
      <c r="A69" s="22" t="s">
        <v>89</v>
      </c>
      <c r="B69" s="14" t="n">
        <f aca="false">'Holding period'!C5</f>
        <v>0.1039593976427</v>
      </c>
      <c r="C69" s="25" t="n">
        <v>0.104</v>
      </c>
      <c r="D69" s="14" t="n">
        <f aca="false">B69-C69</f>
        <v>-4.06023572999265E-005</v>
      </c>
      <c r="E69" s="3" t="str">
        <f aca="false">IF(ISNUMBER(B69),IF(ABS(D69)&lt;=0.00005,"OK","CHECK"),"CHECK")</f>
        <v>OK</v>
      </c>
      <c r="F69" s="24" t="s">
        <v>170</v>
      </c>
    </row>
    <row r="70" customFormat="false" ht="15" hidden="false" customHeight="false" outlineLevel="0" collapsed="false">
      <c r="A70" s="22" t="s">
        <v>90</v>
      </c>
      <c r="B70" s="14" t="n">
        <f aca="false">'Holding period'!B6</f>
        <v>0.103902104467538</v>
      </c>
      <c r="C70" s="25" t="n">
        <v>0.1039</v>
      </c>
      <c r="D70" s="14" t="n">
        <f aca="false">B70-C70</f>
        <v>2.10446753790006E-006</v>
      </c>
      <c r="E70" s="3" t="str">
        <f aca="false">IF(ISNUMBER(B70),IF(ABS(D70)&lt;=0.00005,"OK","CHECK"),"CHECK")</f>
        <v>OK</v>
      </c>
      <c r="F70" s="24" t="s">
        <v>170</v>
      </c>
    </row>
    <row r="71" customFormat="false" ht="15" hidden="false" customHeight="false" outlineLevel="0" collapsed="false">
      <c r="A71" s="22" t="s">
        <v>91</v>
      </c>
      <c r="B71" s="14" t="n">
        <f aca="false">'Holding period'!C6</f>
        <v>0.104886009157235</v>
      </c>
      <c r="C71" s="25" t="n">
        <v>0.1049</v>
      </c>
      <c r="D71" s="14" t="n">
        <f aca="false">B71-C71</f>
        <v>-1.39908427650437E-005</v>
      </c>
      <c r="E71" s="3" t="str">
        <f aca="false">IF(ISNUMBER(B71),IF(ABS(D71)&lt;=0.00005,"OK","CHECK"),"CHECK")</f>
        <v>OK</v>
      </c>
      <c r="F71" s="24" t="s">
        <v>170</v>
      </c>
    </row>
    <row r="72" customFormat="false" ht="15" hidden="false" customHeight="false" outlineLevel="0" collapsed="false">
      <c r="A72" s="22" t="s">
        <v>92</v>
      </c>
      <c r="B72" s="14" t="n">
        <f aca="false">'Holding period'!B7</f>
        <v>0.103639835803686</v>
      </c>
      <c r="C72" s="25" t="n">
        <v>0.1036</v>
      </c>
      <c r="D72" s="14" t="n">
        <f aca="false">B72-C72</f>
        <v>3.98358036857033E-005</v>
      </c>
      <c r="E72" s="3" t="str">
        <f aca="false">IF(ISNUMBER(B72),IF(ABS(D72)&lt;=0.00005,"OK","CHECK"),"CHECK")</f>
        <v>OK</v>
      </c>
      <c r="F72" s="24" t="s">
        <v>170</v>
      </c>
    </row>
    <row r="73" customFormat="false" ht="15" hidden="false" customHeight="false" outlineLevel="0" collapsed="false">
      <c r="A73" s="22" t="s">
        <v>93</v>
      </c>
      <c r="B73" s="14" t="n">
        <f aca="false">'Holding period'!C7</f>
        <v>0.105810691321742</v>
      </c>
      <c r="C73" s="25" t="n">
        <v>0.1058</v>
      </c>
      <c r="D73" s="14" t="n">
        <f aca="false">B73-C73</f>
        <v>1.06913217424176E-005</v>
      </c>
      <c r="E73" s="3" t="str">
        <f aca="false">IF(ISNUMBER(B73),IF(ABS(D73)&lt;=0.00005,"OK","CHECK"),"CHECK")</f>
        <v>OK</v>
      </c>
      <c r="F73" s="24" t="s">
        <v>170</v>
      </c>
    </row>
    <row r="74" customFormat="false" ht="15" hidden="false" customHeight="false" outlineLevel="0" collapsed="false">
      <c r="A74" s="22" t="s">
        <v>94</v>
      </c>
      <c r="B74" s="14" t="n">
        <f aca="false">'Holding period'!B8</f>
        <v>0.103494694645518</v>
      </c>
      <c r="C74" s="25" t="n">
        <v>0.1035</v>
      </c>
      <c r="D74" s="14" t="n">
        <f aca="false">B74-C74</f>
        <v>-5.30535448209357E-006</v>
      </c>
      <c r="E74" s="3" t="str">
        <f aca="false">IF(ISNUMBER(B74),IF(ABS(D74)&lt;=0.00005,"OK","CHECK"),"CHECK")</f>
        <v>OK</v>
      </c>
      <c r="F74" s="24" t="s">
        <v>170</v>
      </c>
    </row>
    <row r="75" customFormat="false" ht="15" hidden="false" customHeight="false" outlineLevel="0" collapsed="false">
      <c r="A75" s="22" t="s">
        <v>95</v>
      </c>
      <c r="B75" s="14" t="n">
        <f aca="false">'Holding period'!C8</f>
        <v>0.106239347859971</v>
      </c>
      <c r="C75" s="25" t="n">
        <v>0.1062</v>
      </c>
      <c r="D75" s="14" t="n">
        <f aca="false">B75-C75</f>
        <v>3.9347859970576E-005</v>
      </c>
      <c r="E75" s="3" t="str">
        <f aca="false">IF(ISNUMBER(B75),IF(ABS(D75)&lt;=0.00005,"OK","CHECK"),"CHECK")</f>
        <v>OK</v>
      </c>
      <c r="F75" s="24" t="s">
        <v>170</v>
      </c>
    </row>
    <row r="76" customFormat="false" ht="15" hidden="false" customHeight="false" outlineLevel="0" collapsed="false">
      <c r="A76" s="22" t="s">
        <v>87</v>
      </c>
      <c r="B76" s="14" t="n">
        <f aca="false">'Holding period'!B10</f>
        <v>-0.000262268663852205</v>
      </c>
      <c r="C76" s="25" t="n">
        <v>-0.0003</v>
      </c>
      <c r="D76" s="14" t="n">
        <f aca="false">B76-C76</f>
        <v>3.77313361477946E-005</v>
      </c>
      <c r="E76" s="3" t="str">
        <f aca="false">IF(ISNUMBER(B76),IF(ABS(D76)&lt;=0.00005,"OK","CHECK"),"CHECK")</f>
        <v>OK</v>
      </c>
      <c r="F76" s="24" t="s">
        <v>170</v>
      </c>
    </row>
    <row r="77" customFormat="false" ht="15" hidden="false" customHeight="false" outlineLevel="0" collapsed="false">
      <c r="A77" s="22" t="s">
        <v>171</v>
      </c>
      <c r="B77" s="27" t="b">
        <f aca="false">AND(MIN(Stress!G9:G14)&gt;-1,Investor!B36&gt;-1,Investor!B61&gt;-1)</f>
        <v>1</v>
      </c>
      <c r="C77" s="4" t="s">
        <v>130</v>
      </c>
      <c r="E77" s="3" t="str">
        <f aca="false">IF(B77=TRUE(),"OK","CHECK")</f>
        <v>OK</v>
      </c>
      <c r="F77" s="24" t="s">
        <v>172</v>
      </c>
    </row>
    <row r="79" customFormat="false" ht="15" hidden="false" customHeight="false" outlineLevel="0" collapsed="false">
      <c r="A79" s="3" t="s">
        <v>173</v>
      </c>
      <c r="B79" s="3" t="n">
        <f aca="false">COUNTIF(E5:E77,"CHECK")</f>
        <v>0</v>
      </c>
    </row>
    <row r="80" customFormat="false" ht="15" hidden="false" customHeight="false" outlineLevel="0" collapsed="false">
      <c r="A80" s="3" t="s">
        <v>174</v>
      </c>
      <c r="B80" s="3" t="str">
        <f aca="false">IF(COUNTIF(E5:E77,"OK")=73,"ALL OK",COUNTIF(E5:E77,"OK")&amp;" / 73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2026-09-23T22:57:31Z</dcterms:created>
  <dc:creator>openpyxl</dc:creator>
  <dc:description/>
  <dc:language>en-US</dc:language>
  <cp:lastModifiedBy/>
  <dcterms:modified xsi:type="dcterms:W3CDTF">2026-09-23T22:57:31Z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