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ortfolio" sheetId="1" state="visible" r:id="rId3"/>
    <sheet name="Control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<sst xmlns="http://schemas.openxmlformats.org/spreadsheetml/2006/main" count="83" uniqueCount="73">
  <si>
    <t xml:space="preserve">Northwall 2026-1 — reference portfolio and IRB capital</t>
  </si>
  <si>
    <t xml:space="preserve">Blue cells are inputs. Everything else is a formula. Overwrite anything.</t>
  </si>
  <si>
    <t xml:space="preserve">Grade</t>
  </si>
  <si>
    <t xml:space="preserve">EAD</t>
  </si>
  <si>
    <t xml:space="preserve">PD</t>
  </si>
  <si>
    <t xml:space="preserve">LGD</t>
  </si>
  <si>
    <t xml:space="preserve">M</t>
  </si>
  <si>
    <t xml:space="preserve">Sales (m)</t>
  </si>
  <si>
    <t xml:space="preserve">Names</t>
  </si>
  <si>
    <t xml:space="preserve">Correlation</t>
  </si>
  <si>
    <t xml:space="preserve">Maturity adj.</t>
  </si>
  <si>
    <t xml:space="preserve">K</t>
  </si>
  <si>
    <t xml:space="preserve">RWA</t>
  </si>
  <si>
    <t xml:space="preserve">Expected loss</t>
  </si>
  <si>
    <t xml:space="preserve">1 (AA/A)</t>
  </si>
  <si>
    <t xml:space="preserve">2 (BBB+)</t>
  </si>
  <si>
    <t xml:space="preserve">3 (BBB)</t>
  </si>
  <si>
    <t xml:space="preserve">4 (BBB-)</t>
  </si>
  <si>
    <t xml:space="preserve">5 (BB+)</t>
  </si>
  <si>
    <t xml:space="preserve">6 (BB)</t>
  </si>
  <si>
    <t xml:space="preserve">7 (BB-)</t>
  </si>
  <si>
    <t xml:space="preserve">Total</t>
  </si>
  <si>
    <t xml:space="preserve">Derived</t>
  </si>
  <si>
    <t xml:space="preserve">RWA density</t>
  </si>
  <si>
    <t xml:space="preserve">Expected loss, per euro</t>
  </si>
  <si>
    <t xml:space="preserve">KIRB  (capital at 8 percent + expected loss)</t>
  </si>
  <si>
    <t xml:space="preserve">Effective number of exposures</t>
  </si>
  <si>
    <t xml:space="preserve">Weighted average LGD</t>
  </si>
  <si>
    <t xml:space="preserve">Weighted average PD</t>
  </si>
  <si>
    <t xml:space="preserve">CET1 target</t>
  </si>
  <si>
    <t xml:space="preserve">Capital held</t>
  </si>
  <si>
    <t xml:space="preserve">Against the tranche  (Chapters 4 and 5)</t>
  </si>
  <si>
    <t xml:space="preserve">Detachment point of the sold tranche</t>
  </si>
  <si>
    <t xml:space="preserve">Share of the first-loss tranche the bank retains</t>
  </si>
  <si>
    <t xml:space="preserve">Life of the transaction, years</t>
  </si>
  <si>
    <t xml:space="preserve">Capital component of KIRB  (RWA at 8 percent, per euro)</t>
  </si>
  <si>
    <t xml:space="preserve">Clearance of the detachment point above KIRB</t>
  </si>
  <si>
    <t xml:space="preserve">Weighted average maturity, years  (plays no part in the p-factor)</t>
  </si>
  <si>
    <t xml:space="preserve">First-loss test: retained share within the 20 percent limit</t>
  </si>
  <si>
    <t xml:space="preserve">Cover: thickness over one year of expected loss</t>
  </si>
  <si>
    <t xml:space="preserve">Expected loss over the life of the transaction</t>
  </si>
  <si>
    <t xml:space="preserve">Cover: thickness over the life of the transaction</t>
  </si>
  <si>
    <t xml:space="preserve">Revised 24 September 2026: rows 24 to 34 added. The first-loss test and both covers are the table of Chapter 5; the clearance is the +0.49 points of Chapter 4.</t>
  </si>
  <si>
    <t xml:space="preserve">Controls</t>
  </si>
  <si>
    <t xml:space="preserve">Each row reproduces a figure printed in the book, or tests something that must hold.</t>
  </si>
  <si>
    <t xml:space="preserve">Figure</t>
  </si>
  <si>
    <t xml:space="preserve">Live formula</t>
  </si>
  <si>
    <t xml:space="preserve">Printed in the book</t>
  </si>
  <si>
    <t xml:space="preserve">Difference</t>
  </si>
  <si>
    <t xml:space="preserve">Status</t>
  </si>
  <si>
    <t xml:space="preserve">Note</t>
  </si>
  <si>
    <t xml:space="preserve">Exposure at default</t>
  </si>
  <si>
    <t xml:space="preserve">Risk-weighted assets</t>
  </si>
  <si>
    <t xml:space="preserve">Expected loss per euro</t>
  </si>
  <si>
    <t xml:space="preserve">KIRB</t>
  </si>
  <si>
    <t xml:space="preserve">Capital component of KIRB, per euro</t>
  </si>
  <si>
    <t xml:space="preserve">Chapter 4: 6.15 percent</t>
  </si>
  <si>
    <t xml:space="preserve">Clearance above KIRB</t>
  </si>
  <si>
    <t xml:space="preserve">Chapter 4: +0.49 percentage points</t>
  </si>
  <si>
    <t xml:space="preserve">Weighted average maturity, years</t>
  </si>
  <si>
    <t xml:space="preserve">Chapter 3</t>
  </si>
  <si>
    <t xml:space="preserve">Cover against one year of expected loss</t>
  </si>
  <si>
    <t xml:space="preserve">Chapter 5</t>
  </si>
  <si>
    <t xml:space="preserve">Expected loss over five years</t>
  </si>
  <si>
    <t xml:space="preserve">Cover against the life of the transaction</t>
  </si>
  <si>
    <t xml:space="preserve">KIRB is the capital component plus expected loss, exactly</t>
  </si>
  <si>
    <t xml:space="preserve">—</t>
  </si>
  <si>
    <t xml:space="preserve">The effective number cannot exceed the number of names</t>
  </si>
  <si>
    <t xml:space="preserve">166 against 184: the bucketed tape overstates it (Chapter 3)</t>
  </si>
  <si>
    <t xml:space="preserve">Every correlation lies between 0.08 and 0.24</t>
  </si>
  <si>
    <t xml:space="preserve">the SME adjustment takes at most 0.04 off the 0.12 floor</t>
  </si>
  <si>
    <t xml:space="preserve">Failures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</si>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</sst>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0.0000"/>
    <numFmt numFmtId="167" formatCode="0.00%"/>
    <numFmt numFmtId="168" formatCode="0.0000%"/>
    <numFmt numFmtId="169" formatCode="0.0"/>
    <numFmt numFmtId="170" formatCode="0.00"/>
    <numFmt numFmtId="171" formatCode="0.00\x"/>
    <numFmt numFmtId="172" formatCode="0.000000"/>
    <numFmt numFmtId="173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2CC"/>
      </patternFill>
    </fill>
    <fill>
      <patternFill patternType="solid">
        <fgColor rgb="FFFFF2CC"/>
        <bgColor rgb="FFEEEE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16"/>
    <col collapsed="false" customWidth="true" hidden="false" outlineLevel="0" max="12" min="12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4" t="s">
        <v>14</v>
      </c>
      <c r="B5" s="5" t="n">
        <v>520000000</v>
      </c>
      <c r="C5" s="6" t="n">
        <v>0.0009</v>
      </c>
      <c r="D5" s="6" t="n">
        <v>0.35</v>
      </c>
      <c r="E5" s="6" t="n">
        <v>3.4</v>
      </c>
      <c r="F5" s="6"/>
      <c r="G5" s="6" t="n">
        <v>16</v>
      </c>
      <c r="H5" s="4" t="n">
        <f aca="false">0.12*(1-EXP(-50*C5))/(1-EXP(-50))+0.24*(1-(1-EXP(-50*C5))/(1-EXP(-50)))-IF(F5="",0,0.04*(1-(MIN(50,MAX(5,F5))-5)/45))</f>
        <v>0.234719697819972</v>
      </c>
      <c r="I5" s="4" t="n">
        <f aca="false">(1+(E5-2.5)*(0.11852-0.05478*LN(C5))^2)/(1-1.5*(0.11852-0.05478*LN(C5))^2)</f>
        <v>1.97673288100555</v>
      </c>
      <c r="J5" s="7" t="n">
        <f aca="false">(D5*NORMSDIST((NORMSINV(C5)+SQRT(H5)*NORMSINV(0.999))/SQRT(1-H5))-C5*D5)*I5</f>
        <v>0.02129375557446</v>
      </c>
      <c r="K5" s="8" t="n">
        <f aca="false">J5*12.5*B5</f>
        <v>138409411.23399</v>
      </c>
      <c r="L5" s="8" t="n">
        <f aca="false">C5*D5*B5</f>
        <v>163800</v>
      </c>
    </row>
    <row r="6" customFormat="false" ht="15" hidden="false" customHeight="false" outlineLevel="0" collapsed="false">
      <c r="A6" s="4" t="s">
        <v>15</v>
      </c>
      <c r="B6" s="5" t="n">
        <v>720000000</v>
      </c>
      <c r="C6" s="6" t="n">
        <v>0.0021</v>
      </c>
      <c r="D6" s="6" t="n">
        <v>0.38</v>
      </c>
      <c r="E6" s="6" t="n">
        <v>3.8</v>
      </c>
      <c r="F6" s="6"/>
      <c r="G6" s="6" t="n">
        <v>24</v>
      </c>
      <c r="H6" s="4" t="n">
        <f aca="false">0.12*(1-EXP(-50*C6))/(1-EXP(-50))+0.24*(1-(1-EXP(-50*C6))/(1-EXP(-50)))-IF(F6="",0,0.04*(1-(MIN(50,MAX(5,F6))-5)/45))</f>
        <v>0.228038942710352</v>
      </c>
      <c r="I6" s="4" t="n">
        <f aca="false">(1+(E6-2.5)*(0.11852-0.05478*LN(C6))^2)/(1-1.5*(0.11852-0.05478*LN(C6))^2)</f>
        <v>1.84766347193713</v>
      </c>
      <c r="J6" s="7" t="n">
        <f aca="false">(D6*NORMSDIST((NORMSINV(C6)+SQRT(H6)*NORMSINV(0.999))/SQRT(1-H6))-C6*D6)*I6</f>
        <v>0.0386901115348426</v>
      </c>
      <c r="K6" s="8" t="n">
        <f aca="false">J6*12.5*B6</f>
        <v>348211003.813584</v>
      </c>
      <c r="L6" s="8" t="n">
        <f aca="false">C6*D6*B6</f>
        <v>574560</v>
      </c>
    </row>
    <row r="7" customFormat="false" ht="15" hidden="false" customHeight="false" outlineLevel="0" collapsed="false">
      <c r="A7" s="4" t="s">
        <v>16</v>
      </c>
      <c r="B7" s="5" t="n">
        <v>880000000</v>
      </c>
      <c r="C7" s="6" t="n">
        <v>0.0038</v>
      </c>
      <c r="D7" s="6" t="n">
        <v>0.4</v>
      </c>
      <c r="E7" s="6" t="n">
        <v>4.1</v>
      </c>
      <c r="F7" s="6"/>
      <c r="G7" s="6" t="n">
        <v>32</v>
      </c>
      <c r="H7" s="4" t="n">
        <f aca="false">0.12*(1-EXP(-50*C7))/(1-EXP(-50))+0.24*(1-(1-EXP(-50*C7))/(1-EXP(-50)))-IF(F7="",0,0.04*(1-(MIN(50,MAX(5,F7))-5)/45))</f>
        <v>0.219235096073203</v>
      </c>
      <c r="I7" s="4" t="n">
        <f aca="false">(1+(E7-2.5)*(0.11852-0.05478*LN(C7))^2)/(1-1.5*(0.11852-0.05478*LN(C7))^2)</f>
        <v>1.76207371259483</v>
      </c>
      <c r="J7" s="7" t="n">
        <f aca="false">(D7*NORMSDIST((NORMSINV(C7)+SQRT(H7)*NORMSINV(0.999))/SQRT(1-H7))-C7*D7)*I7</f>
        <v>0.0560096959916495</v>
      </c>
      <c r="K7" s="8" t="n">
        <f aca="false">J7*12.5*B7</f>
        <v>616106655.908145</v>
      </c>
      <c r="L7" s="8" t="n">
        <f aca="false">C7*D7*B7</f>
        <v>1337600</v>
      </c>
    </row>
    <row r="8" customFormat="false" ht="15" hidden="false" customHeight="false" outlineLevel="0" collapsed="false">
      <c r="A8" s="4" t="s">
        <v>17</v>
      </c>
      <c r="B8" s="5" t="n">
        <v>780000000</v>
      </c>
      <c r="C8" s="6" t="n">
        <v>0.0067</v>
      </c>
      <c r="D8" s="6" t="n">
        <v>0.42</v>
      </c>
      <c r="E8" s="6" t="n">
        <v>4.3</v>
      </c>
      <c r="F8" s="6"/>
      <c r="G8" s="6" t="n">
        <v>35</v>
      </c>
      <c r="H8" s="4" t="n">
        <f aca="false">0.12*(1-EXP(-50*C8))/(1-EXP(-50))+0.24*(1-(1-EXP(-50*C8))/(1-EXP(-50)))-IF(F8="",0,0.04*(1-(MIN(50,MAX(5,F8))-5)/45))</f>
        <v>0.205840570362307</v>
      </c>
      <c r="I8" s="4" t="n">
        <f aca="false">(1+(E8-2.5)*(0.11852-0.05478*LN(C8))^2)/(1-1.5*(0.11852-0.05478*LN(C8))^2)</f>
        <v>1.66217788693094</v>
      </c>
      <c r="J8" s="7" t="n">
        <f aca="false">(D8*NORMSDIST((NORMSINV(C8)+SQRT(H8)*NORMSINV(0.999))/SQRT(1-H8))-C8*D8)*I8</f>
        <v>0.0754200639771639</v>
      </c>
      <c r="K8" s="8" t="n">
        <f aca="false">J8*12.5*B8</f>
        <v>735345623.777348</v>
      </c>
      <c r="L8" s="8" t="n">
        <f aca="false">C8*D8*B8</f>
        <v>2194920</v>
      </c>
    </row>
    <row r="9" customFormat="false" ht="15" hidden="false" customHeight="false" outlineLevel="0" collapsed="false">
      <c r="A9" s="4" t="s">
        <v>18</v>
      </c>
      <c r="B9" s="5" t="n">
        <v>560000000</v>
      </c>
      <c r="C9" s="6" t="n">
        <v>0.0121</v>
      </c>
      <c r="D9" s="6" t="n">
        <v>0.44</v>
      </c>
      <c r="E9" s="6" t="n">
        <v>4</v>
      </c>
      <c r="F9" s="6" t="n">
        <v>38</v>
      </c>
      <c r="G9" s="6" t="n">
        <v>33</v>
      </c>
      <c r="H9" s="4" t="n">
        <f aca="false">0.12*(1-EXP(-50*C9))/(1-EXP(-50))+0.24*(1-(1-EXP(-50*C9))/(1-EXP(-50)))-IF(F9="",0,0.04*(1-(MIN(50,MAX(5,F9))-5)/45))</f>
        <v>0.174862264530098</v>
      </c>
      <c r="I9" s="4" t="n">
        <f aca="false">(1+(E9-2.5)*(0.11852-0.05478*LN(C9))^2)/(1-1.5*(0.11852-0.05478*LN(C9))^2)</f>
        <v>1.48378444371311</v>
      </c>
      <c r="J9" s="7" t="n">
        <f aca="false">(D9*NORMSDIST((NORMSINV(C9)+SQRT(H9)*NORMSINV(0.999))/SQRT(1-H9))-C9*D9)*I9</f>
        <v>0.0866766786593441</v>
      </c>
      <c r="K9" s="8" t="n">
        <f aca="false">J9*12.5*B9</f>
        <v>606736750.615408</v>
      </c>
      <c r="L9" s="8" t="n">
        <f aca="false">C9*D9*B9</f>
        <v>2981440</v>
      </c>
    </row>
    <row r="10" customFormat="false" ht="15" hidden="false" customHeight="false" outlineLevel="0" collapsed="false">
      <c r="A10" s="4" t="s">
        <v>19</v>
      </c>
      <c r="B10" s="5" t="n">
        <v>380000000</v>
      </c>
      <c r="C10" s="6" t="n">
        <v>0.0224</v>
      </c>
      <c r="D10" s="6" t="n">
        <v>0.45</v>
      </c>
      <c r="E10" s="6" t="n">
        <v>3.7</v>
      </c>
      <c r="F10" s="6" t="n">
        <v>24</v>
      </c>
      <c r="G10" s="6" t="n">
        <v>30</v>
      </c>
      <c r="H10" s="4" t="n">
        <f aca="false">0.12*(1-EXP(-50*C10))/(1-EXP(-50))+0.24*(1-(1-EXP(-50*C10))/(1-EXP(-50)))-IF(F10="",0,0.04*(1-(MIN(50,MAX(5,F10))-5)/45))</f>
        <v>0.136042464243654</v>
      </c>
      <c r="I10" s="4" t="n">
        <f aca="false">(1+(E10-2.5)*(0.11852-0.05478*LN(C10))^2)/(1-1.5*(0.11852-0.05478*LN(C10))^2)</f>
        <v>1.34289174315453</v>
      </c>
      <c r="J10" s="7" t="n">
        <f aca="false">(D10*NORMSDIST((NORMSINV(C10)+SQRT(H10)*NORMSINV(0.999))/SQRT(1-H10))-C10*D10)*I10</f>
        <v>0.0925462078655509</v>
      </c>
      <c r="K10" s="8" t="n">
        <f aca="false">J10*12.5*B10</f>
        <v>439594487.361367</v>
      </c>
      <c r="L10" s="8" t="n">
        <f aca="false">C10*D10*B10</f>
        <v>3830400</v>
      </c>
    </row>
    <row r="11" customFormat="false" ht="15" hidden="false" customHeight="false" outlineLevel="0" collapsed="false">
      <c r="A11" s="4" t="s">
        <v>20</v>
      </c>
      <c r="B11" s="5" t="n">
        <v>160000000</v>
      </c>
      <c r="C11" s="6" t="n">
        <v>0.041</v>
      </c>
      <c r="D11" s="6" t="n">
        <v>0.45</v>
      </c>
      <c r="E11" s="6" t="n">
        <v>3.2</v>
      </c>
      <c r="F11" s="6" t="n">
        <v>15</v>
      </c>
      <c r="G11" s="6" t="n">
        <v>14</v>
      </c>
      <c r="H11" s="4" t="n">
        <f aca="false">0.12*(1-EXP(-50*C11))/(1-EXP(-50))+0.24*(1-(1-EXP(-50*C11))/(1-EXP(-50)))-IF(F11="",0,0.04*(1-(MIN(50,MAX(5,F11))-5)/45))</f>
        <v>0.104337077319425</v>
      </c>
      <c r="I11" s="4" t="n">
        <f aca="false">(1+(E11-2.5)*(0.11852-0.05478*LN(C11))^2)/(1-1.5*(0.11852-0.05478*LN(C11))^2)</f>
        <v>1.21762969711621</v>
      </c>
      <c r="J11" s="7" t="n">
        <f aca="false">(D11*NORMSDIST((NORMSINV(C11)+SQRT(H11)*NORMSINV(0.999))/SQRT(1-H11))-C11*D11)*I11</f>
        <v>0.09633633254264</v>
      </c>
      <c r="K11" s="8" t="n">
        <f aca="false">J11*12.5*B11</f>
        <v>192672665.08528</v>
      </c>
      <c r="L11" s="8" t="n">
        <f aca="false">C11*D11*B11</f>
        <v>2952000</v>
      </c>
    </row>
    <row r="12" customFormat="false" ht="15" hidden="false" customHeight="false" outlineLevel="0" collapsed="false">
      <c r="A12" s="9" t="s">
        <v>21</v>
      </c>
      <c r="B12" s="10" t="n">
        <f aca="false">SUM(B5:B11)</f>
        <v>4000000000</v>
      </c>
      <c r="K12" s="10" t="n">
        <f aca="false">SUM(K5:K11)</f>
        <v>3077076597.79512</v>
      </c>
      <c r="L12" s="10" t="n">
        <f aca="false">SUM(L5:L11)</f>
        <v>14034720</v>
      </c>
    </row>
    <row r="14" customFormat="false" ht="15" hidden="false" customHeight="false" outlineLevel="0" collapsed="false">
      <c r="A14" s="9" t="s">
        <v>22</v>
      </c>
    </row>
    <row r="15" customFormat="false" ht="15" hidden="false" customHeight="false" outlineLevel="0" collapsed="false">
      <c r="A15" s="4" t="s">
        <v>23</v>
      </c>
      <c r="B15" s="11" t="n">
        <f aca="false">K12/B12</f>
        <v>0.76926914944878</v>
      </c>
    </row>
    <row r="16" customFormat="false" ht="15" hidden="false" customHeight="false" outlineLevel="0" collapsed="false">
      <c r="A16" s="4" t="s">
        <v>24</v>
      </c>
      <c r="B16" s="12" t="n">
        <f aca="false">L12/B12</f>
        <v>0.00350868</v>
      </c>
    </row>
    <row r="17" customFormat="false" ht="15" hidden="false" customHeight="false" outlineLevel="0" collapsed="false">
      <c r="A17" s="4" t="s">
        <v>25</v>
      </c>
      <c r="B17" s="12" t="n">
        <f aca="false">(K12*0.08+L12)/B12</f>
        <v>0.0650502119559024</v>
      </c>
    </row>
    <row r="18" customFormat="false" ht="15" hidden="false" customHeight="false" outlineLevel="0" collapsed="false">
      <c r="A18" s="4" t="s">
        <v>26</v>
      </c>
      <c r="B18" s="13" t="n">
        <f aca="false">SUMPRODUCT(B5:B11)^2/SUMPRODUCT((B5:B11/G5:G11)*B5:B11)</f>
        <v>166.2721302537</v>
      </c>
    </row>
    <row r="19" customFormat="false" ht="15" hidden="false" customHeight="false" outlineLevel="0" collapsed="false">
      <c r="A19" s="4" t="s">
        <v>27</v>
      </c>
      <c r="B19" s="11" t="n">
        <f aca="false">SUMPRODUCT(D5:D11,B5:B11)/B12</f>
        <v>0.40615</v>
      </c>
    </row>
    <row r="20" customFormat="false" ht="15" hidden="false" customHeight="false" outlineLevel="0" collapsed="false">
      <c r="A20" s="4" t="s">
        <v>28</v>
      </c>
      <c r="B20" s="12" t="n">
        <f aca="false">SUMPRODUCT(C5:C11,B5:B11)/B12</f>
        <v>0.0080995</v>
      </c>
    </row>
    <row r="21" customFormat="false" ht="15" hidden="false" customHeight="false" outlineLevel="0" collapsed="false">
      <c r="A21" s="4" t="s">
        <v>29</v>
      </c>
      <c r="B21" s="14" t="n">
        <f aca="false">0.135</f>
        <v>0.135</v>
      </c>
    </row>
    <row r="22" customFormat="false" ht="15" hidden="false" customHeight="false" outlineLevel="0" collapsed="false">
      <c r="A22" s="4" t="s">
        <v>30</v>
      </c>
      <c r="B22" s="8" t="n">
        <f aca="false">K12*B21</f>
        <v>415405340.702341</v>
      </c>
    </row>
    <row r="24" customFormat="false" ht="15" hidden="false" customHeight="false" outlineLevel="0" collapsed="false">
      <c r="A24" s="9" t="s">
        <v>31</v>
      </c>
    </row>
    <row r="25" customFormat="false" ht="15" hidden="false" customHeight="false" outlineLevel="0" collapsed="false">
      <c r="A25" s="4" t="s">
        <v>32</v>
      </c>
      <c r="B25" s="14" t="n">
        <v>0.07</v>
      </c>
    </row>
    <row r="26" customFormat="false" ht="15" hidden="false" customHeight="false" outlineLevel="0" collapsed="false">
      <c r="A26" s="4" t="s">
        <v>33</v>
      </c>
      <c r="B26" s="14" t="n">
        <v>0.05</v>
      </c>
    </row>
    <row r="27" customFormat="false" ht="15" hidden="false" customHeight="false" outlineLevel="0" collapsed="false">
      <c r="A27" s="4" t="s">
        <v>34</v>
      </c>
      <c r="B27" s="15" t="n">
        <v>5</v>
      </c>
    </row>
    <row r="28" customFormat="false" ht="15" hidden="false" customHeight="false" outlineLevel="0" collapsed="false">
      <c r="A28" s="4" t="s">
        <v>35</v>
      </c>
      <c r="B28" s="12" t="n">
        <f aca="false">K12*0.08/B12</f>
        <v>0.0615415319559024</v>
      </c>
    </row>
    <row r="29" customFormat="false" ht="15" hidden="false" customHeight="false" outlineLevel="0" collapsed="false">
      <c r="A29" s="9" t="s">
        <v>36</v>
      </c>
      <c r="B29" s="16" t="n">
        <f aca="false">B25-B17</f>
        <v>0.00494978804409757</v>
      </c>
    </row>
    <row r="30" customFormat="false" ht="15" hidden="false" customHeight="false" outlineLevel="0" collapsed="false">
      <c r="A30" s="4" t="s">
        <v>37</v>
      </c>
      <c r="B30" s="17" t="n">
        <f aca="false">SUMPRODUCT(E5:E11,B5:B11)/B12</f>
        <v>3.906</v>
      </c>
    </row>
    <row r="31" customFormat="false" ht="15" hidden="false" customHeight="false" outlineLevel="0" collapsed="false">
      <c r="A31" s="4" t="s">
        <v>38</v>
      </c>
      <c r="B31" s="4" t="str">
        <f aca="false">IF(B26&lt;=0.2,"Pass","Fail")</f>
        <v>Pass</v>
      </c>
    </row>
    <row r="32" customFormat="false" ht="15" hidden="false" customHeight="false" outlineLevel="0" collapsed="false">
      <c r="A32" s="4" t="s">
        <v>39</v>
      </c>
      <c r="B32" s="18" t="n">
        <f aca="false">B25/B16</f>
        <v>19.9505227036948</v>
      </c>
    </row>
    <row r="33" customFormat="false" ht="15" hidden="false" customHeight="false" outlineLevel="0" collapsed="false">
      <c r="A33" s="4" t="s">
        <v>40</v>
      </c>
      <c r="B33" s="11" t="n">
        <f aca="false">B16*B27</f>
        <v>0.0175434</v>
      </c>
    </row>
    <row r="34" customFormat="false" ht="15" hidden="false" customHeight="false" outlineLevel="0" collapsed="false">
      <c r="A34" s="9" t="s">
        <v>41</v>
      </c>
      <c r="B34" s="19" t="n">
        <f aca="false">B25/B33</f>
        <v>3.99010454073897</v>
      </c>
    </row>
    <row r="36" customFormat="false" ht="15" hidden="false" customHeight="false" outlineLevel="0" collapsed="false">
      <c r="A36" s="20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43</v>
      </c>
    </row>
    <row r="2" customFormat="false" ht="15" hidden="false" customHeight="false" outlineLevel="0" collapsed="false">
      <c r="A2" s="21" t="s">
        <v>44</v>
      </c>
    </row>
    <row r="4" customFormat="false" ht="15" hidden="false" customHeight="false" outlineLevel="0" collapsed="false">
      <c r="A4" s="22" t="s">
        <v>45</v>
      </c>
      <c r="B4" s="22" t="s">
        <v>46</v>
      </c>
      <c r="C4" s="22" t="s">
        <v>47</v>
      </c>
      <c r="D4" s="22" t="s">
        <v>48</v>
      </c>
      <c r="E4" s="22" t="s">
        <v>49</v>
      </c>
      <c r="F4" s="22" t="s">
        <v>50</v>
      </c>
    </row>
    <row r="5" customFormat="false" ht="15" hidden="false" customHeight="false" outlineLevel="0" collapsed="false">
      <c r="A5" s="23" t="s">
        <v>51</v>
      </c>
      <c r="B5" s="8" t="n">
        <f aca="false">Portfolio!B12</f>
        <v>4000000000</v>
      </c>
      <c r="C5" s="5" t="n">
        <v>4000000000</v>
      </c>
      <c r="D5" s="8" t="n">
        <f aca="false">B5-C5</f>
        <v>0</v>
      </c>
      <c r="E5" s="9" t="str">
        <f aca="false">IF(ISNUMBER(B5),IF(ABS(D5)&lt;=ABS(C5)*0.0001+0.000001,"OK","CHECK"),"CHECK")</f>
        <v>OK</v>
      </c>
    </row>
    <row r="6" customFormat="false" ht="15" hidden="false" customHeight="false" outlineLevel="0" collapsed="false">
      <c r="A6" s="23" t="s">
        <v>52</v>
      </c>
      <c r="B6" s="8" t="n">
        <f aca="false">Portfolio!K12</f>
        <v>3077076597.79512</v>
      </c>
      <c r="C6" s="5" t="n">
        <v>3077076597.79512</v>
      </c>
      <c r="D6" s="8" t="n">
        <f aca="false">B6-C6</f>
        <v>0</v>
      </c>
      <c r="E6" s="9" t="str">
        <f aca="false">IF(ISNUMBER(B6),IF(ABS(D6)&lt;=ABS(C6)*0.0001+0.000001,"OK","CHECK"),"CHECK")</f>
        <v>OK</v>
      </c>
    </row>
    <row r="7" customFormat="false" ht="15" hidden="false" customHeight="false" outlineLevel="0" collapsed="false">
      <c r="A7" s="23" t="s">
        <v>23</v>
      </c>
      <c r="B7" s="7" t="n">
        <f aca="false">Portfolio!B15</f>
        <v>0.76926914944878</v>
      </c>
      <c r="C7" s="24" t="n">
        <v>0.769269149448781</v>
      </c>
      <c r="D7" s="7" t="n">
        <f aca="false">B7-C7</f>
        <v>0</v>
      </c>
      <c r="E7" s="9" t="str">
        <f aca="false">IF(ISNUMBER(B7),IF(ABS(D7)&lt;=ABS(C7)*0.0001+0.000001,"OK","CHECK"),"CHECK")</f>
        <v>OK</v>
      </c>
    </row>
    <row r="8" customFormat="false" ht="15" hidden="false" customHeight="false" outlineLevel="0" collapsed="false">
      <c r="A8" s="23" t="s">
        <v>13</v>
      </c>
      <c r="B8" s="8" t="n">
        <f aca="false">Portfolio!L12</f>
        <v>14034720</v>
      </c>
      <c r="C8" s="5" t="n">
        <v>14034720</v>
      </c>
      <c r="D8" s="8" t="n">
        <f aca="false">B8-C8</f>
        <v>0</v>
      </c>
      <c r="E8" s="9" t="str">
        <f aca="false">IF(ISNUMBER(B8),IF(ABS(D8)&lt;=ABS(C8)*0.0001+0.000001,"OK","CHECK"),"CHECK")</f>
        <v>OK</v>
      </c>
    </row>
    <row r="9" customFormat="false" ht="15" hidden="false" customHeight="false" outlineLevel="0" collapsed="false">
      <c r="A9" s="23" t="s">
        <v>53</v>
      </c>
      <c r="B9" s="25" t="n">
        <f aca="false">Portfolio!B16</f>
        <v>0.00350868</v>
      </c>
      <c r="C9" s="26" t="n">
        <v>0.00350868</v>
      </c>
      <c r="D9" s="25" t="n">
        <f aca="false">B9-C9</f>
        <v>0</v>
      </c>
      <c r="E9" s="9" t="str">
        <f aca="false">IF(ISNUMBER(B9),IF(ABS(D9)&lt;=ABS(C9)*0.0001+0.000001,"OK","CHECK"),"CHECK")</f>
        <v>OK</v>
      </c>
    </row>
    <row r="10" customFormat="false" ht="15" hidden="false" customHeight="false" outlineLevel="0" collapsed="false">
      <c r="A10" s="23" t="s">
        <v>54</v>
      </c>
      <c r="B10" s="25" t="n">
        <f aca="false">Portfolio!B17</f>
        <v>0.0650502119559024</v>
      </c>
      <c r="C10" s="26" t="n">
        <v>0.0650502119559025</v>
      </c>
      <c r="D10" s="25" t="n">
        <f aca="false">B10-C10</f>
        <v>0</v>
      </c>
      <c r="E10" s="9" t="str">
        <f aca="false">IF(ISNUMBER(B10),IF(ABS(D10)&lt;=ABS(C10)*0.0001+0.000001,"OK","CHECK"),"CHECK")</f>
        <v>OK</v>
      </c>
    </row>
    <row r="11" customFormat="false" ht="15" hidden="false" customHeight="false" outlineLevel="0" collapsed="false">
      <c r="A11" s="23" t="s">
        <v>26</v>
      </c>
      <c r="B11" s="17" t="n">
        <f aca="false">Portfolio!B18</f>
        <v>166.2721302537</v>
      </c>
      <c r="C11" s="27" t="n">
        <v>166.272130253699</v>
      </c>
      <c r="D11" s="17" t="n">
        <f aca="false">B11-C11</f>
        <v>1.16529008664656E-012</v>
      </c>
      <c r="E11" s="9" t="str">
        <f aca="false">IF(ISNUMBER(B11),IF(ABS(D11)&lt;=ABS(C11)*0.0001+0.000001,"OK","CHECK"),"CHECK")</f>
        <v>OK</v>
      </c>
    </row>
    <row r="12" customFormat="false" ht="15" hidden="false" customHeight="false" outlineLevel="0" collapsed="false">
      <c r="A12" s="23" t="s">
        <v>27</v>
      </c>
      <c r="B12" s="7" t="n">
        <f aca="false">Portfolio!B19</f>
        <v>0.40615</v>
      </c>
      <c r="C12" s="24" t="n">
        <v>0.40615</v>
      </c>
      <c r="D12" s="7" t="n">
        <f aca="false">B12-C12</f>
        <v>0</v>
      </c>
      <c r="E12" s="9" t="str">
        <f aca="false">IF(ISNUMBER(B12),IF(ABS(D12)&lt;=ABS(C12)*0.0001+0.000001,"OK","CHECK"),"CHECK")</f>
        <v>OK</v>
      </c>
    </row>
    <row r="13" customFormat="false" ht="15" hidden="false" customHeight="false" outlineLevel="0" collapsed="false">
      <c r="A13" s="23" t="s">
        <v>28</v>
      </c>
      <c r="B13" s="25" t="n">
        <f aca="false">Portfolio!B20</f>
        <v>0.0080995</v>
      </c>
      <c r="C13" s="26" t="n">
        <v>0.0080995</v>
      </c>
      <c r="D13" s="25" t="n">
        <f aca="false">B13-C13</f>
        <v>0</v>
      </c>
      <c r="E13" s="9" t="str">
        <f aca="false">IF(ISNUMBER(B13),IF(ABS(D13)&lt;=ABS(C13)*0.0001+0.000001,"OK","CHECK"),"CHECK")</f>
        <v>OK</v>
      </c>
    </row>
    <row r="14" customFormat="false" ht="15" hidden="false" customHeight="false" outlineLevel="0" collapsed="false">
      <c r="A14" s="23" t="s">
        <v>30</v>
      </c>
      <c r="B14" s="8" t="n">
        <f aca="false">Portfolio!B22</f>
        <v>415405340.702341</v>
      </c>
      <c r="C14" s="5" t="n">
        <v>415405340.702342</v>
      </c>
      <c r="D14" s="8" t="n">
        <f aca="false">B14-C14</f>
        <v>0</v>
      </c>
      <c r="E14" s="9" t="str">
        <f aca="false">IF(ISNUMBER(B14),IF(ABS(D14)&lt;=ABS(C14)*0.0001+0.000001,"OK","CHECK"),"CHECK")</f>
        <v>OK</v>
      </c>
    </row>
    <row r="15" customFormat="false" ht="15" hidden="false" customHeight="false" outlineLevel="0" collapsed="false">
      <c r="A15" s="23" t="s">
        <v>55</v>
      </c>
      <c r="B15" s="11" t="n">
        <f aca="false">Portfolio!B28</f>
        <v>0.0615415319559024</v>
      </c>
      <c r="C15" s="28" t="n">
        <v>0.0615</v>
      </c>
      <c r="D15" s="11" t="n">
        <f aca="false">B15-C15</f>
        <v>4.1531955902438E-005</v>
      </c>
      <c r="E15" s="9" t="str">
        <f aca="false">IF(ISNUMBER(B15),IF(ABS(D15)&lt;=0.00005,"OK","CHECK"),"CHECK")</f>
        <v>OK</v>
      </c>
      <c r="F15" s="29" t="s">
        <v>56</v>
      </c>
    </row>
    <row r="16" customFormat="false" ht="15" hidden="false" customHeight="false" outlineLevel="0" collapsed="false">
      <c r="A16" s="23" t="s">
        <v>57</v>
      </c>
      <c r="B16" s="11" t="n">
        <f aca="false">Portfolio!B29</f>
        <v>0.00494978804409757</v>
      </c>
      <c r="C16" s="28" t="n">
        <v>0.0049</v>
      </c>
      <c r="D16" s="11" t="n">
        <f aca="false">B16-C16</f>
        <v>4.97880440975696E-005</v>
      </c>
      <c r="E16" s="9" t="str">
        <f aca="false">IF(ISNUMBER(B16),IF(ABS(D16)&lt;=0.00005,"OK","CHECK"),"CHECK")</f>
        <v>OK</v>
      </c>
      <c r="F16" s="29" t="s">
        <v>58</v>
      </c>
    </row>
    <row r="17" customFormat="false" ht="15" hidden="false" customHeight="false" outlineLevel="0" collapsed="false">
      <c r="A17" s="23" t="s">
        <v>59</v>
      </c>
      <c r="B17" s="17" t="n">
        <f aca="false">Portfolio!B30</f>
        <v>3.906</v>
      </c>
      <c r="C17" s="27" t="n">
        <v>3.91</v>
      </c>
      <c r="D17" s="17" t="n">
        <f aca="false">B17-C17</f>
        <v>-0.004</v>
      </c>
      <c r="E17" s="9" t="str">
        <f aca="false">IF(ISNUMBER(B17),IF(ABS(D17)&lt;=0.005,"OK","CHECK"),"CHECK")</f>
        <v>OK</v>
      </c>
      <c r="F17" s="29" t="s">
        <v>60</v>
      </c>
    </row>
    <row r="18" customFormat="false" ht="15" hidden="false" customHeight="false" outlineLevel="0" collapsed="false">
      <c r="A18" s="23" t="s">
        <v>61</v>
      </c>
      <c r="B18" s="18" t="n">
        <f aca="false">Portfolio!B32</f>
        <v>19.9505227036948</v>
      </c>
      <c r="C18" s="30" t="n">
        <v>19.95</v>
      </c>
      <c r="D18" s="18" t="n">
        <f aca="false">B18-C18</f>
        <v>0.000522703694837645</v>
      </c>
      <c r="E18" s="9" t="str">
        <f aca="false">IF(ISNUMBER(B18),IF(ABS(D18)&lt;=0.005,"OK","CHECK"),"CHECK")</f>
        <v>OK</v>
      </c>
      <c r="F18" s="29" t="s">
        <v>62</v>
      </c>
    </row>
    <row r="19" customFormat="false" ht="15" hidden="false" customHeight="false" outlineLevel="0" collapsed="false">
      <c r="A19" s="23" t="s">
        <v>63</v>
      </c>
      <c r="B19" s="11" t="n">
        <f aca="false">Portfolio!B33</f>
        <v>0.0175434</v>
      </c>
      <c r="C19" s="28" t="n">
        <v>0.0175</v>
      </c>
      <c r="D19" s="11" t="n">
        <f aca="false">B19-C19</f>
        <v>4.3399999999999E-005</v>
      </c>
      <c r="E19" s="9" t="str">
        <f aca="false">IF(ISNUMBER(B19),IF(ABS(D19)&lt;=0.00005,"OK","CHECK"),"CHECK")</f>
        <v>OK</v>
      </c>
      <c r="F19" s="29" t="s">
        <v>62</v>
      </c>
    </row>
    <row r="20" customFormat="false" ht="15" hidden="false" customHeight="false" outlineLevel="0" collapsed="false">
      <c r="A20" s="23" t="s">
        <v>64</v>
      </c>
      <c r="B20" s="18" t="n">
        <f aca="false">Portfolio!B34</f>
        <v>3.99010454073897</v>
      </c>
      <c r="C20" s="30" t="n">
        <v>3.99</v>
      </c>
      <c r="D20" s="18" t="n">
        <f aca="false">B20-C20</f>
        <v>0.000104540738967263</v>
      </c>
      <c r="E20" s="9" t="str">
        <f aca="false">IF(ISNUMBER(B20),IF(ABS(D20)&lt;=0.005,"OK","CHECK"),"CHECK")</f>
        <v>OK</v>
      </c>
      <c r="F20" s="29" t="s">
        <v>62</v>
      </c>
    </row>
    <row r="21" customFormat="false" ht="15" hidden="false" customHeight="false" outlineLevel="0" collapsed="false">
      <c r="A21" s="23" t="s">
        <v>65</v>
      </c>
      <c r="B21" s="31" t="b">
        <f aca="false">ABS(Portfolio!B17-Portfolio!B28-Portfolio!B16)&lt;0.000000000001</f>
        <v>1</v>
      </c>
      <c r="C21" s="4" t="s">
        <v>66</v>
      </c>
      <c r="E21" s="9" t="str">
        <f aca="false">IF(B21=TRUE(),"OK","CHECK")</f>
        <v>OK</v>
      </c>
    </row>
    <row r="22" customFormat="false" ht="15" hidden="false" customHeight="false" outlineLevel="0" collapsed="false">
      <c r="A22" s="23" t="s">
        <v>67</v>
      </c>
      <c r="B22" s="31" t="b">
        <f aca="false">Portfolio!B18&lt;=SUM(Portfolio!G5:G11)</f>
        <v>1</v>
      </c>
      <c r="C22" s="4" t="s">
        <v>66</v>
      </c>
      <c r="E22" s="9" t="str">
        <f aca="false">IF(B22=TRUE(),"OK","CHECK")</f>
        <v>OK</v>
      </c>
      <c r="F22" s="29" t="s">
        <v>68</v>
      </c>
    </row>
    <row r="23" customFormat="false" ht="15" hidden="false" customHeight="false" outlineLevel="0" collapsed="false">
      <c r="A23" s="23" t="s">
        <v>69</v>
      </c>
      <c r="B23" s="31" t="b">
        <f aca="false">AND(MIN(Portfolio!H5:H11)&gt;=0.08,MAX(Portfolio!H5:H11)&lt;=0.24)</f>
        <v>1</v>
      </c>
      <c r="C23" s="4" t="s">
        <v>66</v>
      </c>
      <c r="E23" s="9" t="str">
        <f aca="false">IF(B23=TRUE(),"OK","CHECK")</f>
        <v>OK</v>
      </c>
      <c r="F23" s="29" t="s">
        <v>70</v>
      </c>
    </row>
    <row r="25" customFormat="false" ht="15" hidden="false" customHeight="false" outlineLevel="0" collapsed="false">
      <c r="A25" s="9" t="s">
        <v>71</v>
      </c>
      <c r="B25" s="9" t="n">
        <f aca="false">COUNTIF(E5:E23,"CHECK")</f>
        <v>0</v>
      </c>
    </row>
    <row r="26" customFormat="false" ht="15" hidden="false" customHeight="false" outlineLevel="0" collapsed="false">
      <c r="A26" s="9" t="s">
        <v>72</v>
      </c>
      <c r="B26" s="9" t="str">
        <f aca="false">IF(COUNTIF(E5:E23,"OK")=19,"ALL OK",COUNTIF(E5:E23,"OK")&amp;" / 19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2026-08-27T03:35:28Z</dcterms:created>
  <dc:creator>openpyxl</dc:creator>
  <dc:description/>
  <dc:language>en-US</dc:language>
  <cp:lastModifiedBy/>
  <dcterms:modified xsi:type="dcterms:W3CDTF">2026-09-23T22:57:31Z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