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ank" sheetId="1" state="visible" r:id="rId3"/>
    <sheet name="Control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<sst xmlns="http://schemas.openxmlformats.org/spreadsheetml/2006/main" count="144" uniqueCount="107">
  <si>
    <t xml:space="preserve">Northwall 2026-1 — the bank's economics</t>
  </si>
  <si>
    <t xml:space="preserve">What the trade costs, what it releases, and the two ceilings.</t>
  </si>
  <si>
    <t xml:space="preserve">Inputs</t>
  </si>
  <si>
    <t xml:space="preserve">Portfolio exposure</t>
  </si>
  <si>
    <t xml:space="preserve">RWA before</t>
  </si>
  <si>
    <t xml:space="preserve">Expected loss</t>
  </si>
  <si>
    <t xml:space="preserve">CET1 target</t>
  </si>
  <si>
    <t xml:space="preserve">Cost of equity</t>
  </si>
  <si>
    <t xml:space="preserve">Margin on the protection</t>
  </si>
  <si>
    <t xml:space="preserve">Reference rate</t>
  </si>
  <si>
    <t xml:space="preserve">Sold notional</t>
  </si>
  <si>
    <t xml:space="preserve">Retained vertically (deducted)</t>
  </si>
  <si>
    <t xml:space="preserve">Senior risk weight</t>
  </si>
  <si>
    <t xml:space="preserve">Senior notional</t>
  </si>
  <si>
    <t xml:space="preserve">Portfolio net margin</t>
  </si>
  <si>
    <t xml:space="preserve">Operating costs</t>
  </si>
  <si>
    <t xml:space="preserve">Tax rate</t>
  </si>
  <si>
    <t xml:space="preserve">Capital</t>
  </si>
  <si>
    <t xml:space="preserve">Capital before</t>
  </si>
  <si>
    <t xml:space="preserve">RWA after</t>
  </si>
  <si>
    <t xml:space="preserve">Capital after  (senior RWA at target, plus the deduction at par)</t>
  </si>
  <si>
    <t xml:space="preserve">Capital released</t>
  </si>
  <si>
    <t xml:space="preserve">Share of RWA released</t>
  </si>
  <si>
    <t xml:space="preserve">Cost</t>
  </si>
  <si>
    <t xml:space="preserve">Coupon paid</t>
  </si>
  <si>
    <t xml:space="preserve">Return on the collateral held</t>
  </si>
  <si>
    <t xml:space="preserve">Net cost of protection  (the margin, and nothing else)</t>
  </si>
  <si>
    <t xml:space="preserve">Cost per euro of capital released</t>
  </si>
  <si>
    <t xml:space="preserve">Return on equity</t>
  </si>
  <si>
    <t xml:space="preserve">Profit before protection</t>
  </si>
  <si>
    <t xml:space="preserve">Return on equity before</t>
  </si>
  <si>
    <t xml:space="preserve">Return on equity after</t>
  </si>
  <si>
    <t xml:space="preserve">Improvement</t>
  </si>
  <si>
    <t xml:space="preserve">The two ceilings</t>
  </si>
  <si>
    <t xml:space="preserve">Value-creation ceiling</t>
  </si>
  <si>
    <t xml:space="preserve">Return-neutral ceiling</t>
  </si>
  <si>
    <t xml:space="preserve">Ceiling used  (the stricter)</t>
  </si>
  <si>
    <t xml:space="preserve">Chapter 13: weight the retained slice, or deduct it</t>
  </si>
  <si>
    <t xml:space="preserve">Risk weight of the retained slice  (from Tranche_Capital)</t>
  </si>
  <si>
    <t xml:space="preserve">Capital after, slice deducted</t>
  </si>
  <si>
    <t xml:space="preserve">Capital after, slice risk-weighted</t>
  </si>
  <si>
    <t xml:space="preserve">What the wrong box costs</t>
  </si>
  <si>
    <t xml:space="preserve">A 1250 percent weight at the target, per euro</t>
  </si>
  <si>
    <t xml:space="preserve">Chapter 13: random selection instead of a vertical slice</t>
  </si>
  <si>
    <t xml:space="preserve">Retention share</t>
  </si>
  <si>
    <t xml:space="preserve">Detachment point</t>
  </si>
  <si>
    <t xml:space="preserve">Loans kept outside the pool  (5 percent of the pool, not of the tranche)</t>
  </si>
  <si>
    <t xml:space="preserve">Capital on them, at the portfolio's density</t>
  </si>
  <si>
    <t xml:space="preserve">Capital on the senior of the smaller pool</t>
  </si>
  <si>
    <t xml:space="preserve">Capital after, random selection</t>
  </si>
  <si>
    <t xml:space="preserve">Saving against the vertical slice</t>
  </si>
  <si>
    <t xml:space="preserve">Notional sold: unchanged</t>
  </si>
  <si>
    <t xml:space="preserve">Other figures the book prints</t>
  </si>
  <si>
    <t xml:space="preserve">Cost of protection after tax</t>
  </si>
  <si>
    <t xml:space="preserve">RWA density after</t>
  </si>
  <si>
    <t xml:space="preserve">Return on RWA before</t>
  </si>
  <si>
    <t xml:space="preserve">Return on RWA after</t>
  </si>
  <si>
    <t xml:space="preserve">Post-tax profit before</t>
  </si>
  <si>
    <t xml:space="preserve">Post-tax profit after</t>
  </si>
  <si>
    <t xml:space="preserve">Room the bank kept below its ceiling</t>
  </si>
  <si>
    <t xml:space="preserve">How far the coupon overstates the cost</t>
  </si>
  <si>
    <t xml:space="preserve">Chapter 10: the same trade with the STS treatment</t>
  </si>
  <si>
    <t xml:space="preserve">Senior risk weight under STS  (from Tranche_Capital)</t>
  </si>
  <si>
    <t xml:space="preserve">Capital after</t>
  </si>
  <si>
    <t xml:space="preserve">Gain over the non-STS trade</t>
  </si>
  <si>
    <t xml:space="preserve">Gain in return on equity</t>
  </si>
  <si>
    <t xml:space="preserve">Ceiling used</t>
  </si>
  <si>
    <t xml:space="preserve">What the label adds to the margin the bank can afford</t>
  </si>
  <si>
    <t xml:space="preserve">Revised 24 September 2026: rows 44 to 83 added, so that Chapters 10 and 13 can be checked here too.</t>
  </si>
  <si>
    <t xml:space="preserve">Controls</t>
  </si>
  <si>
    <t xml:space="preserve">Each row reproduces a figure printed in the book, or tests something that must hold.</t>
  </si>
  <si>
    <t xml:space="preserve">Figure</t>
  </si>
  <si>
    <t xml:space="preserve">Live formula</t>
  </si>
  <si>
    <t xml:space="preserve">Printed in the book</t>
  </si>
  <si>
    <t xml:space="preserve">Difference</t>
  </si>
  <si>
    <t xml:space="preserve">Status</t>
  </si>
  <si>
    <t xml:space="preserve">Note</t>
  </si>
  <si>
    <t xml:space="preserve">Net cost of protection</t>
  </si>
  <si>
    <t xml:space="preserve">Cost per euro of capital</t>
  </si>
  <si>
    <t xml:space="preserve">Chapter 13</t>
  </si>
  <si>
    <t xml:space="preserve">1250 percent at the 13.50 percent target</t>
  </si>
  <si>
    <t xml:space="preserve">Chapter 13: 168.75 percent</t>
  </si>
  <si>
    <t xml:space="preserve">Random selection saves</t>
  </si>
  <si>
    <t xml:space="preserve">Chapter 13: "roughly EUR 2.1 million"</t>
  </si>
  <si>
    <t xml:space="preserve">Random selection sells the same notional</t>
  </si>
  <si>
    <t xml:space="preserve">—</t>
  </si>
  <si>
    <t xml:space="preserve">Cost after tax</t>
  </si>
  <si>
    <t xml:space="preserve">Chapter 12</t>
  </si>
  <si>
    <t xml:space="preserve">Chapter 11</t>
  </si>
  <si>
    <t xml:space="preserve">Chapter 14</t>
  </si>
  <si>
    <t xml:space="preserve">Room below the ceiling</t>
  </si>
  <si>
    <t xml:space="preserve">Chapter 15: +2.41 points</t>
  </si>
  <si>
    <t xml:space="preserve">Collateral return</t>
  </si>
  <si>
    <t xml:space="preserve">The coupon overstates the cost by about a quarter</t>
  </si>
  <si>
    <t xml:space="preserve">Chapter 6</t>
  </si>
  <si>
    <t xml:space="preserve">STS: RWA after</t>
  </si>
  <si>
    <t xml:space="preserve">Chapter 10</t>
  </si>
  <si>
    <t xml:space="preserve">STS: capital released</t>
  </si>
  <si>
    <t xml:space="preserve">STS: gain in capital</t>
  </si>
  <si>
    <t xml:space="preserve">STS: cost per euro</t>
  </si>
  <si>
    <t xml:space="preserve">STS: return on equity</t>
  </si>
  <si>
    <t xml:space="preserve">STS: gain in return on equity</t>
  </si>
  <si>
    <t xml:space="preserve">STS: margin the bank can afford, gain</t>
  </si>
  <si>
    <t xml:space="preserve">At the value-creation ceiling, the after-tax cost equals the cost of equity on the release</t>
  </si>
  <si>
    <t xml:space="preserve">At the return-neutral ceiling, return on equity is unchanged</t>
  </si>
  <si>
    <t xml:space="preserve">Failures</t>
  </si>
  <si>
    <t xml:space="preserve">All checks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</si>
</sst>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0%"/>
    <numFmt numFmtId="167" formatCode="0.0000"/>
    <numFmt numFmtId="168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9"/>
      <color rgb="FF555555"/>
      <name val="Arial"/>
      <family val="0"/>
      <charset val="1"/>
    </font>
    <font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4000000000</v>
      </c>
    </row>
    <row r="6" customFormat="false" ht="15" hidden="false" customHeight="false" outlineLevel="0" collapsed="false">
      <c r="A6" s="4" t="s">
        <v>4</v>
      </c>
      <c r="B6" s="5" t="n">
        <v>3077076597.79512</v>
      </c>
    </row>
    <row r="7" customFormat="false" ht="15" hidden="false" customHeight="false" outlineLevel="0" collapsed="false">
      <c r="A7" s="4" t="s">
        <v>5</v>
      </c>
      <c r="B7" s="5" t="n">
        <v>14034720</v>
      </c>
    </row>
    <row r="8" customFormat="false" ht="15" hidden="false" customHeight="false" outlineLevel="0" collapsed="false">
      <c r="A8" s="4" t="s">
        <v>6</v>
      </c>
      <c r="B8" s="6" t="n">
        <v>0.135</v>
      </c>
    </row>
    <row r="9" customFormat="false" ht="15" hidden="false" customHeight="false" outlineLevel="0" collapsed="false">
      <c r="A9" s="4" t="s">
        <v>7</v>
      </c>
      <c r="B9" s="6" t="n">
        <v>0.115</v>
      </c>
    </row>
    <row r="10" customFormat="false" ht="15" hidden="false" customHeight="false" outlineLevel="0" collapsed="false">
      <c r="A10" s="4" t="s">
        <v>8</v>
      </c>
      <c r="B10" s="6" t="n">
        <v>0.105</v>
      </c>
    </row>
    <row r="11" customFormat="false" ht="15" hidden="false" customHeight="false" outlineLevel="0" collapsed="false">
      <c r="A11" s="4" t="s">
        <v>9</v>
      </c>
      <c r="B11" s="6" t="n">
        <v>0.025</v>
      </c>
    </row>
    <row r="12" customFormat="false" ht="15" hidden="false" customHeight="false" outlineLevel="0" collapsed="false">
      <c r="A12" s="4" t="s">
        <v>10</v>
      </c>
      <c r="B12" s="5" t="n">
        <v>266000000</v>
      </c>
    </row>
    <row r="13" customFormat="false" ht="15" hidden="false" customHeight="false" outlineLevel="0" collapsed="false">
      <c r="A13" s="4" t="s">
        <v>11</v>
      </c>
      <c r="B13" s="5" t="n">
        <v>14000000</v>
      </c>
    </row>
    <row r="14" customFormat="false" ht="15" hidden="false" customHeight="false" outlineLevel="0" collapsed="false">
      <c r="A14" s="4" t="s">
        <v>12</v>
      </c>
      <c r="B14" s="6" t="n">
        <v>0.353357925857869</v>
      </c>
    </row>
    <row r="15" customFormat="false" ht="15" hidden="false" customHeight="false" outlineLevel="0" collapsed="false">
      <c r="A15" s="4" t="s">
        <v>13</v>
      </c>
      <c r="B15" s="5" t="n">
        <v>3720000000</v>
      </c>
    </row>
    <row r="16" customFormat="false" ht="15" hidden="false" customHeight="false" outlineLevel="0" collapsed="false">
      <c r="A16" s="4" t="s">
        <v>14</v>
      </c>
      <c r="B16" s="6" t="n">
        <v>0.0245</v>
      </c>
    </row>
    <row r="17" customFormat="false" ht="15" hidden="false" customHeight="false" outlineLevel="0" collapsed="false">
      <c r="A17" s="4" t="s">
        <v>15</v>
      </c>
      <c r="B17" s="6" t="n">
        <v>0.003</v>
      </c>
    </row>
    <row r="18" customFormat="false" ht="15" hidden="false" customHeight="false" outlineLevel="0" collapsed="false">
      <c r="A18" s="4" t="s">
        <v>16</v>
      </c>
      <c r="B18" s="6" t="n">
        <v>0.25</v>
      </c>
    </row>
    <row r="20" customFormat="false" ht="15" hidden="false" customHeight="false" outlineLevel="0" collapsed="false">
      <c r="A20" s="3" t="s">
        <v>17</v>
      </c>
    </row>
    <row r="21" customFormat="false" ht="15" hidden="false" customHeight="false" outlineLevel="0" collapsed="false">
      <c r="A21" s="4" t="s">
        <v>18</v>
      </c>
      <c r="B21" s="7" t="n">
        <f aca="false">B6*B8</f>
        <v>415405340.702342</v>
      </c>
    </row>
    <row r="22" customFormat="false" ht="15" hidden="false" customHeight="false" outlineLevel="0" collapsed="false">
      <c r="A22" s="4" t="s">
        <v>19</v>
      </c>
      <c r="B22" s="7" t="n">
        <f aca="false">B14*B15</f>
        <v>1314491484.19127</v>
      </c>
    </row>
    <row r="23" customFormat="false" ht="15" hidden="false" customHeight="false" outlineLevel="0" collapsed="false">
      <c r="A23" s="4" t="s">
        <v>20</v>
      </c>
      <c r="B23" s="7" t="n">
        <f aca="false">B22*B8+B13</f>
        <v>191456350.365822</v>
      </c>
    </row>
    <row r="24" customFormat="false" ht="15" hidden="false" customHeight="false" outlineLevel="0" collapsed="false">
      <c r="A24" s="4" t="s">
        <v>21</v>
      </c>
      <c r="B24" s="7" t="n">
        <f aca="false">B21-B23</f>
        <v>223948990.33652</v>
      </c>
    </row>
    <row r="25" customFormat="false" ht="15" hidden="false" customHeight="false" outlineLevel="0" collapsed="false">
      <c r="A25" s="4" t="s">
        <v>22</v>
      </c>
      <c r="B25" s="8" t="n">
        <f aca="false">1-B22/B6</f>
        <v>0.572811581897841</v>
      </c>
    </row>
    <row r="27" customFormat="false" ht="15" hidden="false" customHeight="false" outlineLevel="0" collapsed="false">
      <c r="A27" s="3" t="s">
        <v>23</v>
      </c>
    </row>
    <row r="28" customFormat="false" ht="15" hidden="false" customHeight="false" outlineLevel="0" collapsed="false">
      <c r="A28" s="4" t="s">
        <v>24</v>
      </c>
      <c r="B28" s="7" t="n">
        <f aca="false">(B11+B10)*B12</f>
        <v>34580000</v>
      </c>
    </row>
    <row r="29" customFormat="false" ht="15" hidden="false" customHeight="false" outlineLevel="0" collapsed="false">
      <c r="A29" s="4" t="s">
        <v>25</v>
      </c>
      <c r="B29" s="7" t="n">
        <f aca="false">B11*B12</f>
        <v>6650000</v>
      </c>
    </row>
    <row r="30" customFormat="false" ht="15" hidden="false" customHeight="false" outlineLevel="0" collapsed="false">
      <c r="A30" s="4" t="s">
        <v>26</v>
      </c>
      <c r="B30" s="7" t="n">
        <f aca="false">B28-B29</f>
        <v>27930000</v>
      </c>
    </row>
    <row r="31" customFormat="false" ht="15" hidden="false" customHeight="false" outlineLevel="0" collapsed="false">
      <c r="A31" s="4" t="s">
        <v>27</v>
      </c>
      <c r="B31" s="8" t="n">
        <f aca="false">B30/B24</f>
        <v>0.124715900518375</v>
      </c>
    </row>
    <row r="33" customFormat="false" ht="15" hidden="false" customHeight="false" outlineLevel="0" collapsed="false">
      <c r="A33" s="3" t="s">
        <v>28</v>
      </c>
    </row>
    <row r="34" customFormat="false" ht="15" hidden="false" customHeight="false" outlineLevel="0" collapsed="false">
      <c r="A34" s="4" t="s">
        <v>29</v>
      </c>
      <c r="B34" s="7" t="n">
        <f aca="false">(B16-B17)*B5-B7</f>
        <v>71965280</v>
      </c>
    </row>
    <row r="35" customFormat="false" ht="15" hidden="false" customHeight="false" outlineLevel="0" collapsed="false">
      <c r="A35" s="4" t="s">
        <v>30</v>
      </c>
      <c r="B35" s="8" t="n">
        <f aca="false">B34*(1-B18)/B21</f>
        <v>0.129930828305539</v>
      </c>
    </row>
    <row r="36" customFormat="false" ht="15" hidden="false" customHeight="false" outlineLevel="0" collapsed="false">
      <c r="A36" s="4" t="s">
        <v>31</v>
      </c>
      <c r="B36" s="8" t="n">
        <f aca="false">(B34-B30)*(1-B18)/B23</f>
        <v>0.172501251261164</v>
      </c>
    </row>
    <row r="37" customFormat="false" ht="15" hidden="false" customHeight="false" outlineLevel="0" collapsed="false">
      <c r="A37" s="4" t="s">
        <v>32</v>
      </c>
      <c r="B37" s="8" t="n">
        <f aca="false">B36-B35</f>
        <v>0.0425704229556244</v>
      </c>
    </row>
    <row r="39" customFormat="false" ht="15" hidden="false" customHeight="false" outlineLevel="0" collapsed="false">
      <c r="A39" s="3" t="s">
        <v>33</v>
      </c>
    </row>
    <row r="40" customFormat="false" ht="15" hidden="false" customHeight="false" outlineLevel="0" collapsed="false">
      <c r="A40" s="4" t="s">
        <v>34</v>
      </c>
      <c r="B40" s="8" t="n">
        <f aca="false">B9*B24/(1-B18)/B12</f>
        <v>0.129093402950876</v>
      </c>
    </row>
    <row r="41" customFormat="false" ht="15" hidden="false" customHeight="false" outlineLevel="0" collapsed="false">
      <c r="A41" s="4" t="s">
        <v>35</v>
      </c>
      <c r="B41" s="8" t="n">
        <f aca="false">(B34-B35*B23/(1-B18))/B12</f>
        <v>0.145854024123375</v>
      </c>
    </row>
    <row r="42" customFormat="false" ht="15" hidden="false" customHeight="false" outlineLevel="0" collapsed="false">
      <c r="A42" s="4" t="s">
        <v>36</v>
      </c>
      <c r="B42" s="8" t="n">
        <f aca="false">MIN(B40,B41)</f>
        <v>0.129093402950876</v>
      </c>
    </row>
    <row r="44" customFormat="false" ht="15" hidden="false" customHeight="false" outlineLevel="0" collapsed="false">
      <c r="A44" s="3" t="s">
        <v>37</v>
      </c>
    </row>
    <row r="45" customFormat="false" ht="15" hidden="false" customHeight="false" outlineLevel="0" collapsed="false">
      <c r="A45" s="4" t="s">
        <v>38</v>
      </c>
      <c r="B45" s="6" t="n">
        <v>12.4411273967655</v>
      </c>
    </row>
    <row r="46" customFormat="false" ht="15" hidden="false" customHeight="false" outlineLevel="0" collapsed="false">
      <c r="A46" s="4" t="s">
        <v>39</v>
      </c>
      <c r="B46" s="7" t="n">
        <f aca="false">B23</f>
        <v>191456350.365822</v>
      </c>
    </row>
    <row r="47" customFormat="false" ht="15" hidden="false" customHeight="false" outlineLevel="0" collapsed="false">
      <c r="A47" s="4" t="s">
        <v>40</v>
      </c>
      <c r="B47" s="7" t="n">
        <f aca="false">B22*B8+B13*B45*B8</f>
        <v>200970081.145709</v>
      </c>
    </row>
    <row r="48" customFormat="false" ht="15" hidden="false" customHeight="false" outlineLevel="0" collapsed="false">
      <c r="A48" s="3" t="s">
        <v>41</v>
      </c>
      <c r="B48" s="9" t="n">
        <f aca="false">B47-B46</f>
        <v>9513730.77988678</v>
      </c>
    </row>
    <row r="49" customFormat="false" ht="15" hidden="false" customHeight="false" outlineLevel="0" collapsed="false">
      <c r="A49" s="4" t="s">
        <v>42</v>
      </c>
      <c r="B49" s="8" t="n">
        <f aca="false">12.5*B8</f>
        <v>1.6875</v>
      </c>
    </row>
    <row r="51" customFormat="false" ht="15" hidden="false" customHeight="false" outlineLevel="0" collapsed="false">
      <c r="A51" s="3" t="s">
        <v>43</v>
      </c>
    </row>
    <row r="52" customFormat="false" ht="15" hidden="false" customHeight="false" outlineLevel="0" collapsed="false">
      <c r="A52" s="4" t="s">
        <v>44</v>
      </c>
      <c r="B52" s="8" t="n">
        <f aca="false">B13/(B12+B13)</f>
        <v>0.05</v>
      </c>
    </row>
    <row r="53" customFormat="false" ht="15" hidden="false" customHeight="false" outlineLevel="0" collapsed="false">
      <c r="A53" s="4" t="s">
        <v>45</v>
      </c>
      <c r="B53" s="8" t="n">
        <f aca="false">1-B15/B5</f>
        <v>0.07</v>
      </c>
    </row>
    <row r="54" customFormat="false" ht="15" hidden="false" customHeight="false" outlineLevel="0" collapsed="false">
      <c r="A54" s="4" t="s">
        <v>46</v>
      </c>
      <c r="B54" s="7" t="n">
        <f aca="false">B52*B5</f>
        <v>200000000</v>
      </c>
    </row>
    <row r="55" customFormat="false" ht="15" hidden="false" customHeight="false" outlineLevel="0" collapsed="false">
      <c r="A55" s="4" t="s">
        <v>47</v>
      </c>
      <c r="B55" s="7" t="n">
        <f aca="false">B54*B6/B5*B8</f>
        <v>20770267.0351171</v>
      </c>
    </row>
    <row r="56" customFormat="false" ht="15" hidden="false" customHeight="false" outlineLevel="0" collapsed="false">
      <c r="A56" s="4" t="s">
        <v>48</v>
      </c>
      <c r="B56" s="7" t="n">
        <f aca="false">(1-B53)*(B5-B54)*B14*B8</f>
        <v>168583532.847531</v>
      </c>
    </row>
    <row r="57" customFormat="false" ht="15" hidden="false" customHeight="false" outlineLevel="0" collapsed="false">
      <c r="A57" s="4" t="s">
        <v>49</v>
      </c>
      <c r="B57" s="7" t="n">
        <f aca="false">B55+B56</f>
        <v>189353799.882648</v>
      </c>
    </row>
    <row r="58" customFormat="false" ht="15" hidden="false" customHeight="false" outlineLevel="0" collapsed="false">
      <c r="A58" s="3" t="s">
        <v>50</v>
      </c>
      <c r="B58" s="9" t="n">
        <f aca="false">B23-B57</f>
        <v>2102550.48317403</v>
      </c>
    </row>
    <row r="59" customFormat="false" ht="15" hidden="false" customHeight="false" outlineLevel="0" collapsed="false">
      <c r="A59" s="4" t="s">
        <v>51</v>
      </c>
      <c r="B59" s="7" t="n">
        <f aca="false">B53*(B5-B54)</f>
        <v>266000000</v>
      </c>
    </row>
    <row r="61" customFormat="false" ht="15" hidden="false" customHeight="false" outlineLevel="0" collapsed="false">
      <c r="A61" s="3" t="s">
        <v>52</v>
      </c>
    </row>
    <row r="62" customFormat="false" ht="15" hidden="false" customHeight="false" outlineLevel="0" collapsed="false">
      <c r="A62" s="4" t="s">
        <v>53</v>
      </c>
      <c r="B62" s="7" t="n">
        <f aca="false">B30*(1-B18)</f>
        <v>20947500</v>
      </c>
    </row>
    <row r="63" customFormat="false" ht="15" hidden="false" customHeight="false" outlineLevel="0" collapsed="false">
      <c r="A63" s="4" t="s">
        <v>54</v>
      </c>
      <c r="B63" s="8" t="n">
        <f aca="false">B22/B5</f>
        <v>0.328622871047818</v>
      </c>
    </row>
    <row r="64" customFormat="false" ht="15" hidden="false" customHeight="false" outlineLevel="0" collapsed="false">
      <c r="A64" s="4" t="s">
        <v>55</v>
      </c>
      <c r="B64" s="8" t="n">
        <f aca="false">B34*(1-B18)/B6</f>
        <v>0.0175406618212478</v>
      </c>
    </row>
    <row r="65" customFormat="false" ht="15" hidden="false" customHeight="false" outlineLevel="0" collapsed="false">
      <c r="A65" s="4" t="s">
        <v>56</v>
      </c>
      <c r="B65" s="8" t="n">
        <f aca="false">(B34-B30)*(1-B18)/B22</f>
        <v>0.0251248946053988</v>
      </c>
    </row>
    <row r="66" customFormat="false" ht="15" hidden="false" customHeight="false" outlineLevel="0" collapsed="false">
      <c r="A66" s="4" t="s">
        <v>57</v>
      </c>
      <c r="B66" s="7" t="n">
        <f aca="false">B34*(1-B18)</f>
        <v>53973960</v>
      </c>
    </row>
    <row r="67" customFormat="false" ht="15" hidden="false" customHeight="false" outlineLevel="0" collapsed="false">
      <c r="A67" s="4" t="s">
        <v>58</v>
      </c>
      <c r="B67" s="7" t="n">
        <f aca="false">(B34-B30)*(1-B18)</f>
        <v>33026460</v>
      </c>
    </row>
    <row r="68" customFormat="false" ht="15" hidden="false" customHeight="false" outlineLevel="0" collapsed="false">
      <c r="A68" s="4" t="s">
        <v>59</v>
      </c>
      <c r="B68" s="8" t="n">
        <f aca="false">B42-B10</f>
        <v>0.0240934029508761</v>
      </c>
    </row>
    <row r="69" customFormat="false" ht="15" hidden="false" customHeight="false" outlineLevel="0" collapsed="false">
      <c r="A69" s="4" t="s">
        <v>60</v>
      </c>
      <c r="B69" s="8" t="n">
        <f aca="false">B28/B30-1</f>
        <v>0.238095238095238</v>
      </c>
    </row>
    <row r="71" customFormat="false" ht="15" hidden="false" customHeight="false" outlineLevel="0" collapsed="false">
      <c r="A71" s="3" t="s">
        <v>61</v>
      </c>
    </row>
    <row r="72" customFormat="false" ht="15" hidden="false" customHeight="false" outlineLevel="0" collapsed="false">
      <c r="A72" s="4" t="s">
        <v>62</v>
      </c>
      <c r="B72" s="6" t="n">
        <v>0.203536763805318</v>
      </c>
    </row>
    <row r="73" customFormat="false" ht="15" hidden="false" customHeight="false" outlineLevel="0" collapsed="false">
      <c r="A73" s="4" t="s">
        <v>19</v>
      </c>
      <c r="B73" s="7" t="n">
        <f aca="false">B72*B15</f>
        <v>757156761.355783</v>
      </c>
    </row>
    <row r="74" customFormat="false" ht="15" hidden="false" customHeight="false" outlineLevel="0" collapsed="false">
      <c r="A74" s="4" t="s">
        <v>63</v>
      </c>
      <c r="B74" s="7" t="n">
        <f aca="false">B73*B8+B13</f>
        <v>116216162.783031</v>
      </c>
    </row>
    <row r="75" customFormat="false" ht="15" hidden="false" customHeight="false" outlineLevel="0" collapsed="false">
      <c r="A75" s="3" t="s">
        <v>21</v>
      </c>
      <c r="B75" s="9" t="n">
        <f aca="false">B21-B74</f>
        <v>299189177.919311</v>
      </c>
    </row>
    <row r="76" customFormat="false" ht="15" hidden="false" customHeight="false" outlineLevel="0" collapsed="false">
      <c r="A76" s="4" t="s">
        <v>64</v>
      </c>
      <c r="B76" s="7" t="n">
        <f aca="false">B75-B24</f>
        <v>75240187.582791</v>
      </c>
    </row>
    <row r="77" customFormat="false" ht="15" hidden="false" customHeight="false" outlineLevel="0" collapsed="false">
      <c r="A77" s="4" t="s">
        <v>27</v>
      </c>
      <c r="B77" s="8" t="n">
        <f aca="false">B30/B75</f>
        <v>0.0933523070394362</v>
      </c>
    </row>
    <row r="78" customFormat="false" ht="15" hidden="false" customHeight="false" outlineLevel="0" collapsed="false">
      <c r="A78" s="3" t="s">
        <v>31</v>
      </c>
      <c r="B78" s="10" t="n">
        <f aca="false">(B34-B30)*(1-B18)/B74</f>
        <v>0.28418129810101</v>
      </c>
    </row>
    <row r="79" customFormat="false" ht="15" hidden="false" customHeight="false" outlineLevel="0" collapsed="false">
      <c r="A79" s="4" t="s">
        <v>65</v>
      </c>
      <c r="B79" s="8" t="n">
        <f aca="false">B78-B36</f>
        <v>0.111680046839847</v>
      </c>
    </row>
    <row r="80" customFormat="false" ht="15" hidden="false" customHeight="false" outlineLevel="0" collapsed="false">
      <c r="A80" s="4" t="s">
        <v>34</v>
      </c>
      <c r="B80" s="8" t="n">
        <f aca="false">B9*B75/(1-B18)/B12</f>
        <v>0.172464939652736</v>
      </c>
    </row>
    <row r="81" customFormat="false" ht="15" hidden="false" customHeight="false" outlineLevel="0" collapsed="false">
      <c r="A81" s="4" t="s">
        <v>35</v>
      </c>
      <c r="B81" s="8" t="n">
        <f aca="false">(B34-B35*B74/(1-B18))/B12</f>
        <v>0.194856630110824</v>
      </c>
    </row>
    <row r="82" customFormat="false" ht="15" hidden="false" customHeight="false" outlineLevel="0" collapsed="false">
      <c r="A82" s="4" t="s">
        <v>66</v>
      </c>
      <c r="B82" s="8" t="n">
        <f aca="false">MIN(B80,B81)</f>
        <v>0.172464939652736</v>
      </c>
    </row>
    <row r="83" customFormat="false" ht="15" hidden="false" customHeight="false" outlineLevel="0" collapsed="false">
      <c r="A83" s="3" t="s">
        <v>67</v>
      </c>
      <c r="B83" s="10" t="n">
        <f aca="false">B82-B42</f>
        <v>0.0433715367018595</v>
      </c>
    </row>
    <row r="85" customFormat="false" ht="15" hidden="false" customHeight="false" outlineLevel="0" collapsed="false">
      <c r="A85" s="11" t="s">
        <v>68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3" min="2" style="0" width="1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60"/>
  </cols>
  <sheetData>
    <row r="1" customFormat="false" ht="15" hidden="false" customHeight="false" outlineLevel="0" collapsed="false">
      <c r="A1" s="1" t="s">
        <v>69</v>
      </c>
    </row>
    <row r="2" customFormat="false" ht="15" hidden="false" customHeight="false" outlineLevel="0" collapsed="false">
      <c r="A2" s="12" t="s">
        <v>70</v>
      </c>
    </row>
    <row r="4" customFormat="false" ht="15" hidden="false" customHeight="false" outlineLevel="0" collapsed="false">
      <c r="A4" s="13" t="s">
        <v>71</v>
      </c>
      <c r="B4" s="13" t="s">
        <v>72</v>
      </c>
      <c r="C4" s="13" t="s">
        <v>73</v>
      </c>
      <c r="D4" s="13" t="s">
        <v>74</v>
      </c>
      <c r="E4" s="13" t="s">
        <v>75</v>
      </c>
      <c r="F4" s="13" t="s">
        <v>76</v>
      </c>
    </row>
    <row r="5" customFormat="false" ht="15" hidden="false" customHeight="false" outlineLevel="0" collapsed="false">
      <c r="A5" s="14" t="s">
        <v>18</v>
      </c>
      <c r="B5" s="7" t="n">
        <f aca="false">Bank!B21</f>
        <v>415405340.702342</v>
      </c>
      <c r="C5" s="15" t="n">
        <v>415405340.702342</v>
      </c>
      <c r="D5" s="7" t="n">
        <f aca="false">B5-C5</f>
        <v>0</v>
      </c>
      <c r="E5" s="3" t="str">
        <f aca="false">IF(ISNUMBER(B5),IF(ABS(D5)&lt;=ABS(C5)*0.0001+0.000001,"OK","CHECK"),"CHECK")</f>
        <v>OK</v>
      </c>
    </row>
    <row r="6" customFormat="false" ht="15" hidden="false" customHeight="false" outlineLevel="0" collapsed="false">
      <c r="A6" s="14" t="s">
        <v>63</v>
      </c>
      <c r="B6" s="7" t="n">
        <f aca="false">Bank!B23</f>
        <v>191456350.365822</v>
      </c>
      <c r="C6" s="15" t="n">
        <v>191456350.365822</v>
      </c>
      <c r="D6" s="7" t="n">
        <f aca="false">B6-C6</f>
        <v>0</v>
      </c>
      <c r="E6" s="3" t="str">
        <f aca="false">IF(ISNUMBER(B6),IF(ABS(D6)&lt;=ABS(C6)*0.0001+0.000001,"OK","CHECK"),"CHECK")</f>
        <v>OK</v>
      </c>
    </row>
    <row r="7" customFormat="false" ht="15" hidden="false" customHeight="false" outlineLevel="0" collapsed="false">
      <c r="A7" s="14" t="s">
        <v>21</v>
      </c>
      <c r="B7" s="7" t="n">
        <f aca="false">Bank!B24</f>
        <v>223948990.33652</v>
      </c>
      <c r="C7" s="15" t="n">
        <v>223948990.33652</v>
      </c>
      <c r="D7" s="7" t="n">
        <f aca="false">B7-C7</f>
        <v>0</v>
      </c>
      <c r="E7" s="3" t="str">
        <f aca="false">IF(ISNUMBER(B7),IF(ABS(D7)&lt;=ABS(C7)*0.0001+0.000001,"OK","CHECK"),"CHECK")</f>
        <v>OK</v>
      </c>
    </row>
    <row r="8" customFormat="false" ht="15" hidden="false" customHeight="false" outlineLevel="0" collapsed="false">
      <c r="A8" s="14" t="s">
        <v>22</v>
      </c>
      <c r="B8" s="16" t="n">
        <f aca="false">Bank!B25</f>
        <v>0.572811581897841</v>
      </c>
      <c r="C8" s="17" t="n">
        <v>0.572811581897841</v>
      </c>
      <c r="D8" s="16" t="n">
        <f aca="false">B8-C8</f>
        <v>0</v>
      </c>
      <c r="E8" s="3" t="str">
        <f aca="false">IF(ISNUMBER(B8),IF(ABS(D8)&lt;=ABS(C8)*0.0001+0.000001,"OK","CHECK"),"CHECK")</f>
        <v>OK</v>
      </c>
    </row>
    <row r="9" customFormat="false" ht="15" hidden="false" customHeight="false" outlineLevel="0" collapsed="false">
      <c r="A9" s="14" t="s">
        <v>24</v>
      </c>
      <c r="B9" s="7" t="n">
        <f aca="false">Bank!B28</f>
        <v>34580000</v>
      </c>
      <c r="C9" s="15" t="n">
        <v>34580000</v>
      </c>
      <c r="D9" s="7" t="n">
        <f aca="false">B9-C9</f>
        <v>0</v>
      </c>
      <c r="E9" s="3" t="str">
        <f aca="false">IF(ISNUMBER(B9),IF(ABS(D9)&lt;=ABS(C9)*0.0001+0.000001,"OK","CHECK"),"CHECK")</f>
        <v>OK</v>
      </c>
    </row>
    <row r="10" customFormat="false" ht="15" hidden="false" customHeight="false" outlineLevel="0" collapsed="false">
      <c r="A10" s="14" t="s">
        <v>77</v>
      </c>
      <c r="B10" s="7" t="n">
        <f aca="false">Bank!B30</f>
        <v>27930000</v>
      </c>
      <c r="C10" s="15" t="n">
        <v>27930000</v>
      </c>
      <c r="D10" s="7" t="n">
        <f aca="false">B10-C10</f>
        <v>0</v>
      </c>
      <c r="E10" s="3" t="str">
        <f aca="false">IF(ISNUMBER(B10),IF(ABS(D10)&lt;=ABS(C10)*0.0001+0.000001,"OK","CHECK"),"CHECK")</f>
        <v>OK</v>
      </c>
    </row>
    <row r="11" customFormat="false" ht="15" hidden="false" customHeight="false" outlineLevel="0" collapsed="false">
      <c r="A11" s="14" t="s">
        <v>78</v>
      </c>
      <c r="B11" s="16" t="n">
        <f aca="false">Bank!B31</f>
        <v>0.124715900518375</v>
      </c>
      <c r="C11" s="17" t="n">
        <v>0.124715900518375</v>
      </c>
      <c r="D11" s="16" t="n">
        <f aca="false">B11-C11</f>
        <v>0</v>
      </c>
      <c r="E11" s="3" t="str">
        <f aca="false">IF(ISNUMBER(B11),IF(ABS(D11)&lt;=ABS(C11)*0.0001+0.000001,"OK","CHECK"),"CHECK")</f>
        <v>OK</v>
      </c>
    </row>
    <row r="12" customFormat="false" ht="15" hidden="false" customHeight="false" outlineLevel="0" collapsed="false">
      <c r="A12" s="14" t="s">
        <v>30</v>
      </c>
      <c r="B12" s="16" t="n">
        <f aca="false">Bank!B35</f>
        <v>0.129930828305539</v>
      </c>
      <c r="C12" s="17" t="n">
        <v>0.129930828305539</v>
      </c>
      <c r="D12" s="16" t="n">
        <f aca="false">B12-C12</f>
        <v>0</v>
      </c>
      <c r="E12" s="3" t="str">
        <f aca="false">IF(ISNUMBER(B12),IF(ABS(D12)&lt;=ABS(C12)*0.0001+0.000001,"OK","CHECK"),"CHECK")</f>
        <v>OK</v>
      </c>
    </row>
    <row r="13" customFormat="false" ht="15" hidden="false" customHeight="false" outlineLevel="0" collapsed="false">
      <c r="A13" s="14" t="s">
        <v>31</v>
      </c>
      <c r="B13" s="16" t="n">
        <f aca="false">Bank!B36</f>
        <v>0.172501251261164</v>
      </c>
      <c r="C13" s="17" t="n">
        <v>0.172501251261164</v>
      </c>
      <c r="D13" s="16" t="n">
        <f aca="false">B13-C13</f>
        <v>0</v>
      </c>
      <c r="E13" s="3" t="str">
        <f aca="false">IF(ISNUMBER(B13),IF(ABS(D13)&lt;=ABS(C13)*0.0001+0.000001,"OK","CHECK"),"CHECK")</f>
        <v>OK</v>
      </c>
    </row>
    <row r="14" customFormat="false" ht="15" hidden="false" customHeight="false" outlineLevel="0" collapsed="false">
      <c r="A14" s="14" t="s">
        <v>34</v>
      </c>
      <c r="B14" s="16" t="n">
        <f aca="false">Bank!B40</f>
        <v>0.129093402950876</v>
      </c>
      <c r="C14" s="17" t="n">
        <v>0.129093402950876</v>
      </c>
      <c r="D14" s="16" t="n">
        <f aca="false">B14-C14</f>
        <v>0</v>
      </c>
      <c r="E14" s="3" t="str">
        <f aca="false">IF(ISNUMBER(B14),IF(ABS(D14)&lt;=ABS(C14)*0.0001+0.000001,"OK","CHECK"),"CHECK")</f>
        <v>OK</v>
      </c>
    </row>
    <row r="15" customFormat="false" ht="15" hidden="false" customHeight="false" outlineLevel="0" collapsed="false">
      <c r="A15" s="14" t="s">
        <v>35</v>
      </c>
      <c r="B15" s="16" t="n">
        <f aca="false">Bank!B41</f>
        <v>0.145854024123375</v>
      </c>
      <c r="C15" s="17" t="n">
        <v>0.145854024123375</v>
      </c>
      <c r="D15" s="16" t="n">
        <f aca="false">B15-C15</f>
        <v>0</v>
      </c>
      <c r="E15" s="3" t="str">
        <f aca="false">IF(ISNUMBER(B15),IF(ABS(D15)&lt;=ABS(C15)*0.0001+0.000001,"OK","CHECK"),"CHECK")</f>
        <v>OK</v>
      </c>
    </row>
    <row r="16" customFormat="false" ht="15" hidden="false" customHeight="false" outlineLevel="0" collapsed="false">
      <c r="A16" s="14" t="s">
        <v>66</v>
      </c>
      <c r="B16" s="16" t="n">
        <f aca="false">Bank!B42</f>
        <v>0.129093402950876</v>
      </c>
      <c r="C16" s="17" t="n">
        <v>0.129093402950876</v>
      </c>
      <c r="D16" s="16" t="n">
        <f aca="false">B16-C16</f>
        <v>0</v>
      </c>
      <c r="E16" s="3" t="str">
        <f aca="false">IF(ISNUMBER(B16),IF(ABS(D16)&lt;=ABS(C16)*0.0001+0.000001,"OK","CHECK"),"CHECK")</f>
        <v>OK</v>
      </c>
    </row>
    <row r="17" customFormat="false" ht="15" hidden="false" customHeight="false" outlineLevel="0" collapsed="false">
      <c r="A17" s="14" t="s">
        <v>40</v>
      </c>
      <c r="B17" s="7" t="n">
        <f aca="false">Bank!B47</f>
        <v>200970081.145709</v>
      </c>
      <c r="C17" s="15" t="n">
        <v>201000000</v>
      </c>
      <c r="D17" s="7" t="n">
        <f aca="false">B17-C17</f>
        <v>-29918.8542914689</v>
      </c>
      <c r="E17" s="3" t="str">
        <f aca="false">IF(ISNUMBER(B17),IF(ABS(D17)&lt;=50000,"OK","CHECK"),"CHECK")</f>
        <v>OK</v>
      </c>
      <c r="F17" s="18" t="s">
        <v>79</v>
      </c>
    </row>
    <row r="18" customFormat="false" ht="15" hidden="false" customHeight="false" outlineLevel="0" collapsed="false">
      <c r="A18" s="14" t="s">
        <v>41</v>
      </c>
      <c r="B18" s="7" t="n">
        <f aca="false">Bank!B48</f>
        <v>9513730.77988678</v>
      </c>
      <c r="C18" s="15" t="n">
        <v>9500000</v>
      </c>
      <c r="D18" s="7" t="n">
        <f aca="false">B18-C18</f>
        <v>13730.7798867822</v>
      </c>
      <c r="E18" s="3" t="str">
        <f aca="false">IF(ISNUMBER(B18),IF(ABS(D18)&lt;=50000,"OK","CHECK"),"CHECK")</f>
        <v>OK</v>
      </c>
      <c r="F18" s="18" t="s">
        <v>79</v>
      </c>
    </row>
    <row r="19" customFormat="false" ht="15" hidden="false" customHeight="false" outlineLevel="0" collapsed="false">
      <c r="A19" s="14" t="s">
        <v>80</v>
      </c>
      <c r="B19" s="8" t="n">
        <f aca="false">Bank!B49</f>
        <v>1.6875</v>
      </c>
      <c r="C19" s="19" t="n">
        <v>1.6875</v>
      </c>
      <c r="D19" s="8" t="n">
        <f aca="false">B19-C19</f>
        <v>0</v>
      </c>
      <c r="E19" s="3" t="str">
        <f aca="false">IF(ISNUMBER(B19),IF(ABS(D19)&lt;=0.00005,"OK","CHECK"),"CHECK")</f>
        <v>OK</v>
      </c>
      <c r="F19" s="18" t="s">
        <v>81</v>
      </c>
    </row>
    <row r="20" customFormat="false" ht="15" hidden="false" customHeight="false" outlineLevel="0" collapsed="false">
      <c r="A20" s="14" t="s">
        <v>82</v>
      </c>
      <c r="B20" s="7" t="n">
        <f aca="false">Bank!B58</f>
        <v>2102550.48317403</v>
      </c>
      <c r="C20" s="15" t="n">
        <v>2100000</v>
      </c>
      <c r="D20" s="7" t="n">
        <f aca="false">B20-C20</f>
        <v>2550.48317402601</v>
      </c>
      <c r="E20" s="3" t="str">
        <f aca="false">IF(ISNUMBER(B20),IF(ABS(D20)&lt;=50000,"OK","CHECK"),"CHECK")</f>
        <v>OK</v>
      </c>
      <c r="F20" s="18" t="s">
        <v>83</v>
      </c>
    </row>
    <row r="21" customFormat="false" ht="15" hidden="false" customHeight="false" outlineLevel="0" collapsed="false">
      <c r="A21" s="14" t="s">
        <v>84</v>
      </c>
      <c r="B21" s="20" t="b">
        <f aca="false">ABS(Bank!B59-Bank!B12)&lt;1</f>
        <v>1</v>
      </c>
      <c r="C21" s="4" t="s">
        <v>85</v>
      </c>
      <c r="E21" s="3" t="str">
        <f aca="false">IF(B21=TRUE(),"OK","CHECK")</f>
        <v>OK</v>
      </c>
    </row>
    <row r="22" customFormat="false" ht="15" hidden="false" customHeight="false" outlineLevel="0" collapsed="false">
      <c r="A22" s="14" t="s">
        <v>86</v>
      </c>
      <c r="B22" s="7" t="n">
        <f aca="false">Bank!B62</f>
        <v>20947500</v>
      </c>
      <c r="C22" s="15" t="n">
        <v>20900000</v>
      </c>
      <c r="D22" s="7" t="n">
        <f aca="false">B22-C22</f>
        <v>47500</v>
      </c>
      <c r="E22" s="3" t="str">
        <f aca="false">IF(ISNUMBER(B22),IF(ABS(D22)&lt;=50000,"OK","CHECK"),"CHECK")</f>
        <v>OK</v>
      </c>
      <c r="F22" s="18" t="s">
        <v>87</v>
      </c>
    </row>
    <row r="23" customFormat="false" ht="15" hidden="false" customHeight="false" outlineLevel="0" collapsed="false">
      <c r="A23" s="14" t="s">
        <v>54</v>
      </c>
      <c r="B23" s="8" t="n">
        <f aca="false">Bank!B63</f>
        <v>0.328622871047818</v>
      </c>
      <c r="C23" s="19" t="n">
        <v>0.3286</v>
      </c>
      <c r="D23" s="8" t="n">
        <f aca="false">B23-C23</f>
        <v>2.28710478180072E-005</v>
      </c>
      <c r="E23" s="3" t="str">
        <f aca="false">IF(ISNUMBER(B23),IF(ABS(D23)&lt;=0.00005,"OK","CHECK"),"CHECK")</f>
        <v>OK</v>
      </c>
      <c r="F23" s="18" t="s">
        <v>88</v>
      </c>
    </row>
    <row r="24" customFormat="false" ht="15" hidden="false" customHeight="false" outlineLevel="0" collapsed="false">
      <c r="A24" s="14" t="s">
        <v>55</v>
      </c>
      <c r="B24" s="8" t="n">
        <f aca="false">Bank!B64</f>
        <v>0.0175406618212478</v>
      </c>
      <c r="C24" s="19" t="n">
        <v>0.0175</v>
      </c>
      <c r="D24" s="8" t="n">
        <f aca="false">B24-C24</f>
        <v>4.06618212478033E-005</v>
      </c>
      <c r="E24" s="3" t="str">
        <f aca="false">IF(ISNUMBER(B24),IF(ABS(D24)&lt;=0.00005,"OK","CHECK"),"CHECK")</f>
        <v>OK</v>
      </c>
      <c r="F24" s="18" t="s">
        <v>89</v>
      </c>
    </row>
    <row r="25" customFormat="false" ht="15" hidden="false" customHeight="false" outlineLevel="0" collapsed="false">
      <c r="A25" s="14" t="s">
        <v>56</v>
      </c>
      <c r="B25" s="8" t="n">
        <f aca="false">Bank!B65</f>
        <v>0.0251248946053988</v>
      </c>
      <c r="C25" s="19" t="n">
        <v>0.0251</v>
      </c>
      <c r="D25" s="8" t="n">
        <f aca="false">B25-C25</f>
        <v>2.48946053988362E-005</v>
      </c>
      <c r="E25" s="3" t="str">
        <f aca="false">IF(ISNUMBER(B25),IF(ABS(D25)&lt;=0.00005,"OK","CHECK"),"CHECK")</f>
        <v>OK</v>
      </c>
      <c r="F25" s="18" t="s">
        <v>89</v>
      </c>
    </row>
    <row r="26" customFormat="false" ht="15" hidden="false" customHeight="false" outlineLevel="0" collapsed="false">
      <c r="A26" s="14" t="s">
        <v>57</v>
      </c>
      <c r="B26" s="7" t="n">
        <f aca="false">Bank!B66</f>
        <v>53973960</v>
      </c>
      <c r="C26" s="15" t="n">
        <v>54000000</v>
      </c>
      <c r="D26" s="7" t="n">
        <f aca="false">B26-C26</f>
        <v>-26040</v>
      </c>
      <c r="E26" s="3" t="str">
        <f aca="false">IF(ISNUMBER(B26),IF(ABS(D26)&lt;=50000,"OK","CHECK"),"CHECK")</f>
        <v>OK</v>
      </c>
      <c r="F26" s="18" t="s">
        <v>89</v>
      </c>
    </row>
    <row r="27" customFormat="false" ht="15" hidden="false" customHeight="false" outlineLevel="0" collapsed="false">
      <c r="A27" s="14" t="s">
        <v>58</v>
      </c>
      <c r="B27" s="7" t="n">
        <f aca="false">Bank!B67</f>
        <v>33026460</v>
      </c>
      <c r="C27" s="15" t="n">
        <v>33000000</v>
      </c>
      <c r="D27" s="7" t="n">
        <f aca="false">B27-C27</f>
        <v>26460</v>
      </c>
      <c r="E27" s="3" t="str">
        <f aca="false">IF(ISNUMBER(B27),IF(ABS(D27)&lt;=50000,"OK","CHECK"),"CHECK")</f>
        <v>OK</v>
      </c>
      <c r="F27" s="18" t="s">
        <v>89</v>
      </c>
    </row>
    <row r="28" customFormat="false" ht="15" hidden="false" customHeight="false" outlineLevel="0" collapsed="false">
      <c r="A28" s="14" t="s">
        <v>90</v>
      </c>
      <c r="B28" s="8" t="n">
        <f aca="false">Bank!B68</f>
        <v>0.0240934029508761</v>
      </c>
      <c r="C28" s="19" t="n">
        <v>0.0241</v>
      </c>
      <c r="D28" s="8" t="n">
        <f aca="false">B28-C28</f>
        <v>-6.59704912389994E-006</v>
      </c>
      <c r="E28" s="3" t="str">
        <f aca="false">IF(ISNUMBER(B28),IF(ABS(D28)&lt;=0.00005,"OK","CHECK"),"CHECK")</f>
        <v>OK</v>
      </c>
      <c r="F28" s="18" t="s">
        <v>91</v>
      </c>
    </row>
    <row r="29" customFormat="false" ht="15" hidden="false" customHeight="false" outlineLevel="0" collapsed="false">
      <c r="A29" s="14" t="s">
        <v>92</v>
      </c>
      <c r="B29" s="7" t="n">
        <f aca="false">Bank!B29</f>
        <v>6650000</v>
      </c>
      <c r="C29" s="15" t="n">
        <v>6700000</v>
      </c>
      <c r="D29" s="7" t="n">
        <f aca="false">B29-C29</f>
        <v>-50000</v>
      </c>
      <c r="E29" s="3" t="str">
        <f aca="false">IF(ISNUMBER(B29),IF(ABS(D29)&lt;=50000,"OK","CHECK"),"CHECK")</f>
        <v>OK</v>
      </c>
      <c r="F29" s="18" t="s">
        <v>87</v>
      </c>
    </row>
    <row r="30" customFormat="false" ht="15" hidden="false" customHeight="false" outlineLevel="0" collapsed="false">
      <c r="A30" s="14" t="s">
        <v>93</v>
      </c>
      <c r="B30" s="20" t="b">
        <f aca="false">AND(Bank!B69&gt;0.2,Bank!B69&lt;0.3)</f>
        <v>1</v>
      </c>
      <c r="C30" s="4" t="s">
        <v>85</v>
      </c>
      <c r="E30" s="3" t="str">
        <f aca="false">IF(B30=TRUE(),"OK","CHECK")</f>
        <v>OK</v>
      </c>
      <c r="F30" s="18" t="s">
        <v>94</v>
      </c>
    </row>
    <row r="31" customFormat="false" ht="15" hidden="false" customHeight="false" outlineLevel="0" collapsed="false">
      <c r="A31" s="14" t="s">
        <v>95</v>
      </c>
      <c r="B31" s="7" t="n">
        <f aca="false">Bank!B73</f>
        <v>757156761.355783</v>
      </c>
      <c r="C31" s="15" t="n">
        <v>757200000</v>
      </c>
      <c r="D31" s="7" t="n">
        <f aca="false">B31-C31</f>
        <v>-43238.6442166567</v>
      </c>
      <c r="E31" s="3" t="str">
        <f aca="false">IF(ISNUMBER(B31),IF(ABS(D31)&lt;=50000,"OK","CHECK"),"CHECK")</f>
        <v>OK</v>
      </c>
      <c r="F31" s="18" t="s">
        <v>96</v>
      </c>
    </row>
    <row r="32" customFormat="false" ht="15" hidden="false" customHeight="false" outlineLevel="0" collapsed="false">
      <c r="A32" s="14" t="s">
        <v>97</v>
      </c>
      <c r="B32" s="7" t="n">
        <f aca="false">Bank!B75</f>
        <v>299189177.919311</v>
      </c>
      <c r="C32" s="15" t="n">
        <v>299200000</v>
      </c>
      <c r="D32" s="7" t="n">
        <f aca="false">B32-C32</f>
        <v>-10822.0806891322</v>
      </c>
      <c r="E32" s="3" t="str">
        <f aca="false">IF(ISNUMBER(B32),IF(ABS(D32)&lt;=50000,"OK","CHECK"),"CHECK")</f>
        <v>OK</v>
      </c>
      <c r="F32" s="18" t="s">
        <v>96</v>
      </c>
    </row>
    <row r="33" customFormat="false" ht="15" hidden="false" customHeight="false" outlineLevel="0" collapsed="false">
      <c r="A33" s="14" t="s">
        <v>98</v>
      </c>
      <c r="B33" s="7" t="n">
        <f aca="false">Bank!B76</f>
        <v>75240187.582791</v>
      </c>
      <c r="C33" s="15" t="n">
        <v>75200000</v>
      </c>
      <c r="D33" s="7" t="n">
        <f aca="false">B33-C33</f>
        <v>40187.5827910006</v>
      </c>
      <c r="E33" s="3" t="str">
        <f aca="false">IF(ISNUMBER(B33),IF(ABS(D33)&lt;=50000,"OK","CHECK"),"CHECK")</f>
        <v>OK</v>
      </c>
      <c r="F33" s="18" t="s">
        <v>96</v>
      </c>
    </row>
    <row r="34" customFormat="false" ht="15" hidden="false" customHeight="false" outlineLevel="0" collapsed="false">
      <c r="A34" s="14" t="s">
        <v>99</v>
      </c>
      <c r="B34" s="8" t="n">
        <f aca="false">Bank!B77</f>
        <v>0.0933523070394362</v>
      </c>
      <c r="C34" s="19" t="n">
        <v>0.0934</v>
      </c>
      <c r="D34" s="8" t="n">
        <f aca="false">B34-C34</f>
        <v>-4.76929605638388E-005</v>
      </c>
      <c r="E34" s="3" t="str">
        <f aca="false">IF(ISNUMBER(B34),IF(ABS(D34)&lt;=0.00005,"OK","CHECK"),"CHECK")</f>
        <v>OK</v>
      </c>
      <c r="F34" s="18" t="s">
        <v>96</v>
      </c>
    </row>
    <row r="35" customFormat="false" ht="15" hidden="false" customHeight="false" outlineLevel="0" collapsed="false">
      <c r="A35" s="14" t="s">
        <v>100</v>
      </c>
      <c r="B35" s="8" t="n">
        <f aca="false">Bank!B78</f>
        <v>0.28418129810101</v>
      </c>
      <c r="C35" s="19" t="n">
        <v>0.2842</v>
      </c>
      <c r="D35" s="8" t="n">
        <f aca="false">B35-C35</f>
        <v>-1.87018989897259E-005</v>
      </c>
      <c r="E35" s="3" t="str">
        <f aca="false">IF(ISNUMBER(B35),IF(ABS(D35)&lt;=0.00005,"OK","CHECK"),"CHECK")</f>
        <v>OK</v>
      </c>
      <c r="F35" s="18" t="s">
        <v>96</v>
      </c>
    </row>
    <row r="36" customFormat="false" ht="15" hidden="false" customHeight="false" outlineLevel="0" collapsed="false">
      <c r="A36" s="14" t="s">
        <v>101</v>
      </c>
      <c r="B36" s="8" t="n">
        <f aca="false">Bank!B79</f>
        <v>0.111680046839847</v>
      </c>
      <c r="C36" s="19" t="n">
        <v>0.1117</v>
      </c>
      <c r="D36" s="8" t="n">
        <f aca="false">B36-C36</f>
        <v>-1.99531601533798E-005</v>
      </c>
      <c r="E36" s="3" t="str">
        <f aca="false">IF(ISNUMBER(B36),IF(ABS(D36)&lt;=0.00005,"OK","CHECK"),"CHECK")</f>
        <v>OK</v>
      </c>
      <c r="F36" s="18" t="s">
        <v>96</v>
      </c>
    </row>
    <row r="37" customFormat="false" ht="15" hidden="false" customHeight="false" outlineLevel="0" collapsed="false">
      <c r="A37" s="14" t="s">
        <v>102</v>
      </c>
      <c r="B37" s="8" t="n">
        <f aca="false">Bank!B83</f>
        <v>0.0433715367018595</v>
      </c>
      <c r="C37" s="19" t="n">
        <v>0.0434</v>
      </c>
      <c r="D37" s="8" t="n">
        <f aca="false">B37-C37</f>
        <v>-2.84632981405256E-005</v>
      </c>
      <c r="E37" s="3" t="str">
        <f aca="false">IF(ISNUMBER(B37),IF(ABS(D37)&lt;=0.00005,"OK","CHECK"),"CHECK")</f>
        <v>OK</v>
      </c>
      <c r="F37" s="18" t="s">
        <v>96</v>
      </c>
    </row>
    <row r="38" customFormat="false" ht="15" hidden="false" customHeight="false" outlineLevel="0" collapsed="false">
      <c r="A38" s="14" t="s">
        <v>103</v>
      </c>
      <c r="B38" s="20" t="b">
        <f aca="false">ABS(Bank!B40*Bank!B12*(1-Bank!B18)-Bank!B9*Bank!B24)&lt;1</f>
        <v>1</v>
      </c>
      <c r="C38" s="4" t="s">
        <v>85</v>
      </c>
      <c r="E38" s="3" t="str">
        <f aca="false">IF(B38=TRUE(),"OK","CHECK")</f>
        <v>OK</v>
      </c>
    </row>
    <row r="39" customFormat="false" ht="15" hidden="false" customHeight="false" outlineLevel="0" collapsed="false">
      <c r="A39" s="14" t="s">
        <v>104</v>
      </c>
      <c r="B39" s="20" t="b">
        <f aca="false">ABS((Bank!B34-Bank!B41*Bank!B12)*(1-Bank!B18)/Bank!B23-Bank!B35)&lt;0.000000000001</f>
        <v>1</v>
      </c>
      <c r="C39" s="4" t="s">
        <v>85</v>
      </c>
      <c r="E39" s="3" t="str">
        <f aca="false">IF(B39=TRUE(),"OK","CHECK")</f>
        <v>OK</v>
      </c>
    </row>
    <row r="41" customFormat="false" ht="15" hidden="false" customHeight="false" outlineLevel="0" collapsed="false">
      <c r="A41" s="3" t="s">
        <v>105</v>
      </c>
      <c r="B41" s="3" t="n">
        <f aca="false">COUNTIF(E5:E39,"CHECK")</f>
        <v>0</v>
      </c>
    </row>
    <row r="42" customFormat="false" ht="15" hidden="false" customHeight="false" outlineLevel="0" collapsed="false">
      <c r="A42" s="3" t="s">
        <v>106</v>
      </c>
      <c r="B42" s="3" t="str">
        <f aca="false">IF(COUNTIF(E5:E39,"OK")=35,"ALL OK",COUNTIF(E5:E39,"OK")&amp;" / 35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2026-08-27T03:35:28Z</dcterms:created>
  <dc:creator>openpyxl</dc:creator>
  <dc:description/>
  <dc:language>en-US</dc:language>
  <cp:lastModifiedBy/>
  <dcterms:modified xsi:type="dcterms:W3CDTF">2026-09-23T22:57:31Z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