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2. Cover by year" sheetId="2" state="visible" r:id="rId4"/>
    <sheet name="3. Cover as a price" sheetId="3" state="visible" r:id="rId5"/>
    <sheet name="4. Trigger dates" sheetId="4" state="visible" r:id="rId6"/>
    <sheet name="5. 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<sst xmlns="http://schemas.openxmlformats.org/spreadsheetml/2006/main" count="87" uniqueCount="85">
  <si>
    <t xml:space="preserve">The Covenant Monitor</t>
  </si>
  <si>
    <t xml:space="preserve">Companion workbook to Sale and Leaseback</t>
  </si>
  <si>
    <t xml:space="preserve">A pro-forma. The structure is here; the values are for you to fill from the guarantor's accounts, not the group's.</t>
  </si>
  <si>
    <t xml:space="preserve">Chapter 4 is the argument this sheet exists to make: rent cover is meaningful only on the entity that signed the lease, and on this transaction that entity carries a third of the profit the teaser quotes.</t>
  </si>
  <si>
    <t xml:space="preserve">How to use it</t>
  </si>
  <si>
    <t xml:space="preserve">Make the guarantor's audited accounts a condition of bidding, not a diligence item.</t>
  </si>
  <si>
    <t xml:space="preserve">Fill sheet 2 once a year, within ninety days of the guarantor's year end.</t>
  </si>
  <si>
    <t xml:space="preserve">Sheet 3 turns each cover level into a price, so a deterioration is priced the day it appears rather than the day the rent stops.</t>
  </si>
  <si>
    <t xml:space="preserve">The thing this sheet is really for</t>
  </si>
  <si>
    <t xml:space="preserve">Indexation tightens the covenant every year. If the guarantor's profit is flat in nominal terms — an ordinary outcome — cover falls with no adverse event at all. Sheet 2 shows that decay explicitly.</t>
  </si>
  <si>
    <t xml:space="preserve">Conventions</t>
  </si>
  <si>
    <t xml:space="preserve">Blue text on a pale blue fill — an input, you may edit these.</t>
  </si>
  <si>
    <t xml:space="preserve">Yellow fill — the carrying assumption of the sheet, the one to argue about first.</t>
  </si>
  <si>
    <t xml:space="preserve">Black text — a formula, do not overtype these.</t>
  </si>
  <si>
    <t xml:space="preserve">Nothing is locked, protected or watermarked. No macros, no external links.</t>
  </si>
  <si>
    <t xml:space="preserve">Revised 24 September 2026. The indexation on sheet 2 is now computed from inflation, cap and floor rather than typed; the group's cover and headroom to three covenant levels (not one) are added, as the book describes; sheet 3 reads each level against the asking price; sheet 5 checks the file against Chapter 4.</t>
  </si>
  <si>
    <t xml:space="preserve">Rent cover on the guarantor, year by year</t>
  </si>
  <si>
    <t xml:space="preserve">Blue cells are yours. Column E assumes flat nominal profit; the headroom columns use the actual profit where you have entered it, the flat one otherwise.</t>
  </si>
  <si>
    <t xml:space="preserve">Indexation, capped (from the three inputs to the right)</t>
  </si>
  <si>
    <t xml:space="preserve">Inflation</t>
  </si>
  <si>
    <t xml:space="preserve">Group profit before rent (the teaser's)</t>
  </si>
  <si>
    <t xml:space="preserve">Year-one passing rent</t>
  </si>
  <si>
    <t xml:space="preserve">Indexation cap</t>
  </si>
  <si>
    <t xml:space="preserve">Indexation floor</t>
  </si>
  <si>
    <t xml:space="preserve">Covenant levels:</t>
  </si>
  <si>
    <t xml:space="preserve">Year</t>
  </si>
  <si>
    <t xml:space="preserve">Passing rent</t>
  </si>
  <si>
    <t xml:space="preserve">Guarantor profit before rent (actual)</t>
  </si>
  <si>
    <t xml:space="preserve">Cover, actual</t>
  </si>
  <si>
    <t xml:space="preserve">Profit if flat nominal</t>
  </si>
  <si>
    <t xml:space="preserve">Cover if flat</t>
  </si>
  <si>
    <t xml:space="preserve">Headroom at level 1</t>
  </si>
  <si>
    <t xml:space="preserve">Headroom at level 2</t>
  </si>
  <si>
    <t xml:space="preserve">Headroom at level 3</t>
  </si>
  <si>
    <t xml:space="preserve">Group cover, flat</t>
  </si>
  <si>
    <t xml:space="preserve">What each cover level supports</t>
  </si>
  <si>
    <t xml:space="preserve">Guarantor profit before rent</t>
  </si>
  <si>
    <t xml:space="preserve">Deal yield</t>
  </si>
  <si>
    <t xml:space="preserve">Asking price</t>
  </si>
  <si>
    <t xml:space="preserve">Cover required</t>
  </si>
  <si>
    <t xml:space="preserve">Rent it supports</t>
  </si>
  <si>
    <t xml:space="preserve">Price at deal yield</t>
  </si>
  <si>
    <t xml:space="preserve">vs asking price</t>
  </si>
  <si>
    <t xml:space="preserve">What to watch, and when</t>
  </si>
  <si>
    <t xml:space="preserve">Item</t>
  </si>
  <si>
    <t xml:space="preserve">Frequency</t>
  </si>
  <si>
    <t xml:space="preserve">Why</t>
  </si>
  <si>
    <t xml:space="preserve">Guarantor's audited accounts</t>
  </si>
  <si>
    <t xml:space="preserve">Annual, within 90 days</t>
  </si>
  <si>
    <t xml:space="preserve">The only perimeter you can sue. Make it a lease obligation.</t>
  </si>
  <si>
    <t xml:space="preserve">Group covenant waiver or amendment</t>
  </si>
  <si>
    <t xml:space="preserve">Within 30 days of any</t>
  </si>
  <si>
    <t xml:space="preserve">The first public signal, and it precedes a rent problem by quarters.</t>
  </si>
  <si>
    <t xml:space="preserve">Bond spread on the tenant's traded debt</t>
  </si>
  <si>
    <t xml:space="preserve">Quarterly</t>
  </si>
  <si>
    <t xml:space="preserve">Re-run the ladder in Chapter 9. A widening moves your value before it moves your rent.</t>
  </si>
  <si>
    <t xml:space="preserve">Market rent per building</t>
  </si>
  <si>
    <t xml:space="preserve">Annual</t>
  </si>
  <si>
    <t xml:space="preserve">Your exposure is the gap to passing rent. It closes only if market rents outgrow indexation.</t>
  </si>
  <si>
    <t xml:space="preserve">Disposals out of the guaranteeing entity</t>
  </si>
  <si>
    <t xml:space="preserve">On notice</t>
  </si>
  <si>
    <t xml:space="preserve">The perimeter can shrink during the term without your consent unless you restricted it.</t>
  </si>
  <si>
    <t xml:space="preserve">Re-letting plan, per building</t>
  </si>
  <si>
    <t xml:space="preserve">Written in year one, reviewed annually</t>
  </si>
  <si>
    <t xml:space="preserve">Who else wants it, at what rent, after what works. Cheap to write when there is no urgency.</t>
  </si>
  <si>
    <t xml:space="preserve">Checks</t>
  </si>
  <si>
    <t xml:space="preserve">The rows with a book figure compare with Chapter 4; the others hold for any inputs.</t>
  </si>
  <si>
    <t xml:space="preserve">Check</t>
  </si>
  <si>
    <t xml:space="preserve">The book</t>
  </si>
  <si>
    <t xml:space="preserve">This file</t>
  </si>
  <si>
    <t xml:space="preserve">Status</t>
  </si>
  <si>
    <t xml:space="preserve">Note</t>
  </si>
  <si>
    <t xml:space="preserve">Chapter 4: guarantor cover in year 1</t>
  </si>
  <si>
    <t xml:space="preserve">Chapter 4: in year 10, profit flat in nominal terms</t>
  </si>
  <si>
    <t xml:space="preserve">Chapter 4: on the last contractual rent</t>
  </si>
  <si>
    <t xml:space="preserve">Chapter 4: group cover, as presented</t>
  </si>
  <si>
    <t xml:space="preserve">Chapter 4: price supported by 2.00x on the guarantor</t>
  </si>
  <si>
    <t xml:space="preserve">Chapter 4: against the asking price</t>
  </si>
  <si>
    <t xml:space="preserve">Chapter 4: 2.25x</t>
  </si>
  <si>
    <t xml:space="preserve">Chapter 4: 1.25x</t>
  </si>
  <si>
    <t xml:space="preserve">Headroom is zero exactly where cover equals the level</t>
  </si>
  <si>
    <t xml:space="preserve">any inputs</t>
  </si>
  <si>
    <t xml:space="preserve">The rent never falls below the year-one rent while the floor holds</t>
  </si>
  <si>
    <t xml:space="preserve">Sheet 3 uses the same guarantor profit as sheet 2</t>
  </si>
  <si>
    <t xml:space="preserve">All checks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</si>
</sst>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%"/>
    <numFmt numFmtId="166" formatCode="#,##0"/>
    <numFmt numFmtId="167" formatCode="0.00\x"/>
    <numFmt numFmtId="168" formatCode="0.00"/>
    <numFmt numFmtId="169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Cambria"/>
      <family val="0"/>
      <charset val="1"/>
    </font>
    <font>
      <sz val="9"/>
      <color rgb="FF555555"/>
      <name val="Cambria"/>
      <family val="0"/>
      <charset val="1"/>
    </font>
    <font>
      <b val="true"/>
      <sz val="10"/>
      <color rgb="FF1F3864"/>
      <name val="Cambria"/>
      <family val="0"/>
      <charset val="1"/>
    </font>
    <font>
      <sz val="11"/>
      <name val="Calibri"/>
      <family val="0"/>
      <charset val="1"/>
    </font>
    <font>
      <b val="true"/>
      <sz val="13"/>
      <color rgb="FF1F3864"/>
      <name val="Cambria"/>
      <family val="0"/>
      <charset val="1"/>
    </font>
    <font>
      <sz val="11"/>
      <color rgb="FF1F4E79"/>
      <name val="Calibri"/>
      <family val="0"/>
      <charset val="1"/>
    </font>
    <font>
      <sz val="11"/>
      <color rgb="FF1F4E79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name val="Calibri"/>
      <family val="0"/>
      <charset val="1"/>
    </font>
    <font>
      <b val="true"/>
      <sz val="11"/>
      <color rgb="FF1F4E79"/>
      <name val="Cambria"/>
      <family val="0"/>
      <charset val="1"/>
    </font>
    <font>
      <b val="true"/>
      <sz val="13"/>
      <color rgb="FF1F3864"/>
      <name val="Calibri"/>
      <family val="0"/>
      <charset val="1"/>
    </font>
    <font>
      <sz val="9"/>
      <color rgb="FF555555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CE9F7"/>
        <bgColor rgb="FFCCFFFF"/>
      </patternFill>
    </fill>
    <fill>
      <patternFill patternType="solid">
        <fgColor rgb="FFFFF2C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AAAAAA"/>
      </bottom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9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AAAAA"/>
      <rgbColor rgb="FF1F3864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5.5" hidden="false" customHeight="true" outlineLevel="0" collapsed="false">
      <c r="A4" s="3" t="s">
        <v>2</v>
      </c>
    </row>
    <row r="5" customFormat="false" ht="39" hidden="false" customHeight="true" outlineLevel="0" collapsed="false">
      <c r="A5" s="3" t="s">
        <v>3</v>
      </c>
    </row>
    <row r="7" customFormat="false" ht="15" hidden="false" customHeight="false" outlineLevel="0" collapsed="false">
      <c r="A7" s="4" t="s">
        <v>4</v>
      </c>
    </row>
    <row r="8" customFormat="false" ht="15" hidden="false" customHeight="true" outlineLevel="0" collapsed="false">
      <c r="A8" s="3" t="s">
        <v>5</v>
      </c>
    </row>
    <row r="9" customFormat="false" ht="15" hidden="false" customHeight="true" outlineLevel="0" collapsed="false">
      <c r="A9" s="3" t="s">
        <v>6</v>
      </c>
    </row>
    <row r="10" customFormat="false" ht="25.5" hidden="false" customHeight="true" outlineLevel="0" collapsed="false">
      <c r="A10" s="3" t="s">
        <v>7</v>
      </c>
    </row>
    <row r="12" customFormat="false" ht="15" hidden="false" customHeight="false" outlineLevel="0" collapsed="false">
      <c r="A12" s="4" t="s">
        <v>8</v>
      </c>
    </row>
    <row r="13" customFormat="false" ht="25.5" hidden="false" customHeight="true" outlineLevel="0" collapsed="false">
      <c r="A13" s="3" t="s">
        <v>9</v>
      </c>
    </row>
    <row r="15" customFormat="false" ht="15" hidden="false" customHeight="false" outlineLevel="0" collapsed="false">
      <c r="A15" s="4" t="s">
        <v>10</v>
      </c>
    </row>
    <row r="16" customFormat="false" ht="15" hidden="false" customHeight="true" outlineLevel="0" collapsed="false">
      <c r="A16" s="3" t="s">
        <v>11</v>
      </c>
    </row>
    <row r="17" customFormat="false" ht="15" hidden="false" customHeight="true" outlineLevel="0" collapsed="false">
      <c r="A17" s="3" t="s">
        <v>12</v>
      </c>
    </row>
    <row r="18" customFormat="false" ht="15" hidden="false" customHeight="true" outlineLevel="0" collapsed="false">
      <c r="A18" s="3" t="s">
        <v>13</v>
      </c>
    </row>
    <row r="19" customFormat="false" ht="15" hidden="false" customHeight="true" outlineLevel="0" collapsed="false">
      <c r="A19" s="3" t="s">
        <v>14</v>
      </c>
    </row>
    <row r="21" customFormat="false" ht="60" hidden="false" customHeight="true" outlineLevel="0" collapsed="false">
      <c r="A21" s="5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0"/>
    <col collapsed="false" customWidth="true" hidden="false" outlineLevel="0" max="3" min="3" style="0" width="26"/>
    <col collapsed="false" customWidth="true" hidden="false" outlineLevel="0" max="4" min="4" style="0" width="18"/>
    <col collapsed="false" customWidth="true" hidden="false" outlineLevel="0" max="5" min="5" style="0" width="12"/>
    <col collapsed="false" customWidth="true" hidden="false" outlineLevel="0" max="9" min="6" style="0" width="16"/>
    <col collapsed="false" customWidth="true" hidden="false" outlineLevel="0" max="10" min="10" style="0" width="12"/>
  </cols>
  <sheetData>
    <row r="1" customFormat="false" ht="16.15" hidden="false" customHeight="false" outlineLevel="0" collapsed="false">
      <c r="A1" s="6" t="s">
        <v>16</v>
      </c>
    </row>
    <row r="2" customFormat="false" ht="15" hidden="false" customHeight="false" outlineLevel="0" collapsed="false">
      <c r="A2" s="2" t="s">
        <v>17</v>
      </c>
    </row>
    <row r="4" customFormat="false" ht="15" hidden="false" customHeight="false" outlineLevel="0" collapsed="false">
      <c r="A4" s="0" t="s">
        <v>18</v>
      </c>
      <c r="B4" s="7" t="n">
        <f aca="false">MIN(MAX(E4,E6),E5)</f>
        <v>0.022</v>
      </c>
      <c r="D4" s="8" t="s">
        <v>19</v>
      </c>
      <c r="E4" s="9" t="n">
        <v>0.022</v>
      </c>
      <c r="G4" s="8" t="s">
        <v>20</v>
      </c>
      <c r="H4" s="10" t="n">
        <v>58000000</v>
      </c>
    </row>
    <row r="5" customFormat="false" ht="15" hidden="false" customHeight="false" outlineLevel="0" collapsed="false">
      <c r="A5" s="0" t="s">
        <v>21</v>
      </c>
      <c r="B5" s="11" t="n">
        <v>12113500</v>
      </c>
      <c r="D5" s="8" t="s">
        <v>22</v>
      </c>
      <c r="E5" s="9" t="n">
        <v>0.03</v>
      </c>
    </row>
    <row r="6" customFormat="false" ht="15" hidden="false" customHeight="false" outlineLevel="0" collapsed="false">
      <c r="D6" s="8" t="s">
        <v>23</v>
      </c>
      <c r="E6" s="9" t="n">
        <v>0</v>
      </c>
      <c r="F6" s="8" t="s">
        <v>24</v>
      </c>
      <c r="G6" s="12" t="n">
        <v>1.5</v>
      </c>
      <c r="H6" s="12" t="n">
        <v>1.75</v>
      </c>
      <c r="I6" s="12" t="n">
        <v>2</v>
      </c>
    </row>
    <row r="7" customFormat="false" ht="28.35" hidden="false" customHeight="false" outlineLevel="0" collapsed="false">
      <c r="A7" s="13" t="s">
        <v>25</v>
      </c>
      <c r="B7" s="13" t="s">
        <v>26</v>
      </c>
      <c r="C7" s="13" t="s">
        <v>27</v>
      </c>
      <c r="D7" s="13" t="s">
        <v>28</v>
      </c>
      <c r="E7" s="13" t="s">
        <v>29</v>
      </c>
      <c r="F7" s="13" t="s">
        <v>30</v>
      </c>
      <c r="G7" s="14" t="s">
        <v>31</v>
      </c>
      <c r="H7" s="14" t="s">
        <v>32</v>
      </c>
      <c r="I7" s="14" t="s">
        <v>33</v>
      </c>
      <c r="J7" s="14" t="s">
        <v>34</v>
      </c>
    </row>
    <row r="8" customFormat="false" ht="15" hidden="false" customHeight="false" outlineLevel="0" collapsed="false">
      <c r="A8" s="0" t="n">
        <v>1</v>
      </c>
      <c r="B8" s="15" t="n">
        <f aca="false">$B$5*(1+$B$4)^0</f>
        <v>12113500</v>
      </c>
      <c r="C8" s="16" t="n">
        <v>19500000</v>
      </c>
      <c r="D8" s="17" t="n">
        <f aca="false">IF(C8="","",C8/B8)</f>
        <v>1.60977421884674</v>
      </c>
      <c r="E8" s="15" t="n">
        <f aca="false">$C$8</f>
        <v>19500000</v>
      </c>
      <c r="F8" s="17" t="n">
        <f aca="false">E8/B8</f>
        <v>1.60977421884674</v>
      </c>
      <c r="G8" s="18" t="n">
        <f aca="false">IF(C8="",E8,C8)-G$6*B8</f>
        <v>1329750</v>
      </c>
      <c r="H8" s="18" t="n">
        <f aca="false">IF(C8="",E8,C8)-H$6*B8</f>
        <v>-1698625</v>
      </c>
      <c r="I8" s="18" t="n">
        <f aca="false">IF(C8="",E8,C8)-I$6*B8</f>
        <v>-4727000</v>
      </c>
      <c r="J8" s="19" t="n">
        <f aca="false">$H$4/B8</f>
        <v>4.78804639451851</v>
      </c>
    </row>
    <row r="9" customFormat="false" ht="15" hidden="false" customHeight="false" outlineLevel="0" collapsed="false">
      <c r="A9" s="0" t="n">
        <v>2</v>
      </c>
      <c r="B9" s="15" t="n">
        <f aca="false">$B$5*(1+$B$4)^1</f>
        <v>12379997</v>
      </c>
      <c r="C9" s="11"/>
      <c r="D9" s="17" t="str">
        <f aca="false">IF(C9="","",C9/B9)</f>
        <v/>
      </c>
      <c r="E9" s="15" t="n">
        <f aca="false">$C$8</f>
        <v>19500000</v>
      </c>
      <c r="F9" s="17" t="n">
        <f aca="false">E9/B9</f>
        <v>1.57512154485983</v>
      </c>
      <c r="G9" s="18" t="n">
        <f aca="false">IF(C9="",E9,C9)-G$6*B9</f>
        <v>930004.5</v>
      </c>
      <c r="H9" s="18" t="n">
        <f aca="false">IF(C9="",E9,C9)-H$6*B9</f>
        <v>-2164994.75</v>
      </c>
      <c r="I9" s="18" t="n">
        <f aca="false">IF(C9="",E9,C9)-I$6*B9</f>
        <v>-5259994</v>
      </c>
      <c r="J9" s="19" t="n">
        <f aca="false">$H$4/B9</f>
        <v>4.68497690265999</v>
      </c>
    </row>
    <row r="10" customFormat="false" ht="15" hidden="false" customHeight="false" outlineLevel="0" collapsed="false">
      <c r="A10" s="0" t="n">
        <v>3</v>
      </c>
      <c r="B10" s="15" t="n">
        <f aca="false">$B$5*(1+$B$4)^2</f>
        <v>12652356.934</v>
      </c>
      <c r="C10" s="11"/>
      <c r="D10" s="17" t="str">
        <f aca="false">IF(C10="","",C10/B10)</f>
        <v/>
      </c>
      <c r="E10" s="15" t="n">
        <f aca="false">$C$8</f>
        <v>19500000</v>
      </c>
      <c r="F10" s="17" t="n">
        <f aca="false">E10/B10</f>
        <v>1.54121481884523</v>
      </c>
      <c r="G10" s="18" t="n">
        <f aca="false">IF(C10="",E10,C10)-G$6*B10</f>
        <v>521464.598999999</v>
      </c>
      <c r="H10" s="18" t="n">
        <f aca="false">IF(C10="",E10,C10)-H$6*B10</f>
        <v>-2641624.6345</v>
      </c>
      <c r="I10" s="18" t="n">
        <f aca="false">IF(C10="",E10,C10)-I$6*B10</f>
        <v>-5804713.868</v>
      </c>
      <c r="J10" s="19" t="n">
        <f aca="false">$H$4/B10</f>
        <v>4.58412612784735</v>
      </c>
    </row>
    <row r="11" customFormat="false" ht="15" hidden="false" customHeight="false" outlineLevel="0" collapsed="false">
      <c r="A11" s="0" t="n">
        <v>4</v>
      </c>
      <c r="B11" s="15" t="n">
        <f aca="false">$B$5*(1+$B$4)^3</f>
        <v>12930708.786548</v>
      </c>
      <c r="C11" s="11"/>
      <c r="D11" s="17" t="str">
        <f aca="false">IF(C11="","",C11/B11)</f>
        <v/>
      </c>
      <c r="E11" s="15" t="n">
        <f aca="false">$C$8</f>
        <v>19500000</v>
      </c>
      <c r="F11" s="17" t="n">
        <f aca="false">E11/B11</f>
        <v>1.50803798321451</v>
      </c>
      <c r="G11" s="18" t="n">
        <f aca="false">IF(C11="",E11,C11)-G$6*B11</f>
        <v>103936.820178002</v>
      </c>
      <c r="H11" s="18" t="n">
        <f aca="false">IF(C11="",E11,C11)-H$6*B11</f>
        <v>-3128740.376459</v>
      </c>
      <c r="I11" s="18" t="n">
        <f aca="false">IF(C11="",E11,C11)-I$6*B11</f>
        <v>-6361417.573096</v>
      </c>
      <c r="J11" s="19" t="n">
        <f aca="false">$H$4/B11</f>
        <v>4.48544630904829</v>
      </c>
    </row>
    <row r="12" customFormat="false" ht="15" hidden="false" customHeight="false" outlineLevel="0" collapsed="false">
      <c r="A12" s="0" t="n">
        <v>5</v>
      </c>
      <c r="B12" s="15" t="n">
        <f aca="false">$B$5*(1+$B$4)^4</f>
        <v>13215184.3798521</v>
      </c>
      <c r="C12" s="11"/>
      <c r="D12" s="17" t="str">
        <f aca="false">IF(C12="","",C12/B12)</f>
        <v/>
      </c>
      <c r="E12" s="15" t="n">
        <f aca="false">$C$8</f>
        <v>19500000</v>
      </c>
      <c r="F12" s="17" t="n">
        <f aca="false">E12/B12</f>
        <v>1.4755753260416</v>
      </c>
      <c r="G12" s="18" t="n">
        <f aca="false">IF(C12="",E12,C12)-G$6*B12</f>
        <v>-322776.569778085</v>
      </c>
      <c r="H12" s="18" t="n">
        <f aca="false">IF(C12="",E12,C12)-H$6*B12</f>
        <v>-3626572.6647411</v>
      </c>
      <c r="I12" s="18" t="n">
        <f aca="false">IF(C12="",E12,C12)-I$6*B12</f>
        <v>-6930368.75970411</v>
      </c>
      <c r="J12" s="19" t="n">
        <f aca="false">$H$4/B12</f>
        <v>4.38889071335449</v>
      </c>
    </row>
    <row r="13" customFormat="false" ht="15" hidden="false" customHeight="false" outlineLevel="0" collapsed="false">
      <c r="A13" s="0" t="n">
        <v>6</v>
      </c>
      <c r="B13" s="15" t="n">
        <f aca="false">$B$5*(1+$B$4)^5</f>
        <v>13505918.4362088</v>
      </c>
      <c r="C13" s="11"/>
      <c r="D13" s="17" t="str">
        <f aca="false">IF(C13="","",C13/B13)</f>
        <v/>
      </c>
      <c r="E13" s="15" t="n">
        <f aca="false">$C$8</f>
        <v>19500000</v>
      </c>
      <c r="F13" s="17" t="n">
        <f aca="false">E13/B13</f>
        <v>1.44381147362191</v>
      </c>
      <c r="G13" s="18" t="n">
        <f aca="false">IF(C13="",E13,C13)-G$6*B13</f>
        <v>-758877.654313203</v>
      </c>
      <c r="H13" s="18" t="n">
        <f aca="false">IF(C13="",E13,C13)-H$6*B13</f>
        <v>-4135357.2633654</v>
      </c>
      <c r="I13" s="18" t="n">
        <f aca="false">IF(C13="",E13,C13)-I$6*B13</f>
        <v>-7511836.8724176</v>
      </c>
      <c r="J13" s="19" t="n">
        <f aca="false">$H$4/B13</f>
        <v>4.2944136138498</v>
      </c>
    </row>
    <row r="14" customFormat="false" ht="15" hidden="false" customHeight="false" outlineLevel="0" collapsed="false">
      <c r="A14" s="0" t="n">
        <v>7</v>
      </c>
      <c r="B14" s="15" t="n">
        <f aca="false">$B$5*(1+$B$4)^6</f>
        <v>13803048.6418054</v>
      </c>
      <c r="C14" s="11"/>
      <c r="D14" s="17" t="str">
        <f aca="false">IF(C14="","",C14/B14)</f>
        <v/>
      </c>
      <c r="E14" s="15" t="n">
        <f aca="false">$C$8</f>
        <v>19500000</v>
      </c>
      <c r="F14" s="17" t="n">
        <f aca="false">E14/B14</f>
        <v>1.4127313831917</v>
      </c>
      <c r="G14" s="18" t="n">
        <f aca="false">IF(C14="",E14,C14)-G$6*B14</f>
        <v>-1204572.9627081</v>
      </c>
      <c r="H14" s="18" t="n">
        <f aca="false">IF(C14="",E14,C14)-H$6*B14</f>
        <v>-4655335.12315945</v>
      </c>
      <c r="I14" s="18" t="n">
        <f aca="false">IF(C14="",E14,C14)-I$6*B14</f>
        <v>-8106097.2836108</v>
      </c>
      <c r="J14" s="19" t="n">
        <f aca="false">$H$4/B14</f>
        <v>4.20197026795479</v>
      </c>
    </row>
    <row r="15" customFormat="false" ht="15" hidden="false" customHeight="false" outlineLevel="0" collapsed="false">
      <c r="A15" s="0" t="n">
        <v>8</v>
      </c>
      <c r="B15" s="15" t="n">
        <f aca="false">$B$5*(1+$B$4)^7</f>
        <v>14106715.7119251</v>
      </c>
      <c r="C15" s="11"/>
      <c r="D15" s="17" t="str">
        <f aca="false">IF(C15="","",C15/B15)</f>
        <v/>
      </c>
      <c r="E15" s="15" t="n">
        <f aca="false">$C$8</f>
        <v>19500000</v>
      </c>
      <c r="F15" s="17" t="n">
        <f aca="false">E15/B15</f>
        <v>1.38232033580401</v>
      </c>
      <c r="G15" s="18" t="n">
        <f aca="false">IF(C15="",E15,C15)-G$6*B15</f>
        <v>-1660073.56788767</v>
      </c>
      <c r="H15" s="18" t="n">
        <f aca="false">IF(C15="",E15,C15)-H$6*B15</f>
        <v>-5186752.49586895</v>
      </c>
      <c r="I15" s="18" t="n">
        <f aca="false">IF(C15="",E15,C15)-I$6*B15</f>
        <v>-8713431.42385023</v>
      </c>
      <c r="J15" s="19" t="n">
        <f aca="false">$H$4/B15</f>
        <v>4.11151689623756</v>
      </c>
    </row>
    <row r="16" customFormat="false" ht="15" hidden="false" customHeight="false" outlineLevel="0" collapsed="false">
      <c r="A16" s="0" t="n">
        <v>9</v>
      </c>
      <c r="B16" s="15" t="n">
        <f aca="false">$B$5*(1+$B$4)^8</f>
        <v>14417063.4575875</v>
      </c>
      <c r="C16" s="11"/>
      <c r="D16" s="17" t="str">
        <f aca="false">IF(C16="","",C16/B16)</f>
        <v/>
      </c>
      <c r="E16" s="15" t="n">
        <f aca="false">$C$8</f>
        <v>19500000</v>
      </c>
      <c r="F16" s="17" t="n">
        <f aca="false">E16/B16</f>
        <v>1.35256392935813</v>
      </c>
      <c r="G16" s="18" t="n">
        <f aca="false">IF(C16="",E16,C16)-G$6*B16</f>
        <v>-2125595.1863812</v>
      </c>
      <c r="H16" s="18" t="n">
        <f aca="false">IF(C16="",E16,C16)-H$6*B16</f>
        <v>-5729861.05077807</v>
      </c>
      <c r="I16" s="18" t="n">
        <f aca="false">IF(C16="",E16,C16)-I$6*B16</f>
        <v>-9334126.91517494</v>
      </c>
      <c r="J16" s="19" t="n">
        <f aca="false">$H$4/B16</f>
        <v>4.02301066168059</v>
      </c>
    </row>
    <row r="17" customFormat="false" ht="15" hidden="false" customHeight="false" outlineLevel="0" collapsed="false">
      <c r="A17" s="0" t="n">
        <v>10</v>
      </c>
      <c r="B17" s="15" t="n">
        <f aca="false">$B$5*(1+$B$4)^9</f>
        <v>14734238.8536544</v>
      </c>
      <c r="C17" s="11"/>
      <c r="D17" s="17" t="str">
        <f aca="false">IF(C17="","",C17/B17)</f>
        <v/>
      </c>
      <c r="E17" s="15" t="n">
        <f aca="false">$C$8</f>
        <v>19500000</v>
      </c>
      <c r="F17" s="17" t="n">
        <f aca="false">E17/B17</f>
        <v>1.32344807177899</v>
      </c>
      <c r="G17" s="18" t="n">
        <f aca="false">IF(C17="",E17,C17)-G$6*B17</f>
        <v>-2601358.28048159</v>
      </c>
      <c r="H17" s="18" t="n">
        <f aca="false">IF(C17="",E17,C17)-H$6*B17</f>
        <v>-6284917.99389519</v>
      </c>
      <c r="I17" s="18" t="n">
        <f aca="false">IF(C17="",E17,C17)-I$6*B17</f>
        <v>-9968477.70730879</v>
      </c>
      <c r="J17" s="19" t="n">
        <f aca="false">$H$4/B17</f>
        <v>3.93640964939392</v>
      </c>
    </row>
    <row r="18" customFormat="false" ht="15" hidden="false" customHeight="false" outlineLevel="0" collapsed="false">
      <c r="A18" s="0" t="n">
        <v>11</v>
      </c>
      <c r="B18" s="15" t="n">
        <f aca="false">$B$5*(1+$B$4)^10</f>
        <v>15058392.1084348</v>
      </c>
      <c r="C18" s="11"/>
      <c r="D18" s="17" t="str">
        <f aca="false">IF(C18="","",C18/B18)</f>
        <v/>
      </c>
      <c r="E18" s="15" t="n">
        <f aca="false">$C$8</f>
        <v>19500000</v>
      </c>
      <c r="F18" s="17" t="n">
        <f aca="false">E18/B18</f>
        <v>1.29495897434344</v>
      </c>
      <c r="G18" s="18" t="n">
        <f aca="false">IF(C18="",E18,C18)-G$6*B18</f>
        <v>-3087588.16265219</v>
      </c>
      <c r="H18" s="18" t="n">
        <f aca="false">IF(C18="",E18,C18)-H$6*B18</f>
        <v>-6852186.18976088</v>
      </c>
      <c r="I18" s="18" t="n">
        <f aca="false">IF(C18="",E18,C18)-I$6*B18</f>
        <v>-10616784.2168696</v>
      </c>
      <c r="J18" s="19" t="n">
        <f aca="false">$H$4/B18</f>
        <v>3.85167284676509</v>
      </c>
    </row>
    <row r="19" customFormat="false" ht="15" hidden="false" customHeight="false" outlineLevel="0" collapsed="false">
      <c r="A19" s="0" t="n">
        <v>12</v>
      </c>
      <c r="B19" s="15" t="n">
        <f aca="false">$B$5*(1+$B$4)^11</f>
        <v>15389676.7348204</v>
      </c>
      <c r="C19" s="11"/>
      <c r="D19" s="17" t="str">
        <f aca="false">IF(C19="","",C19/B19)</f>
        <v/>
      </c>
      <c r="E19" s="15" t="n">
        <f aca="false">$C$8</f>
        <v>19500000</v>
      </c>
      <c r="F19" s="17" t="n">
        <f aca="false">E19/B19</f>
        <v>1.26708314515013</v>
      </c>
      <c r="G19" s="18" t="n">
        <f aca="false">IF(C19="",E19,C19)-G$6*B19</f>
        <v>-3584515.10223053</v>
      </c>
      <c r="H19" s="18" t="n">
        <f aca="false">IF(C19="",E19,C19)-H$6*B19</f>
        <v>-7431934.28593562</v>
      </c>
      <c r="I19" s="18" t="n">
        <f aca="false">IF(C19="",E19,C19)-I$6*B19</f>
        <v>-11279353.4696407</v>
      </c>
      <c r="J19" s="19" t="n">
        <f aca="false">$H$4/B19</f>
        <v>3.76876012403629</v>
      </c>
    </row>
    <row r="20" customFormat="false" ht="15" hidden="false" customHeight="false" outlineLevel="0" collapsed="false">
      <c r="A20" s="0" t="n">
        <v>13</v>
      </c>
      <c r="B20" s="15" t="n">
        <f aca="false">$B$5*(1+$B$4)^12</f>
        <v>15728249.6229864</v>
      </c>
      <c r="C20" s="11"/>
      <c r="D20" s="17" t="str">
        <f aca="false">IF(C20="","",C20/B20)</f>
        <v/>
      </c>
      <c r="E20" s="15" t="n">
        <f aca="false">$C$8</f>
        <v>19500000</v>
      </c>
      <c r="F20" s="17" t="n">
        <f aca="false">E20/B20</f>
        <v>1.23980738273007</v>
      </c>
      <c r="G20" s="18" t="n">
        <f aca="false">IF(C20="",E20,C20)-G$6*B20</f>
        <v>-4092374.4344796</v>
      </c>
      <c r="H20" s="18" t="n">
        <f aca="false">IF(C20="",E20,C20)-H$6*B20</f>
        <v>-8024436.8402262</v>
      </c>
      <c r="I20" s="18" t="n">
        <f aca="false">IF(C20="",E20,C20)-I$6*B20</f>
        <v>-11956499.2459728</v>
      </c>
      <c r="J20" s="19" t="n">
        <f aca="false">$H$4/B20</f>
        <v>3.6876322152997</v>
      </c>
    </row>
    <row r="21" customFormat="false" ht="15" hidden="false" customHeight="false" outlineLevel="0" collapsed="false">
      <c r="A21" s="0" t="n">
        <v>14</v>
      </c>
      <c r="B21" s="15" t="n">
        <f aca="false">$B$5*(1+$B$4)^13</f>
        <v>16074271.1146921</v>
      </c>
      <c r="C21" s="11"/>
      <c r="D21" s="17" t="str">
        <f aca="false">IF(C21="","",C21/B21)</f>
        <v/>
      </c>
      <c r="E21" s="15" t="n">
        <f aca="false">$C$8</f>
        <v>19500000</v>
      </c>
      <c r="F21" s="17" t="n">
        <f aca="false">E21/B21</f>
        <v>1.21311876979459</v>
      </c>
      <c r="G21" s="18" t="n">
        <f aca="false">IF(C21="",E21,C21)-G$6*B21</f>
        <v>-4611406.67203815</v>
      </c>
      <c r="H21" s="18" t="n">
        <f aca="false">IF(C21="",E21,C21)-H$6*B21</f>
        <v>-8629974.45071118</v>
      </c>
      <c r="I21" s="18" t="n">
        <f aca="false">IF(C21="",E21,C21)-I$6*B21</f>
        <v>-12648542.2293842</v>
      </c>
      <c r="J21" s="19" t="n">
        <f aca="false">$H$4/B21</f>
        <v>3.60825069990186</v>
      </c>
    </row>
    <row r="22" customFormat="false" ht="15" hidden="false" customHeight="false" outlineLevel="0" collapsed="false">
      <c r="A22" s="0" t="n">
        <v>15</v>
      </c>
      <c r="B22" s="15" t="n">
        <f aca="false">$B$5*(1+$B$4)^14</f>
        <v>16427905.0792153</v>
      </c>
      <c r="C22" s="11"/>
      <c r="D22" s="17" t="str">
        <f aca="false">IF(C22="","",C22/B22)</f>
        <v/>
      </c>
      <c r="E22" s="15" t="n">
        <f aca="false">$C$8</f>
        <v>19500000</v>
      </c>
      <c r="F22" s="17" t="n">
        <f aca="false">E22/B22</f>
        <v>1.18700466711799</v>
      </c>
      <c r="G22" s="18" t="n">
        <f aca="false">IF(C22="",E22,C22)-G$6*B22</f>
        <v>-5141857.618823</v>
      </c>
      <c r="H22" s="18" t="n">
        <f aca="false">IF(C22="",E22,C22)-H$6*B22</f>
        <v>-9248833.88862683</v>
      </c>
      <c r="I22" s="18" t="n">
        <f aca="false">IF(C22="",E22,C22)-I$6*B22</f>
        <v>-13355810.1584307</v>
      </c>
      <c r="J22" s="19" t="n">
        <f aca="false">$H$4/B22</f>
        <v>3.53057798424839</v>
      </c>
    </row>
    <row r="23" customFormat="false" ht="15" hidden="false" customHeight="false" outlineLevel="0" collapsed="false">
      <c r="A23" s="0" t="n">
        <v>16</v>
      </c>
      <c r="B23" s="15" t="n">
        <f aca="false">$B$5*(1+$B$4)^15</f>
        <v>16789318.9909581</v>
      </c>
      <c r="C23" s="11"/>
      <c r="D23" s="17" t="str">
        <f aca="false">IF(C23="","",C23/B23)</f>
        <v/>
      </c>
      <c r="E23" s="15" t="n">
        <f aca="false">$C$8</f>
        <v>19500000</v>
      </c>
      <c r="F23" s="17" t="n">
        <f aca="false">E23/B23</f>
        <v>1.16145270755185</v>
      </c>
      <c r="G23" s="18" t="n">
        <f aca="false">IF(C23="",E23,C23)-G$6*B23</f>
        <v>-5683978.48643711</v>
      </c>
      <c r="H23" s="18" t="n">
        <f aca="false">IF(C23="",E23,C23)-H$6*B23</f>
        <v>-9881308.23417662</v>
      </c>
      <c r="I23" s="18" t="n">
        <f aca="false">IF(C23="",E23,C23)-I$6*B23</f>
        <v>-14078637.9819161</v>
      </c>
      <c r="J23" s="19" t="n">
        <f aca="false">$H$4/B23</f>
        <v>3.45457728400038</v>
      </c>
    </row>
    <row r="24" customFormat="false" ht="15" hidden="false" customHeight="false" outlineLevel="0" collapsed="false">
      <c r="A24" s="0" t="n">
        <v>17</v>
      </c>
      <c r="B24" s="15" t="n">
        <f aca="false">$B$5*(1+$B$4)^16</f>
        <v>17158684.0087592</v>
      </c>
      <c r="C24" s="11"/>
      <c r="D24" s="17" t="str">
        <f aca="false">IF(C24="","",C24/B24)</f>
        <v/>
      </c>
      <c r="E24" s="15" t="n">
        <f aca="false">$C$8</f>
        <v>19500000</v>
      </c>
      <c r="F24" s="17" t="n">
        <f aca="false">E24/B24</f>
        <v>1.13645079016815</v>
      </c>
      <c r="G24" s="18" t="n">
        <f aca="false">IF(C24="",E24,C24)-G$6*B24</f>
        <v>-6238026.01313872</v>
      </c>
      <c r="H24" s="18" t="n">
        <f aca="false">IF(C24="",E24,C24)-H$6*B24</f>
        <v>-10527697.0153285</v>
      </c>
      <c r="I24" s="18" t="n">
        <f aca="false">IF(C24="",E24,C24)-I$6*B24</f>
        <v>-14817368.0175183</v>
      </c>
      <c r="J24" s="19" t="n">
        <f aca="false">$H$4/B24</f>
        <v>3.380212606654</v>
      </c>
    </row>
    <row r="25" customFormat="false" ht="15" hidden="false" customHeight="false" outlineLevel="0" collapsed="false">
      <c r="A25" s="0" t="n">
        <v>18</v>
      </c>
      <c r="B25" s="15" t="n">
        <f aca="false">$B$5*(1+$B$4)^17</f>
        <v>17536175.0569519</v>
      </c>
      <c r="C25" s="11"/>
      <c r="D25" s="17" t="str">
        <f aca="false">IF(C25="","",C25/B25)</f>
        <v/>
      </c>
      <c r="E25" s="15" t="n">
        <f aca="false">$C$8</f>
        <v>19500000</v>
      </c>
      <c r="F25" s="17" t="n">
        <f aca="false">E25/B25</f>
        <v>1.11198707452853</v>
      </c>
      <c r="G25" s="18" t="n">
        <f aca="false">IF(C25="",E25,C25)-G$6*B25</f>
        <v>-6804262.58542778</v>
      </c>
      <c r="H25" s="18" t="n">
        <f aca="false">IF(C25="",E25,C25)-H$6*B25</f>
        <v>-11188306.3496657</v>
      </c>
      <c r="I25" s="18" t="n">
        <f aca="false">IF(C25="",E25,C25)-I$6*B25</f>
        <v>-15572350.1139037</v>
      </c>
      <c r="J25" s="19" t="n">
        <f aca="false">$H$4/B25</f>
        <v>3.3074487344951</v>
      </c>
    </row>
    <row r="26" customFormat="false" ht="15" hidden="false" customHeight="false" outlineLevel="0" collapsed="false">
      <c r="A26" s="0" t="n">
        <v>19</v>
      </c>
      <c r="B26" s="15" t="n">
        <f aca="false">$B$5*(1+$B$4)^18</f>
        <v>17921970.9082048</v>
      </c>
      <c r="C26" s="11"/>
      <c r="D26" s="17" t="str">
        <f aca="false">IF(C26="","",C26/B26)</f>
        <v/>
      </c>
      <c r="E26" s="15" t="n">
        <f aca="false">$C$8</f>
        <v>19500000</v>
      </c>
      <c r="F26" s="17" t="n">
        <f aca="false">E26/B26</f>
        <v>1.08804997507684</v>
      </c>
      <c r="G26" s="18" t="n">
        <f aca="false">IF(C26="",E26,C26)-G$6*B26</f>
        <v>-7382956.36230718</v>
      </c>
      <c r="H26" s="18" t="n">
        <f aca="false">IF(C26="",E26,C26)-H$6*B26</f>
        <v>-11863449.0893584</v>
      </c>
      <c r="I26" s="18" t="n">
        <f aca="false">IF(C26="",E26,C26)-I$6*B26</f>
        <v>-16343941.8164096</v>
      </c>
      <c r="J26" s="19" t="n">
        <f aca="false">$H$4/B26</f>
        <v>3.23625120792085</v>
      </c>
    </row>
    <row r="27" customFormat="false" ht="15" hidden="false" customHeight="false" outlineLevel="0" collapsed="false">
      <c r="A27" s="0" t="n">
        <v>20</v>
      </c>
      <c r="B27" s="15" t="n">
        <f aca="false">$B$5*(1+$B$4)^19</f>
        <v>18316254.2681853</v>
      </c>
      <c r="C27" s="11"/>
      <c r="D27" s="17" t="str">
        <f aca="false">IF(C27="","",C27/B27)</f>
        <v/>
      </c>
      <c r="E27" s="15" t="n">
        <f aca="false">$C$8</f>
        <v>19500000</v>
      </c>
      <c r="F27" s="17" t="n">
        <f aca="false">E27/B27</f>
        <v>1.06462815565248</v>
      </c>
      <c r="G27" s="18" t="n">
        <f aca="false">IF(C27="",E27,C27)-G$6*B27</f>
        <v>-7974381.40227794</v>
      </c>
      <c r="H27" s="18" t="n">
        <f aca="false">IF(C27="",E27,C27)-H$6*B27</f>
        <v>-12553444.9693243</v>
      </c>
      <c r="I27" s="18" t="n">
        <f aca="false">IF(C27="",E27,C27)-I$6*B27</f>
        <v>-17132508.5363706</v>
      </c>
      <c r="J27" s="19" t="n">
        <f aca="false">$H$4/B27</f>
        <v>3.1665863091202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20"/>
  </cols>
  <sheetData>
    <row r="1" customFormat="false" ht="16.15" hidden="false" customHeight="false" outlineLevel="0" collapsed="false">
      <c r="A1" s="6" t="s">
        <v>35</v>
      </c>
    </row>
    <row r="3" customFormat="false" ht="15" hidden="false" customHeight="false" outlineLevel="0" collapsed="false">
      <c r="A3" s="0" t="s">
        <v>36</v>
      </c>
      <c r="B3" s="11" t="n">
        <v>19500000</v>
      </c>
      <c r="D3" s="8" t="s">
        <v>26</v>
      </c>
      <c r="E3" s="10" t="n">
        <v>12113500</v>
      </c>
    </row>
    <row r="4" customFormat="false" ht="15" hidden="false" customHeight="false" outlineLevel="0" collapsed="false">
      <c r="A4" s="0" t="s">
        <v>37</v>
      </c>
      <c r="B4" s="20" t="n">
        <v>0.0675</v>
      </c>
      <c r="D4" s="8" t="s">
        <v>38</v>
      </c>
      <c r="E4" s="18" t="n">
        <f aca="false">E3/B4</f>
        <v>179459259.259259</v>
      </c>
    </row>
    <row r="6" customFormat="false" ht="15" hidden="false" customHeight="false" outlineLevel="0" collapsed="false">
      <c r="A6" s="13" t="s">
        <v>39</v>
      </c>
      <c r="B6" s="13" t="s">
        <v>40</v>
      </c>
      <c r="C6" s="13" t="s">
        <v>41</v>
      </c>
      <c r="D6" s="14" t="s">
        <v>42</v>
      </c>
    </row>
    <row r="7" customFormat="false" ht="15" hidden="false" customHeight="false" outlineLevel="0" collapsed="false">
      <c r="A7" s="21" t="n">
        <v>2.5</v>
      </c>
      <c r="B7" s="15" t="n">
        <f aca="false">$B$3/A7</f>
        <v>7800000</v>
      </c>
      <c r="C7" s="15" t="n">
        <f aca="false">B7/$B$4</f>
        <v>115555555.555556</v>
      </c>
      <c r="D7" s="22" t="n">
        <f aca="false">C7/$E$4-1</f>
        <v>-0.356090312461304</v>
      </c>
    </row>
    <row r="8" customFormat="false" ht="15" hidden="false" customHeight="false" outlineLevel="0" collapsed="false">
      <c r="A8" s="21" t="n">
        <v>2.25</v>
      </c>
      <c r="B8" s="15" t="n">
        <f aca="false">$B$3/A8</f>
        <v>8666666.66666667</v>
      </c>
      <c r="C8" s="15" t="n">
        <f aca="false">B8/$B$4</f>
        <v>128395061.728395</v>
      </c>
      <c r="D8" s="22" t="n">
        <f aca="false">C8/$E$4-1</f>
        <v>-0.284544791623671</v>
      </c>
    </row>
    <row r="9" customFormat="false" ht="15" hidden="false" customHeight="false" outlineLevel="0" collapsed="false">
      <c r="A9" s="21" t="n">
        <v>2</v>
      </c>
      <c r="B9" s="15" t="n">
        <f aca="false">$B$3/A9</f>
        <v>9750000</v>
      </c>
      <c r="C9" s="15" t="n">
        <f aca="false">B9/$B$4</f>
        <v>144444444.444444</v>
      </c>
      <c r="D9" s="22" t="n">
        <f aca="false">C9/$E$4-1</f>
        <v>-0.195112890576629</v>
      </c>
    </row>
    <row r="10" customFormat="false" ht="15" hidden="false" customHeight="false" outlineLevel="0" collapsed="false">
      <c r="A10" s="21" t="n">
        <v>1.75</v>
      </c>
      <c r="B10" s="15" t="n">
        <f aca="false">$B$3/A10</f>
        <v>11142857.1428571</v>
      </c>
      <c r="C10" s="15" t="n">
        <f aca="false">B10/$B$4</f>
        <v>165079365.079365</v>
      </c>
      <c r="D10" s="22" t="n">
        <f aca="false">C10/$E$4-1</f>
        <v>-0.0801290178018621</v>
      </c>
    </row>
    <row r="11" customFormat="false" ht="15" hidden="false" customHeight="false" outlineLevel="0" collapsed="false">
      <c r="A11" s="21" t="n">
        <v>1.5</v>
      </c>
      <c r="B11" s="15" t="n">
        <f aca="false">$B$3/A11</f>
        <v>13000000</v>
      </c>
      <c r="C11" s="15" t="n">
        <f aca="false">B11/$B$4</f>
        <v>192592592.592593</v>
      </c>
      <c r="D11" s="22" t="n">
        <f aca="false">C11/$E$4-1</f>
        <v>0.073182812564494</v>
      </c>
    </row>
    <row r="12" customFormat="false" ht="15" hidden="false" customHeight="false" outlineLevel="0" collapsed="false">
      <c r="A12" s="21" t="n">
        <v>1.25</v>
      </c>
      <c r="B12" s="15" t="n">
        <f aca="false">$B$3/A12</f>
        <v>15600000</v>
      </c>
      <c r="C12" s="15" t="n">
        <f aca="false">B12/$B$4</f>
        <v>231111111.111111</v>
      </c>
      <c r="D12" s="22" t="n">
        <f aca="false">C12/$E$4-1</f>
        <v>0.287819375077393</v>
      </c>
    </row>
    <row r="13" customFormat="false" ht="15" hidden="false" customHeight="false" outlineLevel="0" collapsed="false">
      <c r="A13" s="21" t="n">
        <v>1</v>
      </c>
      <c r="B13" s="15" t="n">
        <f aca="false">$B$3/A13</f>
        <v>19500000</v>
      </c>
      <c r="C13" s="15" t="n">
        <f aca="false">B13/$B$4</f>
        <v>288888888.888889</v>
      </c>
      <c r="D13" s="22" t="n">
        <f aca="false">C13/$E$4-1</f>
        <v>0.609774218846741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0"/>
    <col collapsed="false" customWidth="true" hidden="false" outlineLevel="0" max="3" min="3" style="0" width="56"/>
  </cols>
  <sheetData>
    <row r="1" customFormat="false" ht="16.15" hidden="false" customHeight="false" outlineLevel="0" collapsed="false">
      <c r="A1" s="6" t="s">
        <v>43</v>
      </c>
    </row>
    <row r="3" customFormat="false" ht="15" hidden="false" customHeight="false" outlineLevel="0" collapsed="false">
      <c r="A3" s="13" t="s">
        <v>44</v>
      </c>
      <c r="B3" s="13" t="s">
        <v>45</v>
      </c>
      <c r="C3" s="13" t="s">
        <v>46</v>
      </c>
    </row>
    <row r="4" customFormat="false" ht="15" hidden="false" customHeight="false" outlineLevel="0" collapsed="false">
      <c r="A4" s="0" t="s">
        <v>47</v>
      </c>
      <c r="B4" s="0" t="s">
        <v>48</v>
      </c>
      <c r="C4" s="3" t="s">
        <v>49</v>
      </c>
    </row>
    <row r="5" customFormat="false" ht="15" hidden="false" customHeight="false" outlineLevel="0" collapsed="false">
      <c r="A5" s="0" t="s">
        <v>50</v>
      </c>
      <c r="B5" s="0" t="s">
        <v>51</v>
      </c>
      <c r="C5" s="3" t="s">
        <v>52</v>
      </c>
    </row>
    <row r="6" customFormat="false" ht="28.35" hidden="false" customHeight="false" outlineLevel="0" collapsed="false">
      <c r="A6" s="0" t="s">
        <v>53</v>
      </c>
      <c r="B6" s="0" t="s">
        <v>54</v>
      </c>
      <c r="C6" s="3" t="s">
        <v>55</v>
      </c>
    </row>
    <row r="7" customFormat="false" ht="28.35" hidden="false" customHeight="false" outlineLevel="0" collapsed="false">
      <c r="A7" s="0" t="s">
        <v>56</v>
      </c>
      <c r="B7" s="0" t="s">
        <v>57</v>
      </c>
      <c r="C7" s="3" t="s">
        <v>58</v>
      </c>
    </row>
    <row r="8" customFormat="false" ht="28.35" hidden="false" customHeight="false" outlineLevel="0" collapsed="false">
      <c r="A8" s="0" t="s">
        <v>59</v>
      </c>
      <c r="B8" s="0" t="s">
        <v>60</v>
      </c>
      <c r="C8" s="3" t="s">
        <v>61</v>
      </c>
    </row>
    <row r="9" customFormat="false" ht="28.35" hidden="false" customHeight="false" outlineLevel="0" collapsed="false">
      <c r="A9" s="0" t="s">
        <v>62</v>
      </c>
      <c r="B9" s="0" t="s">
        <v>63</v>
      </c>
      <c r="C9" s="3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4"/>
    <col collapsed="false" customWidth="true" hidden="false" outlineLevel="0" max="3" min="2" style="0" width="15"/>
    <col collapsed="false" customWidth="true" hidden="false" outlineLevel="0" max="4" min="4" style="0" width="10"/>
    <col collapsed="false" customWidth="true" hidden="false" outlineLevel="0" max="5" min="5" style="0" width="60"/>
  </cols>
  <sheetData>
    <row r="1" customFormat="false" ht="16.15" hidden="false" customHeight="false" outlineLevel="0" collapsed="false">
      <c r="A1" s="23" t="s">
        <v>65</v>
      </c>
    </row>
    <row r="2" customFormat="false" ht="15" hidden="false" customHeight="false" outlineLevel="0" collapsed="false">
      <c r="A2" s="24" t="s">
        <v>66</v>
      </c>
    </row>
    <row r="4" customFormat="false" ht="15" hidden="false" customHeight="false" outlineLevel="0" collapsed="false">
      <c r="A4" s="14" t="s">
        <v>67</v>
      </c>
      <c r="B4" s="14" t="s">
        <v>68</v>
      </c>
      <c r="C4" s="14" t="s">
        <v>69</v>
      </c>
      <c r="D4" s="14" t="s">
        <v>70</v>
      </c>
      <c r="E4" s="14" t="s">
        <v>71</v>
      </c>
    </row>
    <row r="5" customFormat="false" ht="15" hidden="false" customHeight="false" outlineLevel="0" collapsed="false">
      <c r="A5" s="5" t="s">
        <v>72</v>
      </c>
      <c r="B5" s="19" t="n">
        <v>1.61</v>
      </c>
      <c r="C5" s="19" t="n">
        <f aca="false">'2. Cover by year'!F8</f>
        <v>1.60977421884674</v>
      </c>
      <c r="D5" s="25" t="str">
        <f aca="false">IF(ISNUMBER(C5)=FALSE(),"CHECK",IF(ABS(C5-B5)&lt;=0.005,"OK","CHECK"))</f>
        <v>OK</v>
      </c>
      <c r="E5" s="26"/>
    </row>
    <row r="6" customFormat="false" ht="15" hidden="false" customHeight="false" outlineLevel="0" collapsed="false">
      <c r="A6" s="5" t="s">
        <v>73</v>
      </c>
      <c r="B6" s="19" t="n">
        <v>1.32</v>
      </c>
      <c r="C6" s="19" t="n">
        <f aca="false">'2. Cover by year'!F17</f>
        <v>1.32344807177899</v>
      </c>
      <c r="D6" s="25" t="str">
        <f aca="false">IF(ISNUMBER(C6)=FALSE(),"CHECK",IF(ABS(C6-B6)&lt;=0.005,"OK","CHECK"))</f>
        <v>OK</v>
      </c>
      <c r="E6" s="26"/>
    </row>
    <row r="7" customFormat="false" ht="15" hidden="false" customHeight="false" outlineLevel="0" collapsed="false">
      <c r="A7" s="5" t="s">
        <v>74</v>
      </c>
      <c r="B7" s="19" t="n">
        <v>1.06</v>
      </c>
      <c r="C7" s="19" t="n">
        <f aca="false">'2. Cover by year'!F27</f>
        <v>1.06462815565248</v>
      </c>
      <c r="D7" s="25" t="str">
        <f aca="false">IF(ISNUMBER(C7)=FALSE(),"CHECK",IF(ABS(C7-B7)&lt;=0.005,"OK","CHECK"))</f>
        <v>OK</v>
      </c>
      <c r="E7" s="26"/>
    </row>
    <row r="8" customFormat="false" ht="15" hidden="false" customHeight="false" outlineLevel="0" collapsed="false">
      <c r="A8" s="5" t="s">
        <v>75</v>
      </c>
      <c r="B8" s="19" t="n">
        <v>4.79</v>
      </c>
      <c r="C8" s="19" t="n">
        <f aca="false">'2. Cover by year'!J8</f>
        <v>4.78804639451851</v>
      </c>
      <c r="D8" s="25" t="str">
        <f aca="false">IF(ISNUMBER(C8)=FALSE(),"CHECK",IF(ABS(C8-B8)&lt;=0.005,"OK","CHECK"))</f>
        <v>OK</v>
      </c>
      <c r="E8" s="26"/>
    </row>
    <row r="9" customFormat="false" ht="15" hidden="false" customHeight="false" outlineLevel="0" collapsed="false">
      <c r="A9" s="5" t="s">
        <v>76</v>
      </c>
      <c r="B9" s="18" t="n">
        <v>144400000</v>
      </c>
      <c r="C9" s="18" t="n">
        <f aca="false">'3. Cover as a price'!C9</f>
        <v>144444444.444444</v>
      </c>
      <c r="D9" s="25" t="str">
        <f aca="false">IF(ISNUMBER(C9)=FALSE(),"CHECK",IF(ABS(C9-B9)&lt;=50000,"OK","CHECK"))</f>
        <v>OK</v>
      </c>
      <c r="E9" s="26"/>
    </row>
    <row r="10" customFormat="false" ht="15" hidden="false" customHeight="false" outlineLevel="0" collapsed="false">
      <c r="A10" s="5" t="s">
        <v>77</v>
      </c>
      <c r="B10" s="22" t="n">
        <v>-0.195</v>
      </c>
      <c r="C10" s="22" t="n">
        <f aca="false">'3. Cover as a price'!D9</f>
        <v>-0.195112890576629</v>
      </c>
      <c r="D10" s="25" t="str">
        <f aca="false">IF(ISNUMBER(C10)=FALSE(),"CHECK",IF(ABS(C10-B10)&lt;=0.0005,"OK","CHECK"))</f>
        <v>OK</v>
      </c>
      <c r="E10" s="26"/>
    </row>
    <row r="11" customFormat="false" ht="15" hidden="false" customHeight="false" outlineLevel="0" collapsed="false">
      <c r="A11" s="5" t="s">
        <v>78</v>
      </c>
      <c r="B11" s="18" t="n">
        <v>128400000</v>
      </c>
      <c r="C11" s="18" t="n">
        <f aca="false">'3. Cover as a price'!C8</f>
        <v>128395061.728395</v>
      </c>
      <c r="D11" s="25" t="str">
        <f aca="false">IF(ISNUMBER(C11)=FALSE(),"CHECK",IF(ABS(C11-B11)&lt;=50000,"OK","CHECK"))</f>
        <v>OK</v>
      </c>
      <c r="E11" s="26"/>
    </row>
    <row r="12" customFormat="false" ht="15" hidden="false" customHeight="false" outlineLevel="0" collapsed="false">
      <c r="A12" s="5" t="s">
        <v>79</v>
      </c>
      <c r="B12" s="18" t="n">
        <v>231100000</v>
      </c>
      <c r="C12" s="18" t="n">
        <f aca="false">'3. Cover as a price'!C12</f>
        <v>231111111.111111</v>
      </c>
      <c r="D12" s="25" t="str">
        <f aca="false">IF(ISNUMBER(C12)=FALSE(),"CHECK",IF(ABS(C12-B12)&lt;=50000,"OK","CHECK"))</f>
        <v>OK</v>
      </c>
      <c r="E12" s="26"/>
    </row>
    <row r="13" customFormat="false" ht="15" hidden="false" customHeight="false" outlineLevel="0" collapsed="false">
      <c r="A13" s="5" t="s">
        <v>80</v>
      </c>
      <c r="C13" s="8" t="str">
        <f aca="false">IF(ABS(('2. Cover by year'!E8/'2. Cover by year'!B8-'2. Cover by year'!G6)*'2. Cover by year'!B8-'2. Cover by year'!G8)&lt;0.000001,"OK","CHECK")</f>
        <v>OK</v>
      </c>
      <c r="D13" s="25" t="str">
        <f aca="false">IF(C13="","",IF(C13="OK","OK","CHECK"))</f>
        <v>OK</v>
      </c>
      <c r="E13" s="26" t="s">
        <v>81</v>
      </c>
    </row>
    <row r="14" customFormat="false" ht="15" hidden="false" customHeight="false" outlineLevel="0" collapsed="false">
      <c r="A14" s="5" t="s">
        <v>82</v>
      </c>
      <c r="C14" s="8" t="str">
        <f aca="false">IF(MIN('2. Cover by year'!B8:B27)&gt;='2. Cover by year'!B5*(1+MIN(0,'2. Cover by year'!E6))^19-0.000001,"OK","CHECK")</f>
        <v>OK</v>
      </c>
      <c r="D14" s="25" t="str">
        <f aca="false">IF(C14="","",IF(C14="OK","OK","CHECK"))</f>
        <v>OK</v>
      </c>
      <c r="E14" s="26" t="s">
        <v>81</v>
      </c>
    </row>
    <row r="15" customFormat="false" ht="15" hidden="false" customHeight="false" outlineLevel="0" collapsed="false">
      <c r="A15" s="5" t="s">
        <v>83</v>
      </c>
      <c r="C15" s="8" t="str">
        <f aca="false">IF('3. Cover as a price'!B3='2. Cover by year'!C8,"OK","CHECK")</f>
        <v>OK</v>
      </c>
      <c r="D15" s="25" t="str">
        <f aca="false">IF(C15="","",IF(C15="OK","OK","CHECK"))</f>
        <v>OK</v>
      </c>
      <c r="E15" s="26"/>
    </row>
    <row r="17" customFormat="false" ht="15" hidden="false" customHeight="false" outlineLevel="0" collapsed="false">
      <c r="A17" s="25" t="s">
        <v>84</v>
      </c>
      <c r="C17" s="25" t="str">
        <f aca="false">COUNTIF(D5:D15,"OK")&amp;" / 11"</f>
        <v>11 / 11</v>
      </c>
      <c r="D17" s="25" t="str">
        <f aca="false">IF(COUNTIF(D5:D15,"OK")=11,"ALL OK","SOME FAIL")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2026-08-25T20:03:41Z</dcterms:created>
  <dc:creator>openpyxl</dc:creator>
  <dc:description/>
  <dc:language>en-US</dc:language>
  <cp:lastModifiedBy/>
  <dcterms:modified xsi:type="dcterms:W3CDTF">2026-09-23T23:27:02Z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