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ME" sheetId="1" state="visible" r:id="rId3"/>
    <sheet name="Inputs" sheetId="2" state="visible" r:id="rId4"/>
    <sheet name="Cases" sheetId="3" state="visible" r:id="rId5"/>
    <sheet name="DCF" sheetId="4" state="visible" r:id="rId6"/>
    <sheet name="Multiples" sheetId="5" state="visible" r:id="rId7"/>
    <sheet name="Waterfall" sheetId="6" state="visible" r:id="rId8"/>
    <sheet name="Liquidation" sheetId="7" state="visible" r:id="rId9"/>
    <sheet name="DIP" sheetId="8" state="visible" r:id="rId10"/>
    <sheet name="Court_Cost" sheetId="9" state="visible" r:id="rId11"/>
    <sheet name="Plan" sheetId="10" state="visible" r:id="rId12"/>
    <sheet name="Votes" sheetId="11" state="visible" r:id="rId13"/>
    <sheet name="Exit_Capacity" sheetId="12" state="visible" r:id="rId14"/>
    <sheet name="Checks" sheetId="13" state="visible" r:id="rId1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<sst xmlns="http://schemas.openxmlformats.org/spreadsheetml/2006/main" count="1699" uniqueCount="972">
  <si>
    <t xml:space="preserve">Brantwell Coatings Group: Valuation, Waterfall and Plan</t>
  </si>
  <si>
    <t xml:space="preserve">What this file is</t>
  </si>
  <si>
    <t xml:space="preserve">Part III of The Corporate Restructuring Handbook (Julian R. Sterling): the valuation of Brantwell Coatings Group (fictional) in three cases (Chapter 11), the Chapter 11 waterfall with unencumbered value and the liquidation analysis (Chapter 12), the DIP and the cost of time in court (Chapter 13), the plan, its equity split and the votes (Chapter 14), and the exit capital structure (Chapter 15). The Checks sheet compares every figure the book prints from these chapters with the live cells.</t>
  </si>
  <si>
    <t xml:space="preserve">Conventions</t>
  </si>
  <si>
    <t xml:space="preserve">US dollars in millions. Blue font = hard-coded input (Inputs sheet; the Book column on Checks). Black = live formula. No macros, data tables, Goal Seek or circular references. Amounts one decimal, ratios 0.00x, percentages 0.0%; the pre-filing and in-court weekly grids show two decimals. The book rounds half up, as Excel displays (cash at filing 34.385 prints 34.39 in both); the Checks sheet counts any live value that would display differently from the book (zero).</t>
  </si>
  <si>
    <t xml:space="preserve">Valuation: unlevered free cash flow = EBITDA - capex - 25% tax on EBIT (EBITDA - D&amp;A) - 12% of the revenue increase (year 1 against LTM revenue). Mid-year discounting for the annual flows; the terminal value (Gordon growth on the year-5 flow, itself a mid-year flow) is discounted 4.5 years, consistently. Each case value is the average of its DCF and 7.0x year-1 (forward) EBITDA, rounded to the nearest $5 million. The WACC x growth grid is built with explicit formulas (no data table).</t>
  </si>
  <si>
    <t xml:space="preserve">The case in court: filing at the end of week 13 (coupon held); the plan is prepackaged but contested, so the case lasts 12 weeks. The DIP budget runs the base forecast's operating weeks; pre-filing debt service stops; professional fees of 2.50 a week are paid 80% weekly and 20% held back until emergence; success fees of 8 are paid at emergence; critical vendors, utility deposits and two weeks of payment in advance go out in week 1. The DIP is sized on the 13-week trough plus a 20 cushion, grossed up for its 3% fee and rounded up to 5. Cash at emergence = cash without the DIP at the end of the case + the DIP's net proceeds; the part above the 25 minimum is first-lien collateral and a source at exit.</t>
  </si>
  <si>
    <t xml:space="preserve">Claims: interest accrues on the TLB from its week-6 payment and on the RCF from its week-12 payment to the filing; the notes claim adds the missed coupon and interest since week 11; trade at filing is reduced by the critical vendors paid in week 1.</t>
  </si>
  <si>
    <t xml:space="preserve">Waterfall: the DIP and its interest are repaid from the collateral they primed, and unpaid professional fees from the carve-out the DIP order grants out of the collateral; priority claims and cure costs are paid first from unencumbered value (8% of EV). The first lien takes the lesser of its net collateral and its claim; its deficiency shares what is left of the unencumbered value (plus any collateral above its claim) pro rata with the general unsecured pool; if the collateral cannot cover the claims charged to it (very low values only), the rest is paid from the unencumbered value before the pool shares it. Liquidation is measured at the emergence date, with no cure costs; all the cash is collateral, as in the going-concern waterfall, and the unencumbered share applies to the other proceeds. The going concern is compared as the plan value plus the cash above the minimum, which the enterprise value does not include.</t>
  </si>
  <si>
    <t xml:space="preserve">The collateral map can also change who owns the company: at the management value the GUC class is the fulcrum only while the unencumbered share stays below the share at which the first lien's net collateral equals its claim (a closed form on Waterfall, recomputed in the block below it).</t>
  </si>
  <si>
    <t xml:space="preserve">The enterprise values at which the first lien and the GUC pool are paid in full are found two ways, without Goal Seek or circularity: a closed form, and a transparent bisection laid out in rows (50 halvings, each row recomputing the waterfall at the midpoint). The plan's 'paid in full' values and the EBITDA at which exit free cash flow reaches zero are closed forms, each verified by recomputing the result at the solution.</t>
  </si>
  <si>
    <t xml:space="preserve">Plan: the exit uses (DIP, its interest, unpaid fees, priority and cure) are met by the rights offering, the cash above the minimum and a balancing draw on a new 75 exit revolving credit facility (not a market term loan); exit debt is the exit RCF drawn plus the take-back term loan. Equity is counted in units of plan value. Units distributed to creditors = plan value - exit debt - rights offering; rights offering units = 50 / (1 - 25%); backstop units = 10% x 50; MIP units = 8% of the fully diluted total. At any other value, recoveries are (EV - exit debt) spread over the same fully diluted units.</t>
  </si>
  <si>
    <t xml:space="preserve">Court cost: each case length (7 weeks uncontested, 12 weeks Brantwell's, 39 weeks free fall) has its own fees (weekly fees + success fees), its own DIP re-sized on the trough of the in-court path over the case (at least 13 weeks), its own DIP fee and interest, and its own lost value. The in-court path runs the 13-week budget, then extends it to 39 weeks with ordinary weeks: the periodic items (payroll every second week, rent every fourth, the quarterly rebate and tax) repeat the 13-week pattern, but the seasonal dip and the week-10 refund do not, so the 39 weeks carry one seasonal dip only. These costs measure what time costs: the plan value of 975 is the lender case and is not reduced by them (the fees are in the claims; the lost-customer value is a measure, not a deduction). Exit tax = 25% x (EBITDA - D&amp;A - interest).</t>
  </si>
  <si>
    <t xml:space="preserve">Sheets</t>
  </si>
  <si>
    <t xml:space="preserve">Inputs; Cases (revenue and unlevered FCF, three cases); DCF (mid-year, terminal value, sensitivity grid); Multiples (multiples values and the values carried: 1,170 / 975 / 815); Waterfall (claims, grid of EVs, fulcrum, full-payment values, sensitivity to the unencumbered share, the share that moves the fulcrum at the management value, bisection); Liquidation; DIP (13-week DIP budget, sizing, the weekly in-court path to 39 weeks, cash at emergence); Court_Cost (7, 12 and 39 weeks); Plan (sources and uses with the exit revolving credit facility, take-back, equity split, rights offering, backstop, MIP, recoveries at four values, the sponsor's new value on both bases); Votes; Exit_Capacity (three tests, tax after emergence, cushion to zero FCF); Checks.</t>
  </si>
  <si>
    <t xml:space="preserve">How to use it</t>
  </si>
  <si>
    <t xml:space="preserve">Change an input on Inputs (a case's EBITDA, the WACC, the unencumbered share, the DIP and fee assumptions, the case length, the rights offering terms) and read the consequences through to the plan recoveries. Checks must show zero FAIL with the book's inputs. Source: model/model.py (sections 1 and 4 to 7) and book/_FACTS.md.</t>
  </si>
  <si>
    <t xml:space="preserve">Inputs</t>
  </si>
  <si>
    <t xml:space="preserve">Blue = hard-coded input.</t>
  </si>
  <si>
    <t xml:space="preserve">Company and capital structure at month 0</t>
  </si>
  <si>
    <t xml:space="preserve">Parameter</t>
  </si>
  <si>
    <t xml:space="preserve">Value</t>
  </si>
  <si>
    <t xml:space="preserve">Unit</t>
  </si>
  <si>
    <t xml:space="preserve">Source / note</t>
  </si>
  <si>
    <t xml:space="preserve">Reference rate (SOFR)</t>
  </si>
  <si>
    <t xml:space="preserve">% a year</t>
  </si>
  <si>
    <t xml:space="preserve">Assumption, flat throughout the book</t>
  </si>
  <si>
    <t xml:space="preserve">Cash at week 0</t>
  </si>
  <si>
    <t xml:space="preserve">$m</t>
  </si>
  <si>
    <t xml:space="preserve">Minimum operating cash</t>
  </si>
  <si>
    <t xml:space="preserve">Management's figure</t>
  </si>
  <si>
    <t xml:space="preserve">Adjusted EBITDA, last twelve months</t>
  </si>
  <si>
    <t xml:space="preserve">RCF commitments</t>
  </si>
  <si>
    <t xml:space="preserve">RCF drawn</t>
  </si>
  <si>
    <t xml:space="preserve">RCF margin over SOFR</t>
  </si>
  <si>
    <t xml:space="preserve">RCF commitment fee on undrawn</t>
  </si>
  <si>
    <t xml:space="preserve">Springing test: drawn share of commitments that triggers it</t>
  </si>
  <si>
    <t xml:space="preserve">%</t>
  </si>
  <si>
    <t xml:space="preserve">Maximum first-lien net leverage when tested</t>
  </si>
  <si>
    <t xml:space="preserve">x</t>
  </si>
  <si>
    <t xml:space="preserve">RCF maturity</t>
  </si>
  <si>
    <t xml:space="preserve">month</t>
  </si>
  <si>
    <t xml:space="preserve">Term loan B</t>
  </si>
  <si>
    <t xml:space="preserve">Term loan B margin over SOFR</t>
  </si>
  <si>
    <t xml:space="preserve">Term loan B amortization</t>
  </si>
  <si>
    <t xml:space="preserve">Paid quarterly</t>
  </si>
  <si>
    <t xml:space="preserve">Term loan B maturity</t>
  </si>
  <si>
    <t xml:space="preserve">Senior unsecured notes</t>
  </si>
  <si>
    <t xml:space="preserve">Notes coupon (fixed)</t>
  </si>
  <si>
    <t xml:space="preserve">Paid semi-annually</t>
  </si>
  <si>
    <t xml:space="preserve">Notes maturity</t>
  </si>
  <si>
    <t xml:space="preserve">Indenture grace period on a coupon</t>
  </si>
  <si>
    <t xml:space="preserve">days</t>
  </si>
  <si>
    <t xml:space="preserve">Brantwell's indenture term</t>
  </si>
  <si>
    <t xml:space="preserve">Maintenance capex</t>
  </si>
  <si>
    <t xml:space="preserve">$m a year</t>
  </si>
  <si>
    <t xml:space="preserve">Growth capex</t>
  </si>
  <si>
    <t xml:space="preserve">Cash taxes (pre-restructuring)</t>
  </si>
  <si>
    <t xml:space="preserve">Calendar conventions</t>
  </si>
  <si>
    <t xml:space="preserve">Weeks in a year</t>
  </si>
  <si>
    <t xml:space="preserve">weeks</t>
  </si>
  <si>
    <t xml:space="preserve">Days in a year</t>
  </si>
  <si>
    <t xml:space="preserve">Forecast horizon</t>
  </si>
  <si>
    <t xml:space="preserve">The layout has 13 week columns</t>
  </si>
  <si>
    <t xml:space="preserve">Term loan interest and amortization payments a year</t>
  </si>
  <si>
    <t xml:space="preserve">per year</t>
  </si>
  <si>
    <t xml:space="preserve">RCF interest and fee payments a year</t>
  </si>
  <si>
    <t xml:space="preserve">Notes coupons a year</t>
  </si>
  <si>
    <t xml:space="preserve">Cash tax installments a year</t>
  </si>
  <si>
    <t xml:space="preserve">13-week forecast: weekly run-rates</t>
  </si>
  <si>
    <t xml:space="preserve">Driver</t>
  </si>
  <si>
    <t xml:space="preserve">Customer collections, normal week</t>
  </si>
  <si>
    <t xml:space="preserve">$m a week</t>
  </si>
  <si>
    <t xml:space="preserve">Customer collections, seasonal week</t>
  </si>
  <si>
    <t xml:space="preserve">Year-end destocking at distributors (flag row below)</t>
  </si>
  <si>
    <t xml:space="preserve">Other receipts (tax refund and sundries)</t>
  </si>
  <si>
    <t xml:space="preserve">Supplier payments</t>
  </si>
  <si>
    <t xml:space="preserve">Payroll, per pay week</t>
  </si>
  <si>
    <t xml:space="preserve">Freight and logistics</t>
  </si>
  <si>
    <t xml:space="preserve">Other operating costs</t>
  </si>
  <si>
    <t xml:space="preserve">Calibrated: the weekly lines annualize to the LTM EBITDA</t>
  </si>
  <si>
    <t xml:space="preserve">Rent and utilities, per payment week</t>
  </si>
  <si>
    <t xml:space="preserve">Customer rebates (quarterly)</t>
  </si>
  <si>
    <t xml:space="preserve">Company restructuring advisers</t>
  </si>
  <si>
    <t xml:space="preserve">Notes coupon held before filing (1 = held, 0 = paid)</t>
  </si>
  <si>
    <t xml:space="preserve">switch</t>
  </si>
  <si>
    <t xml:space="preserve">Chapter 13: cash at filing is week 13 of the base forecast with the coupon unpaid</t>
  </si>
  <si>
    <t xml:space="preserve">13-week forecast: timing flags (1 = the cash moves that week)</t>
  </si>
  <si>
    <t xml:space="preserve">Flag</t>
  </si>
  <si>
    <t xml:space="preserve">Note</t>
  </si>
  <si>
    <t xml:space="preserve">Seasonal collections week</t>
  </si>
  <si>
    <t xml:space="preserve">Weeks 5-8</t>
  </si>
  <si>
    <t xml:space="preserve">Other receipts week</t>
  </si>
  <si>
    <t xml:space="preserve">Week 10</t>
  </si>
  <si>
    <t xml:space="preserve">Payroll week</t>
  </si>
  <si>
    <t xml:space="preserve">Every second week</t>
  </si>
  <si>
    <t xml:space="preserve">Rent and utilities week</t>
  </si>
  <si>
    <t xml:space="preserve">Weeks 1, 5, 9, 13</t>
  </si>
  <si>
    <t xml:space="preserve">Customer rebates week</t>
  </si>
  <si>
    <t xml:space="preserve">Week 13</t>
  </si>
  <si>
    <t xml:space="preserve">Cash tax installment week</t>
  </si>
  <si>
    <t xml:space="preserve">Week 7</t>
  </si>
  <si>
    <t xml:space="preserve">Company advisers paid</t>
  </si>
  <si>
    <t xml:space="preserve">From week 3</t>
  </si>
  <si>
    <t xml:space="preserve">Term loan interest and amortization week</t>
  </si>
  <si>
    <t xml:space="preserve">Week 6 (quarterly)</t>
  </si>
  <si>
    <t xml:space="preserve">RCF interest and commitment fee week</t>
  </si>
  <si>
    <t xml:space="preserve">Weeks 4, 8, 12 (monthly)</t>
  </si>
  <si>
    <t xml:space="preserve">Notes coupon week</t>
  </si>
  <si>
    <t xml:space="preserve">Week 11 (semi-annual)</t>
  </si>
  <si>
    <t xml:space="preserve">Valuation (Chapter 11)</t>
  </si>
  <si>
    <t xml:space="preserve">Revenue, last twelve months</t>
  </si>
  <si>
    <t xml:space="preserve">Depreciation and amortization</t>
  </si>
  <si>
    <t xml:space="preserve">Tax rate on EBIT</t>
  </si>
  <si>
    <t xml:space="preserve">Working capital, share of revenue change</t>
  </si>
  <si>
    <t xml:space="preserve">Capex, forecast years</t>
  </si>
  <si>
    <t xml:space="preserve">WACC</t>
  </si>
  <si>
    <t xml:space="preserve">Terminal growth</t>
  </si>
  <si>
    <t xml:space="preserve">EV / year-1 (forward) EBITDA multiple</t>
  </si>
  <si>
    <t xml:space="preserve">Multiple range: low</t>
  </si>
  <si>
    <t xml:space="preserve">Multiple range: high</t>
  </si>
  <si>
    <t xml:space="preserve">Rounding of case values</t>
  </si>
  <si>
    <t xml:space="preserve">Case</t>
  </si>
  <si>
    <t xml:space="preserve">Management: EBITDA ($m)</t>
  </si>
  <si>
    <t xml:space="preserve">Lender: EBITDA ($m)</t>
  </si>
  <si>
    <t xml:space="preserve">Downside: EBITDA ($m)</t>
  </si>
  <si>
    <t xml:space="preserve">Management: EBITDA margin</t>
  </si>
  <si>
    <t xml:space="preserve">Lender: EBITDA margin</t>
  </si>
  <si>
    <t xml:space="preserve">Downside: EBITDA margin</t>
  </si>
  <si>
    <t xml:space="preserve">Sensitivity axes</t>
  </si>
  <si>
    <t xml:space="preserve">Claims (Chapter 12)</t>
  </si>
  <si>
    <t xml:space="preserve">Filing at the end of week</t>
  </si>
  <si>
    <t xml:space="preserve">week</t>
  </si>
  <si>
    <t xml:space="preserve">After the coupon week and part of the grace</t>
  </si>
  <si>
    <t xml:space="preserve">Trade claims at filing</t>
  </si>
  <si>
    <t xml:space="preserve">Critical vendors paid in week 1 are deducted</t>
  </si>
  <si>
    <t xml:space="preserve">Lease rejection damages</t>
  </si>
  <si>
    <t xml:space="preserve">Capped by the statutory formula</t>
  </si>
  <si>
    <t xml:space="preserve">Litigation claims</t>
  </si>
  <si>
    <t xml:space="preserve">Priority claims (tax, employee)</t>
  </si>
  <si>
    <t xml:space="preserve">Cure costs on assumed contracts</t>
  </si>
  <si>
    <t xml:space="preserve">Unencumbered share of enterprise value</t>
  </si>
  <si>
    <t xml:space="preserve">Assumption: foreign subsidiaries' shares above the 65% pledged</t>
  </si>
  <si>
    <t xml:space="preserve">Grids</t>
  </si>
  <si>
    <t xml:space="preserve">Enterprise values tested ($m)</t>
  </si>
  <si>
    <t xml:space="preserve">Unencumbered shares tested</t>
  </si>
  <si>
    <t xml:space="preserve">DIP and time in court (Chapter 13)</t>
  </si>
  <si>
    <t xml:space="preserve">Professional fees, all estate-paid advisers</t>
  </si>
  <si>
    <t xml:space="preserve">Assumption</t>
  </si>
  <si>
    <t xml:space="preserve">Share of weekly fees held back until emergence</t>
  </si>
  <si>
    <t xml:space="preserve">Success fees payable at emergence</t>
  </si>
  <si>
    <t xml:space="preserve">Critical vendors (court-approved)</t>
  </si>
  <si>
    <t xml:space="preserve">$m, week 1</t>
  </si>
  <si>
    <t xml:space="preserve">Utility deposits</t>
  </si>
  <si>
    <t xml:space="preserve">Non-critical suppliers paid in advance</t>
  </si>
  <si>
    <t xml:space="preserve">weeks of purchases, week 1</t>
  </si>
  <si>
    <t xml:space="preserve">DIP cushion</t>
  </si>
  <si>
    <t xml:space="preserve">DIP fee, taken from proceeds</t>
  </si>
  <si>
    <t xml:space="preserve">DIP margin (interest accrues, paid at emergence)</t>
  </si>
  <si>
    <t xml:space="preserve">DIP facility rounded up to</t>
  </si>
  <si>
    <t xml:space="preserve">Brantwell's case: prepackaged, confirmation contested</t>
  </si>
  <si>
    <t xml:space="preserve">Uncontested prepackaged case (comparison)</t>
  </si>
  <si>
    <t xml:space="preserve">Free-fall case</t>
  </si>
  <si>
    <t xml:space="preserve">Assumption; the in-court path has 39 rows</t>
  </si>
  <si>
    <t xml:space="preserve">Permanent revenue loss, uncontested prepack</t>
  </si>
  <si>
    <t xml:space="preserve">Permanent revenue loss, Brantwell's case</t>
  </si>
  <si>
    <t xml:space="preserve">Permanent revenue loss, free fall</t>
  </si>
  <si>
    <t xml:space="preserve">Flow-through of lost revenue to EBITDA</t>
  </si>
  <si>
    <t xml:space="preserve">In-court timing</t>
  </si>
  <si>
    <t xml:space="preserve">First-week payments flag</t>
  </si>
  <si>
    <t xml:space="preserve">Critical vendors, deposits, advance payments</t>
  </si>
  <si>
    <t xml:space="preserve">Liquidation analysis (Chapter 12)</t>
  </si>
  <si>
    <t xml:space="preserve">Receivables, book value</t>
  </si>
  <si>
    <t xml:space="preserve">Receivables, recovery rate</t>
  </si>
  <si>
    <t xml:space="preserve">Inventory, book value</t>
  </si>
  <si>
    <t xml:space="preserve">Inventory, recovery rate</t>
  </si>
  <si>
    <t xml:space="preserve">Plant and equipment, book value</t>
  </si>
  <si>
    <t xml:space="preserve">Plant and equipment, recovery rate</t>
  </si>
  <si>
    <t xml:space="preserve">Brands and formulations</t>
  </si>
  <si>
    <t xml:space="preserve">Other assets</t>
  </si>
  <si>
    <t xml:space="preserve">Wind-down costs</t>
  </si>
  <si>
    <t xml:space="preserve">Trustee and sale costs, share of gross proceeds</t>
  </si>
  <si>
    <t xml:space="preserve">Plan and exit (Chapters 14 and 15)</t>
  </si>
  <si>
    <t xml:space="preserve">Exit debt margin</t>
  </si>
  <si>
    <t xml:space="preserve">Exit revolving credit facility: commitments</t>
  </si>
  <si>
    <t xml:space="preserve">New at emergence; the balancing draw at exit is made on it</t>
  </si>
  <si>
    <t xml:space="preserve">Target exit leverage (year-1 lender EBITDA)</t>
  </si>
  <si>
    <t xml:space="preserve">Take-back rounded to</t>
  </si>
  <si>
    <t xml:space="preserve">Rights offering</t>
  </si>
  <si>
    <t xml:space="preserve">Rights offering discount to plan equity value</t>
  </si>
  <si>
    <t xml:space="preserve">Backstop premium (paid in equity), share of the offering</t>
  </si>
  <si>
    <t xml:space="preserve">Management incentive plan reserve, fully diluted</t>
  </si>
  <si>
    <t xml:space="preserve">Share the sponsor would want to hold</t>
  </si>
  <si>
    <t xml:space="preserve">Capacity test: maximum leverage</t>
  </si>
  <si>
    <t xml:space="preserve">Capacity test: minimum fixed-charge cover</t>
  </si>
  <si>
    <t xml:space="preserve">Capacity test: minimum FCF / debt</t>
  </si>
  <si>
    <t xml:space="preserve">Votes (Chapter 14)</t>
  </si>
  <si>
    <t xml:space="preserve">Class 3</t>
  </si>
  <si>
    <t xml:space="preserve">Class 4</t>
  </si>
  <si>
    <t xml:space="preserve">Holders</t>
  </si>
  <si>
    <t xml:space="preserve">Holders voting</t>
  </si>
  <si>
    <t xml:space="preserve">Amount voting ($m)</t>
  </si>
  <si>
    <t xml:space="preserve">Holders accepting</t>
  </si>
  <si>
    <t xml:space="preserve">Amount accepting ($m)</t>
  </si>
  <si>
    <t xml:space="preserve">US test: share of amount voting</t>
  </si>
  <si>
    <t xml:space="preserve">At least two-thirds</t>
  </si>
  <si>
    <t xml:space="preserve">US test: share of number voting</t>
  </si>
  <si>
    <t xml:space="preserve">More than one-half</t>
  </si>
  <si>
    <t xml:space="preserve">Alternative threshold by amount (UK Part 26A, EU ceiling)</t>
  </si>
  <si>
    <t xml:space="preserve">Ad hoc group's TLB holding</t>
  </si>
  <si>
    <t xml:space="preserve">Three cases: revenue and unlevered free cash flow ($m)</t>
  </si>
  <si>
    <t xml:space="preserve">Chapter 11. Revenue follows from EBITDA and margin; FCF = EBITDA - capex - tax on EBIT - working capital.</t>
  </si>
  <si>
    <t xml:space="preserve">Management case</t>
  </si>
  <si>
    <t xml:space="preserve">EBITDA</t>
  </si>
  <si>
    <t xml:space="preserve">EBITDA margin</t>
  </si>
  <si>
    <t xml:space="preserve">Revenue (EBITDA / margin)</t>
  </si>
  <si>
    <t xml:space="preserve">Prior-year revenue</t>
  </si>
  <si>
    <t xml:space="preserve">EBIT</t>
  </si>
  <si>
    <t xml:space="preserve">Tax on EBIT</t>
  </si>
  <si>
    <t xml:space="preserve">Increase in working capital</t>
  </si>
  <si>
    <t xml:space="preserve">Capex</t>
  </si>
  <si>
    <t xml:space="preserve">Unlevered free cash flow</t>
  </si>
  <si>
    <t xml:space="preserve">Lender case</t>
  </si>
  <si>
    <t xml:space="preserve">Downside case</t>
  </si>
  <si>
    <t xml:space="preserve">Discounted cash flow, mid-year convention ($m)</t>
  </si>
  <si>
    <t xml:space="preserve">Annual flows discounted for t - 0.5 years; the terminal value (a mid-year flow too) for 4.5 years.</t>
  </si>
  <si>
    <t xml:space="preserve">Discount factors</t>
  </si>
  <si>
    <t xml:space="preserve">Year</t>
  </si>
  <si>
    <t xml:space="preserve">Discount period (mid-year)</t>
  </si>
  <si>
    <t xml:space="preserve">Discount factor at the WACC</t>
  </si>
  <si>
    <t xml:space="preserve">Present value</t>
  </si>
  <si>
    <t xml:space="preserve">Sum of PV of years 1-5</t>
  </si>
  <si>
    <t xml:space="preserve">Terminal value (Gordon growth on the year-5 flow)</t>
  </si>
  <si>
    <t xml:space="preserve">PV of terminal value (discounted 4.5 years)</t>
  </si>
  <si>
    <t xml:space="preserve">DCF enterprise value</t>
  </si>
  <si>
    <t xml:space="preserve">Terminal value share of EV</t>
  </si>
  <si>
    <t xml:space="preserve">Implied exit multiple of year-5 EBITDA</t>
  </si>
  <si>
    <t xml:space="preserve">Sensitivity of the lender-case DCF: WACC (rows) x terminal growth (columns)</t>
  </si>
  <si>
    <t xml:space="preserve">WACC \ growth</t>
  </si>
  <si>
    <t xml:space="preserve">g 1</t>
  </si>
  <si>
    <t xml:space="preserve">g 2</t>
  </si>
  <si>
    <t xml:space="preserve">g 3</t>
  </si>
  <si>
    <t xml:space="preserve">Multiples and the values carried through Part III ($m)</t>
  </si>
  <si>
    <t xml:space="preserve">Each case's value is the average of its DCF and 7.0x year-1 (forward) EBITDA, rounded to the nearest $5m.</t>
  </si>
  <si>
    <t xml:space="preserve">Management</t>
  </si>
  <si>
    <t xml:space="preserve">Lender</t>
  </si>
  <si>
    <t xml:space="preserve">Downside</t>
  </si>
  <si>
    <t xml:space="preserve">Year-1 (forward) EBITDA</t>
  </si>
  <si>
    <t xml:space="preserve">EV at the low multiple</t>
  </si>
  <si>
    <t xml:space="preserve">EV at the multiple</t>
  </si>
  <si>
    <t xml:space="preserve">EV at the high multiple</t>
  </si>
  <si>
    <t xml:space="preserve">DCF EV</t>
  </si>
  <si>
    <t xml:space="preserve">Average of DCF and multiple</t>
  </si>
  <si>
    <t xml:space="preserve">Value carried (rounded)</t>
  </si>
  <si>
    <t xml:space="preserve">The lender case is the plan value</t>
  </si>
  <si>
    <t xml:space="preserve">Item</t>
  </si>
  <si>
    <t xml:space="preserve">Management value</t>
  </si>
  <si>
    <t xml:space="preserve">Plan value (lender case)</t>
  </si>
  <si>
    <t xml:space="preserve">Downside value</t>
  </si>
  <si>
    <t xml:space="preserve">Spread between management and downside</t>
  </si>
  <si>
    <t xml:space="preserve">The valuation is the negotiation</t>
  </si>
  <si>
    <t xml:space="preserve">The Chapter 11 waterfall with unencumbered value ($m)</t>
  </si>
  <si>
    <t xml:space="preserve">Chapter 12. DIP, interest and fee carve-out on the collateral; priority and cure first on unencumbered value.</t>
  </si>
  <si>
    <t xml:space="preserve">Claims paid in cash at emergence</t>
  </si>
  <si>
    <t xml:space="preserve">Claim</t>
  </si>
  <si>
    <t xml:space="preserve">DIP</t>
  </si>
  <si>
    <t xml:space="preserve">DIP interest accrued over the case</t>
  </si>
  <si>
    <t xml:space="preserve">Unpaid professional fees (holdback + success fees)</t>
  </si>
  <si>
    <t xml:space="preserve">On the collateral (DIP primes; fees from the carve-out)</t>
  </si>
  <si>
    <t xml:space="preserve">Cure costs</t>
  </si>
  <si>
    <t xml:space="preserve">First on unencumbered value</t>
  </si>
  <si>
    <t xml:space="preserve">Senior cash claims paid at emergence</t>
  </si>
  <si>
    <t xml:space="preserve">Cash above the minimum at emergence (first-lien collateral)</t>
  </si>
  <si>
    <t xml:space="preserve">Claims against the estate</t>
  </si>
  <si>
    <t xml:space="preserve">Term loan rate</t>
  </si>
  <si>
    <t xml:space="preserve">RCF rate</t>
  </si>
  <si>
    <t xml:space="preserve">Term loan interest last paid (week)</t>
  </si>
  <si>
    <t xml:space="preserve">RCF interest last paid (week)</t>
  </si>
  <si>
    <t xml:space="preserve">Last flagged week</t>
  </si>
  <si>
    <t xml:space="preserve">Term loan interest accrued to filing</t>
  </si>
  <si>
    <t xml:space="preserve">RCF interest accrued to filing</t>
  </si>
  <si>
    <t xml:space="preserve">First-lien interest accrued to filing</t>
  </si>
  <si>
    <t xml:space="preserve">First-lien claim (RCF + TLB + accrued)</t>
  </si>
  <si>
    <t xml:space="preserve">Notes coupon missed (week)</t>
  </si>
  <si>
    <t xml:space="preserve">Missed coupon</t>
  </si>
  <si>
    <t xml:space="preserve">Notes interest accrued since the coupon week</t>
  </si>
  <si>
    <t xml:space="preserve">Notes claim (face + missed coupon + accrued)</t>
  </si>
  <si>
    <t xml:space="preserve">Trade (at filing less critical vendors paid)</t>
  </si>
  <si>
    <t xml:space="preserve">Other general unsecured (trade + lease + litigation)</t>
  </si>
  <si>
    <t xml:space="preserve">General unsecured (GUC) pool</t>
  </si>
  <si>
    <t xml:space="preserve">Unencumbered share of value</t>
  </si>
  <si>
    <t xml:space="preserve">Values at which each class is paid in full (closed form)</t>
  </si>
  <si>
    <t xml:space="preserve">First lien full if unencumbered value covers priority and cure</t>
  </si>
  <si>
    <t xml:space="preserve">First lien paid in full above EV</t>
  </si>
  <si>
    <t xml:space="preserve">Net collateral equals the claim</t>
  </si>
  <si>
    <t xml:space="preserve">GUC pool paid in full above EV</t>
  </si>
  <si>
    <t xml:space="preserve">Once the first lien is whole, everything left goes to the pool</t>
  </si>
  <si>
    <t xml:space="preserve">Management value above first-lien par</t>
  </si>
  <si>
    <t xml:space="preserve">At the management value, unencumbered share above which the first lien is the fulcrum</t>
  </si>
  <si>
    <t xml:space="preserve">Closed form: net collateral equals the claim; below it the GUC class is the fulcrum</t>
  </si>
  <si>
    <t xml:space="preserve">Closed form applies (1 = unencumbered value at that share covers priority and cure)</t>
  </si>
  <si>
    <t xml:space="preserve">The block below recomputes the waterfall at the share and just above it</t>
  </si>
  <si>
    <t xml:space="preserve">Fulcrum at the plan value</t>
  </si>
  <si>
    <t xml:space="preserve">Fulcrum at the management value</t>
  </si>
  <si>
    <t xml:space="preserve">Fulcrum at the downside value</t>
  </si>
  <si>
    <t xml:space="preserve">Waterfall at each enterprise value</t>
  </si>
  <si>
    <t xml:space="preserve">EV 1</t>
  </si>
  <si>
    <t xml:space="preserve">EV 2</t>
  </si>
  <si>
    <t xml:space="preserve">EV 3</t>
  </si>
  <si>
    <t xml:space="preserve">EV 4</t>
  </si>
  <si>
    <t xml:space="preserve">EV 5</t>
  </si>
  <si>
    <t xml:space="preserve">EV 6</t>
  </si>
  <si>
    <t xml:space="preserve">EV 7</t>
  </si>
  <si>
    <t xml:space="preserve">Plan</t>
  </si>
  <si>
    <t xml:space="preserve">Mgmt</t>
  </si>
  <si>
    <t xml:space="preserve">1L full</t>
  </si>
  <si>
    <t xml:space="preserve">1L full-0.1</t>
  </si>
  <si>
    <t xml:space="preserve">GUC full</t>
  </si>
  <si>
    <t xml:space="preserve">GUC full-0.1</t>
  </si>
  <si>
    <t xml:space="preserve">Enterprise value</t>
  </si>
  <si>
    <t xml:space="preserve">Cash above the minimum at emergence</t>
  </si>
  <si>
    <t xml:space="preserve">Distributable (EV + excess cash - senior cash claims)</t>
  </si>
  <si>
    <t xml:space="preserve">Encumbered value ((1 - u) x EV + excess cash)</t>
  </si>
  <si>
    <t xml:space="preserve">Unencumbered value (u x EV)</t>
  </si>
  <si>
    <t xml:space="preserve">Priority and cure paid from unencumbered value</t>
  </si>
  <si>
    <t xml:space="preserve">Charged to the collateral (DIP, interest, fees + any priority shortfall)</t>
  </si>
  <si>
    <t xml:space="preserve">Charges the collateral cannot cover (paid from unencumbered value)</t>
  </si>
  <si>
    <t xml:space="preserve">Unencumbered value left</t>
  </si>
  <si>
    <t xml:space="preserve">Collateral value net of its charges</t>
  </si>
  <si>
    <t xml:space="preserve">First lien from collateral</t>
  </si>
  <si>
    <t xml:space="preserve">Collateral value above the first-lien claim</t>
  </si>
  <si>
    <t xml:space="preserve">First-lien deficiency claim</t>
  </si>
  <si>
    <t xml:space="preserve">Pool claims (deficiency + GUC)</t>
  </si>
  <si>
    <t xml:space="preserve">Pool value (unencumbered left + excess collateral)</t>
  </si>
  <si>
    <t xml:space="preserve">First lien's share of the pool</t>
  </si>
  <si>
    <t xml:space="preserve">First lien recovery</t>
  </si>
  <si>
    <t xml:space="preserve">First lien, % of claim</t>
  </si>
  <si>
    <t xml:space="preserve">GUC recovery</t>
  </si>
  <si>
    <t xml:space="preserve">GUC, % of claim</t>
  </si>
  <si>
    <t xml:space="preserve">of which notes</t>
  </si>
  <si>
    <t xml:space="preserve">Equity (old shareholders)</t>
  </si>
  <si>
    <t xml:space="preserve">Fulcrum security</t>
  </si>
  <si>
    <t xml:space="preserve">Conservation check (should be zero)</t>
  </si>
  <si>
    <t xml:space="preserve">Sensitivity of recoveries at the plan value to the unencumbered share</t>
  </si>
  <si>
    <t xml:space="preserve">u 1</t>
  </si>
  <si>
    <t xml:space="preserve">u 2</t>
  </si>
  <si>
    <t xml:space="preserve">u 3</t>
  </si>
  <si>
    <t xml:space="preserve">u 4</t>
  </si>
  <si>
    <t xml:space="preserve">u 5</t>
  </si>
  <si>
    <t xml:space="preserve">The collateral map decides the fulcrum: the management value at each unencumbered share</t>
  </si>
  <si>
    <t xml:space="preserve">Flip</t>
  </si>
  <si>
    <t xml:space="preserve">Flip + 0.1 pt</t>
  </si>
  <si>
    <t xml:space="preserve">Bisection (the book's method): lowest EV at which the class is paid in full</t>
  </si>
  <si>
    <t xml:space="preserve">Step</t>
  </si>
  <si>
    <t xml:space="preserve">1L: low</t>
  </si>
  <si>
    <t xml:space="preserve">1L: high</t>
  </si>
  <si>
    <t xml:space="preserve">1L: mid</t>
  </si>
  <si>
    <t xml:space="preserve">1L: % at mid</t>
  </si>
  <si>
    <t xml:space="preserve">GUC: low</t>
  </si>
  <si>
    <t xml:space="preserve">GUC: high</t>
  </si>
  <si>
    <t xml:space="preserve">GUC: mid</t>
  </si>
  <si>
    <t xml:space="preserve">GUC: % at mid</t>
  </si>
  <si>
    <t xml:space="preserve">Result</t>
  </si>
  <si>
    <t xml:space="preserve">Liquidation analysis: the best-interests test ($m)</t>
  </si>
  <si>
    <t xml:space="preserve">Chapter 12. At the same date as emergence; net proceeds run through the same allocation, without cure costs.</t>
  </si>
  <si>
    <t xml:space="preserve">Asset</t>
  </si>
  <si>
    <t xml:space="preserve">Book</t>
  </si>
  <si>
    <t xml:space="preserve">Recovery</t>
  </si>
  <si>
    <t xml:space="preserve">Proceeds</t>
  </si>
  <si>
    <t xml:space="preserve">Cash at the emergence date</t>
  </si>
  <si>
    <t xml:space="preserve">Includes the DIP's net proceeds</t>
  </si>
  <si>
    <t xml:space="preserve">Receivables</t>
  </si>
  <si>
    <t xml:space="preserve">Inventory</t>
  </si>
  <si>
    <t xml:space="preserve">Plant and equipment</t>
  </si>
  <si>
    <t xml:space="preserve">Other</t>
  </si>
  <si>
    <t xml:space="preserve">Gross proceeds</t>
  </si>
  <si>
    <t xml:space="preserve">Trustee and sale costs</t>
  </si>
  <si>
    <t xml:space="preserve">Net liquidation proceeds</t>
  </si>
  <si>
    <t xml:space="preserve">Net proceeds other than cash</t>
  </si>
  <si>
    <t xml:space="preserve">Encumbered: all the cash + (1 - u) of the rest</t>
  </si>
  <si>
    <t xml:space="preserve">All the cash is collateral, as in the going-concern waterfall</t>
  </si>
  <si>
    <t xml:space="preserve">Unencumbered: u of the rest</t>
  </si>
  <si>
    <t xml:space="preserve">DIP, its interest and the unpaid fees (on the collateral)</t>
  </si>
  <si>
    <t xml:space="preserve">Priority claims (no cure costs in a liquidation)</t>
  </si>
  <si>
    <t xml:space="preserve">Priority paid from unencumbered value</t>
  </si>
  <si>
    <t xml:space="preserve">First-lien deficiency</t>
  </si>
  <si>
    <t xml:space="preserve">Going concern (plan value + cash above the minimum) above net liquidation proceeds</t>
  </si>
  <si>
    <t xml:space="preserve">The enterprise value does not include the cash above the minimum</t>
  </si>
  <si>
    <t xml:space="preserve">DIP financing: the budget in court and cash at emergence ($m)</t>
  </si>
  <si>
    <t xml:space="preserve">Chapter 13. Cash at filing = week 13 of the base forecast with the coupon held.</t>
  </si>
  <si>
    <t xml:space="preserve">Pre-filing: base 13-week forecast, coupon held</t>
  </si>
  <si>
    <t xml:space="preserve">Total</t>
  </si>
  <si>
    <t xml:space="preserve">Receipts</t>
  </si>
  <si>
    <t xml:space="preserve">Customer collections</t>
  </si>
  <si>
    <t xml:space="preserve">Other receipts</t>
  </si>
  <si>
    <t xml:space="preserve">Total receipts</t>
  </si>
  <si>
    <t xml:space="preserve">Operating disbursements</t>
  </si>
  <si>
    <t xml:space="preserve">Suppliers</t>
  </si>
  <si>
    <t xml:space="preserve">Payroll</t>
  </si>
  <si>
    <t xml:space="preserve">Rent and utilities</t>
  </si>
  <si>
    <t xml:space="preserve">Customer rebates</t>
  </si>
  <si>
    <t xml:space="preserve">Capital expenditure</t>
  </si>
  <si>
    <t xml:space="preserve">Annual maintenance + growth capex / 52</t>
  </si>
  <si>
    <t xml:space="preserve">Cash taxes</t>
  </si>
  <si>
    <t xml:space="preserve">Quarterly installment of the annual cash tax</t>
  </si>
  <si>
    <t xml:space="preserve">Total operating disbursements</t>
  </si>
  <si>
    <t xml:space="preserve">Operating cash flow</t>
  </si>
  <si>
    <t xml:space="preserve">Non-operating</t>
  </si>
  <si>
    <t xml:space="preserve">Restructuring advisers</t>
  </si>
  <si>
    <t xml:space="preserve">Debt service</t>
  </si>
  <si>
    <t xml:space="preserve">Term loan interest</t>
  </si>
  <si>
    <t xml:space="preserve">TLB x (SOFR + margin) / 4</t>
  </si>
  <si>
    <t xml:space="preserve">Term loan amortization</t>
  </si>
  <si>
    <t xml:space="preserve">Revolver interest and fees</t>
  </si>
  <si>
    <t xml:space="preserve">(Drawn x rate + undrawn x fee) / 12</t>
  </si>
  <si>
    <t xml:space="preserve">Notes coupon</t>
  </si>
  <si>
    <t xml:space="preserve">Zero when the HOLD switch on Inputs is 1</t>
  </si>
  <si>
    <t xml:space="preserve">Total debt service</t>
  </si>
  <si>
    <t xml:space="preserve">Net cash flow</t>
  </si>
  <si>
    <t xml:space="preserve">Beginning cash</t>
  </si>
  <si>
    <t xml:space="preserve">Ending cash</t>
  </si>
  <si>
    <t xml:space="preserve">Headroom over the minimum</t>
  </si>
  <si>
    <t xml:space="preserve">Below the minimum (1 = yes)</t>
  </si>
  <si>
    <t xml:space="preserve">Cash at filing (week 13 ending cash)</t>
  </si>
  <si>
    <t xml:space="preserve">In court: the 13-week DIP budget</t>
  </si>
  <si>
    <t xml:space="preserve">Operating cash flow (same weeks as the base forecast)</t>
  </si>
  <si>
    <t xml:space="preserve">Pre-filing debt service stops (automatic stay)</t>
  </si>
  <si>
    <t xml:space="preserve">Professional fees paid weekly (80%)</t>
  </si>
  <si>
    <t xml:space="preserve">All estate-paid advisers; 20% held back</t>
  </si>
  <si>
    <t xml:space="preserve">Critical vendors</t>
  </si>
  <si>
    <t xml:space="preserve">Suppliers moving to payment in advance</t>
  </si>
  <si>
    <t xml:space="preserve">Two weeks of purchases</t>
  </si>
  <si>
    <t xml:space="preserve">Cash without a DIP</t>
  </si>
  <si>
    <t xml:space="preserve">Cash with the DIP (net proceeds received in week 1)</t>
  </si>
  <si>
    <t xml:space="preserve">Memo: fees held back (accrue, paid at emergence)</t>
  </si>
  <si>
    <t xml:space="preserve">Sizing the DIP</t>
  </si>
  <si>
    <t xml:space="preserve">Trough of cash without a DIP</t>
  </si>
  <si>
    <t xml:space="preserve">Trough week</t>
  </si>
  <si>
    <t xml:space="preserve">Need = minimum cash - trough + cushion</t>
  </si>
  <si>
    <t xml:space="preserve">Grossed up for the fee</t>
  </si>
  <si>
    <t xml:space="preserve">DIP facility (rounded up)</t>
  </si>
  <si>
    <t xml:space="preserve">DIP fee</t>
  </si>
  <si>
    <t xml:space="preserve">Net proceeds</t>
  </si>
  <si>
    <t xml:space="preserve">DIP rate (SOFR + margin)</t>
  </si>
  <si>
    <t xml:space="preserve">Lowest cash with the DIP</t>
  </si>
  <si>
    <t xml:space="preserve">In court: weekly path for any case length (after week 13, ordinary weeks: one seasonal dip only)</t>
  </si>
  <si>
    <t xml:space="preserve">Week</t>
  </si>
  <si>
    <t xml:space="preserve">Pattern week</t>
  </si>
  <si>
    <t xml:space="preserve">Pattern-week operating cash flow</t>
  </si>
  <si>
    <t xml:space="preserve">Adjustment after week 13 (no dip, no refund)</t>
  </si>
  <si>
    <t xml:space="preserve">Fees paid (80%)</t>
  </si>
  <si>
    <t xml:space="preserve">First-week payments</t>
  </si>
  <si>
    <t xml:space="preserve">Lowest so far</t>
  </si>
  <si>
    <t xml:space="preserve">Cash at emergence (Brantwell's case)</t>
  </si>
  <si>
    <t xml:space="preserve">Check: week 13 of the path less the budget above (zero)</t>
  </si>
  <si>
    <t xml:space="preserve">Case length (weeks)</t>
  </si>
  <si>
    <t xml:space="preserve">Cash without the DIP at the end of the case</t>
  </si>
  <si>
    <t xml:space="preserve">Cash at emergence before the exit transactions (+ DIP net proceeds)</t>
  </si>
  <si>
    <t xml:space="preserve">Cash above the minimum (first-lien collateral; a source at exit)</t>
  </si>
  <si>
    <t xml:space="preserve">Fees held back over the case</t>
  </si>
  <si>
    <t xml:space="preserve">Unpaid professional fees at emergence (holdback + success fees)</t>
  </si>
  <si>
    <t xml:space="preserve">Fees are otherwise paid weekly: nothing is counted twice</t>
  </si>
  <si>
    <t xml:space="preserve">The cost of time in court: uncontested, Brantwell's case and free fall ($m)</t>
  </si>
  <si>
    <t xml:space="preserve">Chapter 13. The fees are the visible part; the customers are the part nobody invoices.</t>
  </si>
  <si>
    <t xml:space="preserve">Uncontested</t>
  </si>
  <si>
    <t xml:space="preserve">Brantwell</t>
  </si>
  <si>
    <t xml:space="preserve">Free fall</t>
  </si>
  <si>
    <t xml:space="preserve">FF - Brantwell</t>
  </si>
  <si>
    <t xml:space="preserve">Weeks in court</t>
  </si>
  <si>
    <t xml:space="preserve">Professional fees (weekly fees + success fees)</t>
  </si>
  <si>
    <t xml:space="preserve">DIP sizing horizon (the case, at least 13 weeks)</t>
  </si>
  <si>
    <t xml:space="preserve">Trough of cash without a DIP over that horizon</t>
  </si>
  <si>
    <t xml:space="preserve">DIP need (minimum - trough + cushion)</t>
  </si>
  <si>
    <t xml:space="preserve">DIP sized for the case (grossed up, rounded up)</t>
  </si>
  <si>
    <t xml:space="preserve">DIP interest</t>
  </si>
  <si>
    <t xml:space="preserve">Permanent revenue loss</t>
  </si>
  <si>
    <t xml:space="preserve">Revenue lost</t>
  </si>
  <si>
    <t xml:space="preserve">EBITDA lost (30% flow-through)</t>
  </si>
  <si>
    <t xml:space="preserve">Value lost with customers (x multiple)</t>
  </si>
  <si>
    <t xml:space="preserve">Total cost of the case</t>
  </si>
  <si>
    <t xml:space="preserve">Reading</t>
  </si>
  <si>
    <t xml:space="preserve">Free fall minus Brantwell's case</t>
  </si>
  <si>
    <t xml:space="preserve">Difference, % of the first-lien claim</t>
  </si>
  <si>
    <t xml:space="preserve">Share of the difference: professional fees</t>
  </si>
  <si>
    <t xml:space="preserve">Share of the difference: value lost with customers</t>
  </si>
  <si>
    <t xml:space="preserve">Extra DIP cost (fee + interest)</t>
  </si>
  <si>
    <t xml:space="preserve">The contest itself: Brantwell's case minus uncontested</t>
  </si>
  <si>
    <t xml:space="preserve">The plan: sources and uses, exit debt, equity split and recoveries ($m)</t>
  </si>
  <si>
    <t xml:space="preserve">Chapter 14. Equity counted in units of plan value.</t>
  </si>
  <si>
    <t xml:space="preserve">Sources and uses at emergence</t>
  </si>
  <si>
    <t xml:space="preserve">Uses: repay the DIP</t>
  </si>
  <si>
    <t xml:space="preserve">Uses: DIP interest</t>
  </si>
  <si>
    <t xml:space="preserve">Uses: unpaid professional fees</t>
  </si>
  <si>
    <t xml:space="preserve">Uses: priority claims</t>
  </si>
  <si>
    <t xml:space="preserve">Uses: cure costs</t>
  </si>
  <si>
    <t xml:space="preserve">Total uses</t>
  </si>
  <si>
    <t xml:space="preserve">Sources: rights offering</t>
  </si>
  <si>
    <t xml:space="preserve">Sources: cash above the minimum</t>
  </si>
  <si>
    <t xml:space="preserve">The company emerges with its minimum cash</t>
  </si>
  <si>
    <t xml:space="preserve">Sources: drawing on the new exit revolving credit facility</t>
  </si>
  <si>
    <t xml:space="preserve">A balancing draw, not a market term loan</t>
  </si>
  <si>
    <t xml:space="preserve">Total sources</t>
  </si>
  <si>
    <t xml:space="preserve">Exit revolving credit facility: undrawn at emergence</t>
  </si>
  <si>
    <t xml:space="preserve">Liquidity on top of the minimum cash</t>
  </si>
  <si>
    <t xml:space="preserve">Draw within the commitments (1 = yes)</t>
  </si>
  <si>
    <t xml:space="preserve">Exit debt and the take-back</t>
  </si>
  <si>
    <t xml:space="preserve">Year-1 lender-case EBITDA</t>
  </si>
  <si>
    <t xml:space="preserve">Take-back term loan to the first lien</t>
  </si>
  <si>
    <t xml:space="preserve">Sized for the target leverage, rounded</t>
  </si>
  <si>
    <t xml:space="preserve">Exit debt (exit RCF drawn + take-back)</t>
  </si>
  <si>
    <t xml:space="preserve">Exit leverage</t>
  </si>
  <si>
    <t xml:space="preserve">Equity value and its allocation between creditors</t>
  </si>
  <si>
    <t xml:space="preserve">Plan value</t>
  </si>
  <si>
    <t xml:space="preserve">Equity value after the rights offering</t>
  </si>
  <si>
    <t xml:space="preserve">Equity distributed to creditors (before new money)</t>
  </si>
  <si>
    <t xml:space="preserve">Waterfall at the plan value: first lien</t>
  </si>
  <si>
    <t xml:space="preserve">Waterfall at the plan value: GUC</t>
  </si>
  <si>
    <t xml:space="preserve">First lien's share of distributed equity</t>
  </si>
  <si>
    <t xml:space="preserve">GUC class's share of distributed equity</t>
  </si>
  <si>
    <t xml:space="preserve">First lien, % of distributed equity</t>
  </si>
  <si>
    <t xml:space="preserve">GUC, % of distributed equity</t>
  </si>
  <si>
    <t xml:space="preserve">Check: distributed equity + take-back - distributable (zero)</t>
  </si>
  <si>
    <t xml:space="preserve">Units of plan value: rights offering, backstop and MIP</t>
  </si>
  <si>
    <t xml:space="preserve">Units</t>
  </si>
  <si>
    <t xml:space="preserve">Fully diluted %</t>
  </si>
  <si>
    <t xml:space="preserve">Value (FD)</t>
  </si>
  <si>
    <t xml:space="preserve">Creditors' distribution</t>
  </si>
  <si>
    <t xml:space="preserve">   of which first lien</t>
  </si>
  <si>
    <t xml:space="preserve">Before any rights-offering gain</t>
  </si>
  <si>
    <t xml:space="preserve">   of which GUC</t>
  </si>
  <si>
    <t xml:space="preserve">Rights offering (50 at a 25% discount)</t>
  </si>
  <si>
    <t xml:space="preserve">Backstop premium</t>
  </si>
  <si>
    <t xml:space="preserve">Units before the MIP</t>
  </si>
  <si>
    <t xml:space="preserve">MIP reserve (8% fully diluted)</t>
  </si>
  <si>
    <t xml:space="preserve">Fully diluted units</t>
  </si>
  <si>
    <t xml:space="preserve">Post-offering equity value</t>
  </si>
  <si>
    <t xml:space="preserve">Value per unit before the MIP</t>
  </si>
  <si>
    <t xml:space="preserve">Value per unit, fully diluted</t>
  </si>
  <si>
    <t xml:space="preserve">A dollar of plan value of distributed equity is worth this after dilution</t>
  </si>
  <si>
    <t xml:space="preserve">Check: fully diluted % sum to 100%</t>
  </si>
  <si>
    <t xml:space="preserve">Rights offering and backstop economics (at plan value)</t>
  </si>
  <si>
    <t xml:space="preserve">Rights offering buyers pay</t>
  </si>
  <si>
    <t xml:space="preserve">and receive equity worth</t>
  </si>
  <si>
    <t xml:space="preserve">Gain</t>
  </si>
  <si>
    <t xml:space="preserve">Backstop parties receive equity worth</t>
  </si>
  <si>
    <t xml:space="preserve">First-lien and GUC recoveries under the plan: EV - exit debt over the same fully diluted units</t>
  </si>
  <si>
    <t xml:space="preserve">Par: securities</t>
  </si>
  <si>
    <t xml:space="preserve">Par: with RO</t>
  </si>
  <si>
    <t xml:space="preserve">Equity value (EV - exit debt)</t>
  </si>
  <si>
    <t xml:space="preserve">Value per fully diluted unit</t>
  </si>
  <si>
    <t xml:space="preserve">First lien: take-back</t>
  </si>
  <si>
    <t xml:space="preserve">First lien: equity</t>
  </si>
  <si>
    <t xml:space="preserve">GUC recovery (equity)</t>
  </si>
  <si>
    <t xml:space="preserve">Rights-offering gain at that value</t>
  </si>
  <si>
    <t xml:space="preserve">Backstop equity at that value</t>
  </si>
  <si>
    <t xml:space="preserve">First lien with the rights offering and the backstop</t>
  </si>
  <si>
    <t xml:space="preserve">as % of the claim</t>
  </si>
  <si>
    <t xml:space="preserve">Waterfall at the plan value: first lien %</t>
  </si>
  <si>
    <t xml:space="preserve">The difference with the plan recovery is dilution</t>
  </si>
  <si>
    <t xml:space="preserve">Waterfall at the plan value: GUC %</t>
  </si>
  <si>
    <t xml:space="preserve">First lien if Class 3 takes the whole offering and the backstop</t>
  </si>
  <si>
    <t xml:space="preserve">EV at which the plan's first-lien securities alone equal the claim</t>
  </si>
  <si>
    <t xml:space="preserve">Closed form; the 'Par: securities' column recomputes 100%</t>
  </si>
  <si>
    <t xml:space="preserve">EV at which securities + rights-offering gain + backstop equal the claim</t>
  </si>
  <si>
    <t xml:space="preserve">Closed form; the 'Par: with RO' column recomputes 100%</t>
  </si>
  <si>
    <t xml:space="preserve">Management value above the second threshold</t>
  </si>
  <si>
    <t xml:space="preserve">On its own number, the senior class would be paid more than in full</t>
  </si>
  <si>
    <t xml:space="preserve">The sponsor's new value: which base is '10%'?</t>
  </si>
  <si>
    <t xml:space="preserve">New value to hold 10% of the equity outstanding at emergence</t>
  </si>
  <si>
    <t xml:space="preserve">At plan value; permissibility is for counsel</t>
  </si>
  <si>
    <t xml:space="preserve">Units bought (at the value per unit before the MIP)</t>
  </si>
  <si>
    <t xml:space="preserve">Units before the MIP, including the sponsor's</t>
  </si>
  <si>
    <t xml:space="preserve">MIP units on that base</t>
  </si>
  <si>
    <t xml:space="preserve">Sponsor's stake fully diluted</t>
  </si>
  <si>
    <t xml:space="preserve">The MIP reserve dilutes it</t>
  </si>
  <si>
    <t xml:space="preserve">New value to hold 10% fully diluted</t>
  </si>
  <si>
    <t xml:space="preserve">Check: fully diluted stake at that price</t>
  </si>
  <si>
    <t xml:space="preserve">A term sheet that says '10%' has not said which base</t>
  </si>
  <si>
    <t xml:space="preserve">Plan votes and confirmation tests</t>
  </si>
  <si>
    <t xml:space="preserve">Chapter 14 (US) and Chapter 16 (other thresholds).</t>
  </si>
  <si>
    <t xml:space="preserve">Class 3 (1L)</t>
  </si>
  <si>
    <t xml:space="preserve">Class 4 (GUC)</t>
  </si>
  <si>
    <t xml:space="preserve">Amount voting</t>
  </si>
  <si>
    <t xml:space="preserve">Amount accepting</t>
  </si>
  <si>
    <t xml:space="preserve">Accepting, % of amount voting</t>
  </si>
  <si>
    <t xml:space="preserve">Accepting, % of number voting</t>
  </si>
  <si>
    <t xml:space="preserve">Two-thirds in amount (1 = met)</t>
  </si>
  <si>
    <t xml:space="preserve">More than half in number (1 = met)</t>
  </si>
  <si>
    <t xml:space="preserve">Class accepts (1 = yes)</t>
  </si>
  <si>
    <t xml:space="preserve">Passes a 75%-by-amount test (1 = yes)</t>
  </si>
  <si>
    <t xml:space="preserve">Ad hoc group's claim (600 of TLB + its share of the TLB's accrued interest)</t>
  </si>
  <si>
    <t xml:space="preserve">Group's share of Class 3</t>
  </si>
  <si>
    <t xml:space="preserve">Short of two-thirds on its own if everyone votes</t>
  </si>
  <si>
    <t xml:space="preserve">RCF banks' claim (50 drawn + the RCF's accrued interest)</t>
  </si>
  <si>
    <t xml:space="preserve">Group and banks together, share of Class 3</t>
  </si>
  <si>
    <t xml:space="preserve">Two-thirds by amount needs the banks to sign the RSA</t>
  </si>
  <si>
    <t xml:space="preserve">Group and banks reach two-thirds by amount at full turnout (1 = yes)</t>
  </si>
  <si>
    <t xml:space="preserve">Class 3 yes votes needed by number at full turnout (more than half of the holders)</t>
  </si>
  <si>
    <t xml:space="preserve">The RSA carries the class only if enough individual holders sign it or vote yes</t>
  </si>
  <si>
    <t xml:space="preserve">Best interests: GUC recovery under the plan</t>
  </si>
  <si>
    <t xml:space="preserve">Best interests: GUC recovery in liquidation</t>
  </si>
  <si>
    <t xml:space="preserve">Best-interests test met (1 = yes)</t>
  </si>
  <si>
    <t xml:space="preserve">The capital structure after: capacity tests and the cushion ($m)</t>
  </si>
  <si>
    <t xml:space="preserve">Chapter 15. Size the new structure for the fall, not for the plan.</t>
  </si>
  <si>
    <t xml:space="preserve">Debt capacity on year-1 lender EBITDA</t>
  </si>
  <si>
    <t xml:space="preserve">Exit debt rate (SOFR + margin)</t>
  </si>
  <si>
    <t xml:space="preserve">Leverage test: debt at maximum leverage</t>
  </si>
  <si>
    <t xml:space="preserve">Fixed-charge test: (EBITDA - capex) / (cover x rate)</t>
  </si>
  <si>
    <t xml:space="preserve">FCF test: FCF after interest and tax &gt;= 8% of debt</t>
  </si>
  <si>
    <t xml:space="preserve">Tax deducts interest: D &lt;= (E - capex - t(E - DA)) / (k + r(1 - t))</t>
  </si>
  <si>
    <t xml:space="preserve">Binding capacity</t>
  </si>
  <si>
    <t xml:space="preserve">Binding test</t>
  </si>
  <si>
    <t xml:space="preserve">The plan's exit structure</t>
  </si>
  <si>
    <t xml:space="preserve">Exit debt</t>
  </si>
  <si>
    <t xml:space="preserve">Share of capacity used</t>
  </si>
  <si>
    <t xml:space="preserve">Cash interest</t>
  </si>
  <si>
    <t xml:space="preserve">Cash tax after emergence: 25% of (EBITDA - D&amp;A - interest), not below zero</t>
  </si>
  <si>
    <t xml:space="preserve">Free cash flow after interest, capex and tax</t>
  </si>
  <si>
    <t xml:space="preserve">Fixed-charge cover</t>
  </si>
  <si>
    <t xml:space="preserve">Cushion: how far can EBITDA fall before free cash flow reaches zero?</t>
  </si>
  <si>
    <t xml:space="preserve">EBITDA at which tax reaches zero (D&amp;A + interest)</t>
  </si>
  <si>
    <t xml:space="preserve">Zero-FCF EBITDA if no tax is due at that level (capex + interest)</t>
  </si>
  <si>
    <t xml:space="preserve">Zero-FCF EBITDA if tax is due at that level</t>
  </si>
  <si>
    <t xml:space="preserve">EBITDA at which FCF is zero</t>
  </si>
  <si>
    <t xml:space="preserve">Below the tax-zero point each dollar of EBITDA is a dollar of FCF</t>
  </si>
  <si>
    <t xml:space="preserve">Check: FCF at that EBITDA (zero)</t>
  </si>
  <si>
    <t xml:space="preserve">EBITDA can fall by</t>
  </si>
  <si>
    <t xml:space="preserve">Checks: the figures printed in the book against the live workbook</t>
  </si>
  <si>
    <t xml:space="preserve">Book = the figure as printed (from _FACTS.md, rounded half up). Tolerance = half a unit of the last printed digit. Display = the live value rounded to the printed precision.</t>
  </si>
  <si>
    <t xml:space="preserve">Number of checks</t>
  </si>
  <si>
    <t xml:space="preserve">Displayed differently from the book</t>
  </si>
  <si>
    <t xml:space="preserve">Number of FAIL</t>
  </si>
  <si>
    <t xml:space="preserve">#</t>
  </si>
  <si>
    <t xml:space="preserve">Sheet</t>
  </si>
  <si>
    <t xml:space="preserve">Figure printed in the book</t>
  </si>
  <si>
    <t xml:space="preserve">Workbook</t>
  </si>
  <si>
    <t xml:space="preserve">Difference</t>
  </si>
  <si>
    <t xml:space="preserve">Tolerance</t>
  </si>
  <si>
    <t xml:space="preserve">Status</t>
  </si>
  <si>
    <t xml:space="preserve">Display</t>
  </si>
  <si>
    <t xml:space="preserve">Cases</t>
  </si>
  <si>
    <t xml:space="preserve">Management: revenue year 1</t>
  </si>
  <si>
    <t xml:space="preserve">Management: revenue year 2</t>
  </si>
  <si>
    <t xml:space="preserve">Management: revenue year 3</t>
  </si>
  <si>
    <t xml:space="preserve">Management: revenue year 4</t>
  </si>
  <si>
    <t xml:space="preserve">Management: revenue year 5</t>
  </si>
  <si>
    <t xml:space="preserve">Management: unlevered FCF year 1</t>
  </si>
  <si>
    <t xml:space="preserve">Management: unlevered FCF year 2</t>
  </si>
  <si>
    <t xml:space="preserve">Management: unlevered FCF year 3</t>
  </si>
  <si>
    <t xml:space="preserve">Management: unlevered FCF year 4</t>
  </si>
  <si>
    <t xml:space="preserve">Management: unlevered FCF year 5</t>
  </si>
  <si>
    <t xml:space="preserve">Lender: revenue year 1</t>
  </si>
  <si>
    <t xml:space="preserve">Lender: revenue year 2</t>
  </si>
  <si>
    <t xml:space="preserve">Lender: revenue year 3</t>
  </si>
  <si>
    <t xml:space="preserve">Lender: revenue year 4</t>
  </si>
  <si>
    <t xml:space="preserve">Lender: revenue year 5</t>
  </si>
  <si>
    <t xml:space="preserve">Lender: unlevered FCF year 1</t>
  </si>
  <si>
    <t xml:space="preserve">Lender: unlevered FCF year 2</t>
  </si>
  <si>
    <t xml:space="preserve">Lender: unlevered FCF year 3</t>
  </si>
  <si>
    <t xml:space="preserve">Lender: unlevered FCF year 4</t>
  </si>
  <si>
    <t xml:space="preserve">Lender: unlevered FCF year 5</t>
  </si>
  <si>
    <t xml:space="preserve">Downside: revenue year 1</t>
  </si>
  <si>
    <t xml:space="preserve">Downside: revenue year 2</t>
  </si>
  <si>
    <t xml:space="preserve">Downside: revenue year 3</t>
  </si>
  <si>
    <t xml:space="preserve">Downside: revenue year 4</t>
  </si>
  <si>
    <t xml:space="preserve">Downside: revenue year 5</t>
  </si>
  <si>
    <t xml:space="preserve">Downside: unlevered FCF year 1</t>
  </si>
  <si>
    <t xml:space="preserve">Downside: unlevered FCF year 2</t>
  </si>
  <si>
    <t xml:space="preserve">Downside: unlevered FCF year 3</t>
  </si>
  <si>
    <t xml:space="preserve">Downside: unlevered FCF year 4</t>
  </si>
  <si>
    <t xml:space="preserve">Downside: unlevered FCF year 5</t>
  </si>
  <si>
    <t xml:space="preserve">DCF</t>
  </si>
  <si>
    <t xml:space="preserve">Management: DCF EV</t>
  </si>
  <si>
    <t xml:space="preserve">Management: terminal value share</t>
  </si>
  <si>
    <t xml:space="preserve">Management: implied exit multiple</t>
  </si>
  <si>
    <t xml:space="preserve">Multiples</t>
  </si>
  <si>
    <t xml:space="preserve">Management: 7.0x year-1 EBITDA</t>
  </si>
  <si>
    <t xml:space="preserve">Management: 6.0x</t>
  </si>
  <si>
    <t xml:space="preserve">Management: 8.0x</t>
  </si>
  <si>
    <t xml:space="preserve">Management: average</t>
  </si>
  <si>
    <t xml:space="preserve">Management: value carried</t>
  </si>
  <si>
    <t xml:space="preserve">Lender: DCF EV</t>
  </si>
  <si>
    <t xml:space="preserve">Lender: terminal value share</t>
  </si>
  <si>
    <t xml:space="preserve">Lender: implied exit multiple</t>
  </si>
  <si>
    <t xml:space="preserve">Lender: 7.0x year-1 EBITDA</t>
  </si>
  <si>
    <t xml:space="preserve">Lender: 6.0x</t>
  </si>
  <si>
    <t xml:space="preserve">Lender: 8.0x</t>
  </si>
  <si>
    <t xml:space="preserve">Lender: average</t>
  </si>
  <si>
    <t xml:space="preserve">Lender: value carried</t>
  </si>
  <si>
    <t xml:space="preserve">Downside: DCF EV</t>
  </si>
  <si>
    <t xml:space="preserve">Downside: terminal value share</t>
  </si>
  <si>
    <t xml:space="preserve">Downside: implied exit multiple</t>
  </si>
  <si>
    <t xml:space="preserve">Downside: 7.0x year-1 EBITDA</t>
  </si>
  <si>
    <t xml:space="preserve">Downside: 6.0x</t>
  </si>
  <si>
    <t xml:space="preserve">Downside: 8.0x</t>
  </si>
  <si>
    <t xml:space="preserve">Downside: average</t>
  </si>
  <si>
    <t xml:space="preserve">Downside: value carried</t>
  </si>
  <si>
    <t xml:space="preserve">Spread management - downside</t>
  </si>
  <si>
    <t xml:space="preserve">Sensitivity WACC 10%, g 1%</t>
  </si>
  <si>
    <t xml:space="preserve">Sensitivity WACC 10%, g 2%</t>
  </si>
  <si>
    <t xml:space="preserve">Sensitivity WACC 10%, g 3%</t>
  </si>
  <si>
    <t xml:space="preserve">Sensitivity WACC 11%, g 1%</t>
  </si>
  <si>
    <t xml:space="preserve">Sensitivity WACC 11%, g 2%</t>
  </si>
  <si>
    <t xml:space="preserve">Sensitivity WACC 11%, g 3%</t>
  </si>
  <si>
    <t xml:space="preserve">Sensitivity WACC 12%, g 1%</t>
  </si>
  <si>
    <t xml:space="preserve">Sensitivity WACC 12%, g 2%</t>
  </si>
  <si>
    <t xml:space="preserve">Sensitivity WACC 12%, g 3%</t>
  </si>
  <si>
    <t xml:space="preserve">Waterfall</t>
  </si>
  <si>
    <t xml:space="preserve">Filing week</t>
  </si>
  <si>
    <t xml:space="preserve">DIP interest over 12 weeks</t>
  </si>
  <si>
    <t xml:space="preserve">Unpaid professional fees</t>
  </si>
  <si>
    <t xml:space="preserve">Holdback on weekly fees</t>
  </si>
  <si>
    <t xml:space="preserve">Success fees</t>
  </si>
  <si>
    <t xml:space="preserve">Holdback share</t>
  </si>
  <si>
    <t xml:space="preserve">Priority claims</t>
  </si>
  <si>
    <t xml:space="preserve">Senior cash claims</t>
  </si>
  <si>
    <t xml:space="preserve">Cash at emergence</t>
  </si>
  <si>
    <t xml:space="preserve">TLB interest last paid (week)</t>
  </si>
  <si>
    <t xml:space="preserve">First-lien accrued interest</t>
  </si>
  <si>
    <t xml:space="preserve">First-lien claim</t>
  </si>
  <si>
    <t xml:space="preserve">Notes accrued since week 11</t>
  </si>
  <si>
    <t xml:space="preserve">Notes claim</t>
  </si>
  <si>
    <t xml:space="preserve">Trade after critical vendors</t>
  </si>
  <si>
    <t xml:space="preserve">Other general unsecured</t>
  </si>
  <si>
    <t xml:space="preserve">GUC pool</t>
  </si>
  <si>
    <t xml:space="preserve">Unencumbered share</t>
  </si>
  <si>
    <t xml:space="preserve">First lien paid in full above (closed form)</t>
  </si>
  <si>
    <t xml:space="preserve">GUC paid in full above (closed form)</t>
  </si>
  <si>
    <t xml:space="preserve">First lien paid in full above (bisection)</t>
  </si>
  <si>
    <t xml:space="preserve">GUC paid in full above (bisection)</t>
  </si>
  <si>
    <t xml:space="preserve">At the management value, the GUC class is the fulcrum below this unencumbered share</t>
  </si>
  <si>
    <t xml:space="preserve">Closed form for that share applies</t>
  </si>
  <si>
    <t xml:space="preserve">At the management value and that share: first lien %</t>
  </si>
  <si>
    <t xml:space="preserve">EV 700: distributable</t>
  </si>
  <si>
    <t xml:space="preserve">EV 700: first lien</t>
  </si>
  <si>
    <t xml:space="preserve">EV 700: first lien %</t>
  </si>
  <si>
    <t xml:space="preserve">EV 700: from collateral</t>
  </si>
  <si>
    <t xml:space="preserve">EV 700: share of unencumbered</t>
  </si>
  <si>
    <t xml:space="preserve">EV 700: deficiency</t>
  </si>
  <si>
    <t xml:space="preserve">EV 700: GUC</t>
  </si>
  <si>
    <t xml:space="preserve">EV 700: GUC %</t>
  </si>
  <si>
    <t xml:space="preserve">EV 700: notes</t>
  </si>
  <si>
    <t xml:space="preserve">EV 700: equity</t>
  </si>
  <si>
    <t xml:space="preserve">EV 800: distributable</t>
  </si>
  <si>
    <t xml:space="preserve">EV 800: first lien</t>
  </si>
  <si>
    <t xml:space="preserve">EV 800: first lien %</t>
  </si>
  <si>
    <t xml:space="preserve">EV 800: from collateral</t>
  </si>
  <si>
    <t xml:space="preserve">EV 800: share of unencumbered</t>
  </si>
  <si>
    <t xml:space="preserve">EV 800: deficiency</t>
  </si>
  <si>
    <t xml:space="preserve">EV 800: GUC</t>
  </si>
  <si>
    <t xml:space="preserve">EV 800: GUC %</t>
  </si>
  <si>
    <t xml:space="preserve">EV 800: notes</t>
  </si>
  <si>
    <t xml:space="preserve">EV 800: equity</t>
  </si>
  <si>
    <t xml:space="preserve">EV 900: distributable</t>
  </si>
  <si>
    <t xml:space="preserve">EV 900: first lien</t>
  </si>
  <si>
    <t xml:space="preserve">EV 900: first lien %</t>
  </si>
  <si>
    <t xml:space="preserve">EV 900: from collateral</t>
  </si>
  <si>
    <t xml:space="preserve">EV 900: share of unencumbered</t>
  </si>
  <si>
    <t xml:space="preserve">EV 900: deficiency</t>
  </si>
  <si>
    <t xml:space="preserve">EV 900: GUC</t>
  </si>
  <si>
    <t xml:space="preserve">EV 900: GUC %</t>
  </si>
  <si>
    <t xml:space="preserve">EV 900: notes</t>
  </si>
  <si>
    <t xml:space="preserve">EV 900: equity</t>
  </si>
  <si>
    <t xml:space="preserve">EV 1,000: distributable</t>
  </si>
  <si>
    <t xml:space="preserve">EV 1,000: first lien</t>
  </si>
  <si>
    <t xml:space="preserve">EV 1,000: first lien %</t>
  </si>
  <si>
    <t xml:space="preserve">EV 1,000: from collateral</t>
  </si>
  <si>
    <t xml:space="preserve">EV 1,000: share of unencumbered</t>
  </si>
  <si>
    <t xml:space="preserve">EV 1,000: deficiency</t>
  </si>
  <si>
    <t xml:space="preserve">EV 1,000: GUC</t>
  </si>
  <si>
    <t xml:space="preserve">EV 1,000: GUC %</t>
  </si>
  <si>
    <t xml:space="preserve">EV 1,000: notes</t>
  </si>
  <si>
    <t xml:space="preserve">EV 1,000: equity</t>
  </si>
  <si>
    <t xml:space="preserve">EV 1,100: distributable</t>
  </si>
  <si>
    <t xml:space="preserve">EV 1,100: first lien</t>
  </si>
  <si>
    <t xml:space="preserve">EV 1,100: first lien %</t>
  </si>
  <si>
    <t xml:space="preserve">EV 1,100: from collateral</t>
  </si>
  <si>
    <t xml:space="preserve">EV 1,100: share of unencumbered</t>
  </si>
  <si>
    <t xml:space="preserve">EV 1,100: deficiency</t>
  </si>
  <si>
    <t xml:space="preserve">EV 1,100: GUC</t>
  </si>
  <si>
    <t xml:space="preserve">EV 1,100: GUC %</t>
  </si>
  <si>
    <t xml:space="preserve">EV 1,100: notes</t>
  </si>
  <si>
    <t xml:space="preserve">EV 1,100: equity</t>
  </si>
  <si>
    <t xml:space="preserve">EV 1,200: distributable</t>
  </si>
  <si>
    <t xml:space="preserve">EV 1,200: first lien</t>
  </si>
  <si>
    <t xml:space="preserve">EV 1,200: first lien %</t>
  </si>
  <si>
    <t xml:space="preserve">EV 1,200: from collateral</t>
  </si>
  <si>
    <t xml:space="preserve">EV 1,200: share of unencumbered</t>
  </si>
  <si>
    <t xml:space="preserve">EV 1,200: deficiency</t>
  </si>
  <si>
    <t xml:space="preserve">EV 1,200: GUC</t>
  </si>
  <si>
    <t xml:space="preserve">EV 1,200: GUC %</t>
  </si>
  <si>
    <t xml:space="preserve">EV 1,200: notes</t>
  </si>
  <si>
    <t xml:space="preserve">EV 1,200: equity</t>
  </si>
  <si>
    <t xml:space="preserve">EV 1,300: distributable</t>
  </si>
  <si>
    <t xml:space="preserve">EV 1,300: first lien</t>
  </si>
  <si>
    <t xml:space="preserve">EV 1,300: first lien %</t>
  </si>
  <si>
    <t xml:space="preserve">EV 1,300: from collateral</t>
  </si>
  <si>
    <t xml:space="preserve">EV 1,300: share of unencumbered</t>
  </si>
  <si>
    <t xml:space="preserve">EV 1,300: deficiency</t>
  </si>
  <si>
    <t xml:space="preserve">EV 1,300: GUC</t>
  </si>
  <si>
    <t xml:space="preserve">EV 1,300: GUC %</t>
  </si>
  <si>
    <t xml:space="preserve">EV 1,300: notes</t>
  </si>
  <si>
    <t xml:space="preserve">EV 1,300: equity</t>
  </si>
  <si>
    <t xml:space="preserve">EV 975 (plan): distributable</t>
  </si>
  <si>
    <t xml:space="preserve">EV 975 (plan): first lien</t>
  </si>
  <si>
    <t xml:space="preserve">EV 975 (plan): first lien %</t>
  </si>
  <si>
    <t xml:space="preserve">EV 975 (plan): from collateral</t>
  </si>
  <si>
    <t xml:space="preserve">EV 975 (plan): share of unencumbered</t>
  </si>
  <si>
    <t xml:space="preserve">EV 975 (plan): deficiency</t>
  </si>
  <si>
    <t xml:space="preserve">EV 975 (plan): GUC</t>
  </si>
  <si>
    <t xml:space="preserve">EV 975 (plan): GUC %</t>
  </si>
  <si>
    <t xml:space="preserve">EV 975 (plan): notes</t>
  </si>
  <si>
    <t xml:space="preserve">EV 975 (plan): equity</t>
  </si>
  <si>
    <t xml:space="preserve">EV 1,170 (management): distributable</t>
  </si>
  <si>
    <t xml:space="preserve">EV 1,170 (management): first lien</t>
  </si>
  <si>
    <t xml:space="preserve">EV 1,170 (management): first lien %</t>
  </si>
  <si>
    <t xml:space="preserve">EV 1,170 (management): from collateral</t>
  </si>
  <si>
    <t xml:space="preserve">EV 1,170 (management): share of unencumbered</t>
  </si>
  <si>
    <t xml:space="preserve">EV 1,170 (management): deficiency</t>
  </si>
  <si>
    <t xml:space="preserve">EV 1,170 (management): GUC</t>
  </si>
  <si>
    <t xml:space="preserve">EV 1,170 (management): GUC %</t>
  </si>
  <si>
    <t xml:space="preserve">EV 1,170 (management): notes</t>
  </si>
  <si>
    <t xml:space="preserve">EV 1,170 (management): equity</t>
  </si>
  <si>
    <t xml:space="preserve">EV 815 (downside): distributable</t>
  </si>
  <si>
    <t xml:space="preserve">EV 815 (downside): first lien</t>
  </si>
  <si>
    <t xml:space="preserve">EV 815 (downside): first lien %</t>
  </si>
  <si>
    <t xml:space="preserve">EV 815 (downside): from collateral</t>
  </si>
  <si>
    <t xml:space="preserve">EV 815 (downside): share of unencumbered</t>
  </si>
  <si>
    <t xml:space="preserve">EV 815 (downside): deficiency</t>
  </si>
  <si>
    <t xml:space="preserve">EV 815 (downside): GUC</t>
  </si>
  <si>
    <t xml:space="preserve">EV 815 (downside): GUC %</t>
  </si>
  <si>
    <t xml:space="preserve">EV 815 (downside): notes</t>
  </si>
  <si>
    <t xml:space="preserve">EV 815 (downside): equity</t>
  </si>
  <si>
    <t xml:space="preserve">Unencumbered 0%: GUC %</t>
  </si>
  <si>
    <t xml:space="preserve">Unencumbered 0%: first lien %</t>
  </si>
  <si>
    <t xml:space="preserve">Unencumbered 4%: GUC %</t>
  </si>
  <si>
    <t xml:space="preserve">Unencumbered 4%: first lien %</t>
  </si>
  <si>
    <t xml:space="preserve">Unencumbered 8%: GUC %</t>
  </si>
  <si>
    <t xml:space="preserve">Unencumbered 8%: first lien %</t>
  </si>
  <si>
    <t xml:space="preserve">Unencumbered 12%: GUC %</t>
  </si>
  <si>
    <t xml:space="preserve">Unencumbered 12%: first lien %</t>
  </si>
  <si>
    <t xml:space="preserve">Unencumbered 16%: GUC %</t>
  </si>
  <si>
    <t xml:space="preserve">Unencumbered 16%: first lien %</t>
  </si>
  <si>
    <t xml:space="preserve">Liquidation</t>
  </si>
  <si>
    <t xml:space="preserve">Cash</t>
  </si>
  <si>
    <t xml:space="preserve">Gross</t>
  </si>
  <si>
    <t xml:space="preserve">Wind-down</t>
  </si>
  <si>
    <t xml:space="preserve">Net</t>
  </si>
  <si>
    <t xml:space="preserve">First lien %</t>
  </si>
  <si>
    <t xml:space="preserve">GUC %</t>
  </si>
  <si>
    <t xml:space="preserve">Going concern above liquidation</t>
  </si>
  <si>
    <t xml:space="preserve">Cash at filing</t>
  </si>
  <si>
    <t xml:space="preserve">Professional fees a week</t>
  </si>
  <si>
    <t xml:space="preserve">Fees paid weekly over 13 weeks (80%)</t>
  </si>
  <si>
    <t xml:space="preserve">Payment in advance</t>
  </si>
  <si>
    <t xml:space="preserve">Operating cash flow over 13 weeks</t>
  </si>
  <si>
    <t xml:space="preserve">Trough without DIP</t>
  </si>
  <si>
    <t xml:space="preserve">DIP need</t>
  </si>
  <si>
    <t xml:space="preserve">DIP facility</t>
  </si>
  <si>
    <t xml:space="preserve">DIP rate</t>
  </si>
  <si>
    <t xml:space="preserve">Court_Cost</t>
  </si>
  <si>
    <t xml:space="preserve">Uncontested: weeks</t>
  </si>
  <si>
    <t xml:space="preserve">Uncontested: professional fees</t>
  </si>
  <si>
    <t xml:space="preserve">Uncontested: DIP sized for the case</t>
  </si>
  <si>
    <t xml:space="preserve">Uncontested: DIP fee</t>
  </si>
  <si>
    <t xml:space="preserve">Uncontested: DIP interest</t>
  </si>
  <si>
    <t xml:space="preserve">Uncontested: lost revenue</t>
  </si>
  <si>
    <t xml:space="preserve">Uncontested: EBITDA lost</t>
  </si>
  <si>
    <t xml:space="preserve">Uncontested: value lost</t>
  </si>
  <si>
    <t xml:space="preserve">Uncontested: total</t>
  </si>
  <si>
    <t xml:space="preserve">Brantwell: weeks</t>
  </si>
  <si>
    <t xml:space="preserve">Brantwell: professional fees</t>
  </si>
  <si>
    <t xml:space="preserve">Brantwell: DIP sized for the case</t>
  </si>
  <si>
    <t xml:space="preserve">Brantwell: DIP fee</t>
  </si>
  <si>
    <t xml:space="preserve">Brantwell: DIP interest</t>
  </si>
  <si>
    <t xml:space="preserve">Brantwell: lost revenue</t>
  </si>
  <si>
    <t xml:space="preserve">Brantwell: EBITDA lost</t>
  </si>
  <si>
    <t xml:space="preserve">Brantwell: value lost</t>
  </si>
  <si>
    <t xml:space="preserve">Brantwell: total</t>
  </si>
  <si>
    <t xml:space="preserve">Free fall: weeks</t>
  </si>
  <si>
    <t xml:space="preserve">Free fall: professional fees</t>
  </si>
  <si>
    <t xml:space="preserve">Free fall: DIP sized for the case</t>
  </si>
  <si>
    <t xml:space="preserve">Free fall: DIP fee</t>
  </si>
  <si>
    <t xml:space="preserve">Free fall: DIP interest</t>
  </si>
  <si>
    <t xml:space="preserve">Free fall: lost revenue</t>
  </si>
  <si>
    <t xml:space="preserve">Free fall: EBITDA lost</t>
  </si>
  <si>
    <t xml:space="preserve">Free fall: value lost</t>
  </si>
  <si>
    <t xml:space="preserve">Free fall: total</t>
  </si>
  <si>
    <t xml:space="preserve">Difference, % of first-lien claim</t>
  </si>
  <si>
    <t xml:space="preserve">Extra professional fees</t>
  </si>
  <si>
    <t xml:space="preserve">Fees share</t>
  </si>
  <si>
    <t xml:space="preserve">Value lost with customers</t>
  </si>
  <si>
    <t xml:space="preserve">Value share</t>
  </si>
  <si>
    <t xml:space="preserve">Extra DIP cost</t>
  </si>
  <si>
    <t xml:space="preserve">The contest (12 weeks against 7)</t>
  </si>
  <si>
    <t xml:space="preserve">Cash above the minimum as a source</t>
  </si>
  <si>
    <t xml:space="preserve">Exit RCF commitments</t>
  </si>
  <si>
    <t xml:space="preserve">Drawing on the exit RCF (balancing draw)</t>
  </si>
  <si>
    <t xml:space="preserve">Uses</t>
  </si>
  <si>
    <t xml:space="preserve">Sources</t>
  </si>
  <si>
    <t xml:space="preserve">DIP interest (uses)</t>
  </si>
  <si>
    <t xml:space="preserve">Unpaid fees (uses)</t>
  </si>
  <si>
    <t xml:space="preserve">Take-back</t>
  </si>
  <si>
    <t xml:space="preserve">Year-1 lender EBITDA</t>
  </si>
  <si>
    <t xml:space="preserve">Equity after rights offering</t>
  </si>
  <si>
    <t xml:space="preserve">Equity distributed</t>
  </si>
  <si>
    <t xml:space="preserve">First lien equity</t>
  </si>
  <si>
    <t xml:space="preserve">First lien share</t>
  </si>
  <si>
    <t xml:space="preserve">GUC equity</t>
  </si>
  <si>
    <t xml:space="preserve">GUC share</t>
  </si>
  <si>
    <t xml:space="preserve">Creditor units</t>
  </si>
  <si>
    <t xml:space="preserve">Rights offering units</t>
  </si>
  <si>
    <t xml:space="preserve">Backstop units</t>
  </si>
  <si>
    <t xml:space="preserve">MIP units</t>
  </si>
  <si>
    <t xml:space="preserve">Creditors FD %</t>
  </si>
  <si>
    <t xml:space="preserve">First lien FD %</t>
  </si>
  <si>
    <t xml:space="preserve">GUC FD %</t>
  </si>
  <si>
    <t xml:space="preserve">Rights offering FD %</t>
  </si>
  <si>
    <t xml:space="preserve">Backstop FD %</t>
  </si>
  <si>
    <t xml:space="preserve">MIP FD %</t>
  </si>
  <si>
    <t xml:space="preserve">Rights offering value received</t>
  </si>
  <si>
    <t xml:space="preserve">Rights offering gain</t>
  </si>
  <si>
    <t xml:space="preserve">Backstop value</t>
  </si>
  <si>
    <t xml:space="preserve">First lien equity at plan, FD</t>
  </si>
  <si>
    <t xml:space="preserve">First lien recovery %</t>
  </si>
  <si>
    <t xml:space="preserve">Waterfall first lien %</t>
  </si>
  <si>
    <t xml:space="preserve">GUC recovery %</t>
  </si>
  <si>
    <t xml:space="preserve">Waterfall GUC %</t>
  </si>
  <si>
    <t xml:space="preserve">First lien with rights offering and backstop</t>
  </si>
  <si>
    <t xml:space="preserve">as % of claim</t>
  </si>
  <si>
    <t xml:space="preserve">At 1,170: first lien %</t>
  </si>
  <si>
    <t xml:space="preserve">At 1,170: GUC %</t>
  </si>
  <si>
    <t xml:space="preserve">At 1,170: first lien with rights offering and backstop</t>
  </si>
  <si>
    <t xml:space="preserve">At 815: first lien %</t>
  </si>
  <si>
    <t xml:space="preserve">At 815: GUC %</t>
  </si>
  <si>
    <t xml:space="preserve">Securities alone worth 100% above</t>
  </si>
  <si>
    <t xml:space="preserve">Recovery at that value, % of claim</t>
  </si>
  <si>
    <t xml:space="preserve">With rights-offering gain and backstop, 100% above</t>
  </si>
  <si>
    <t xml:space="preserve">Recovery with RO and backstop at that value, % of claim</t>
  </si>
  <si>
    <t xml:space="preserve">Sponsor new value for 10% at emergence</t>
  </si>
  <si>
    <t xml:space="preserve">Sponsor new value for 10% fully diluted</t>
  </si>
  <si>
    <t xml:space="preserve">Fully diluted stake at that price</t>
  </si>
  <si>
    <t xml:space="preserve">Votes</t>
  </si>
  <si>
    <t xml:space="preserve">Class 3 % by amount</t>
  </si>
  <si>
    <t xml:space="preserve">Class 3 % by number</t>
  </si>
  <si>
    <t xml:space="preserve">Class 3 accepts (1)</t>
  </si>
  <si>
    <t xml:space="preserve">Class 4 % by amount</t>
  </si>
  <si>
    <t xml:space="preserve">Class 4 % by number</t>
  </si>
  <si>
    <t xml:space="preserve">Class 4 accepts (0 = rejects)</t>
  </si>
  <si>
    <t xml:space="preserve">Group claim</t>
  </si>
  <si>
    <t xml:space="preserve">Group share of Class 3</t>
  </si>
  <si>
    <t xml:space="preserve">RCF banks' claim</t>
  </si>
  <si>
    <t xml:space="preserve">Group and banks</t>
  </si>
  <si>
    <t xml:space="preserve">Class 3 holders</t>
  </si>
  <si>
    <t xml:space="preserve">Class 3 yes votes needed by number at full turnout</t>
  </si>
  <si>
    <t xml:space="preserve">Class 3 holders voting</t>
  </si>
  <si>
    <t xml:space="preserve">Class 3 holders accepting</t>
  </si>
  <si>
    <t xml:space="preserve">Best interests: GUC under the plan</t>
  </si>
  <si>
    <t xml:space="preserve">Best interests: GUC in liquidation</t>
  </si>
  <si>
    <t xml:space="preserve">Class 3 passes 75% (1)</t>
  </si>
  <si>
    <t xml:space="preserve">Class 4 passes 75% (0)</t>
  </si>
  <si>
    <t xml:space="preserve">Exit_Capacity</t>
  </si>
  <si>
    <t xml:space="preserve">Exit debt rate</t>
  </si>
  <si>
    <t xml:space="preserve">EBITDA tested</t>
  </si>
  <si>
    <t xml:space="preserve">Leverage capacity</t>
  </si>
  <si>
    <t xml:space="preserve">Fixed-charge capacity</t>
  </si>
  <si>
    <t xml:space="preserve">FCF capacity</t>
  </si>
  <si>
    <t xml:space="preserve">Cash tax</t>
  </si>
  <si>
    <t xml:space="preserve">FCF</t>
  </si>
  <si>
    <t xml:space="preserve">EBITDA fall to zero FCF</t>
  </si>
  <si>
    <t xml:space="preserve">EBITDA at zero FCF</t>
  </si>
  <si>
    <t xml:space="preserve">Tax reaches zero at</t>
  </si>
</sst>
</file>

<file path=xl/styles.xml><?xml version="1.0" encoding="utf-8"?>
<styleSheet xmlns="http://schemas.openxmlformats.org/spreadsheetml/2006/main">
  <numFmts count="26">
    <numFmt numFmtId="164" formatCode="General"/>
    <numFmt numFmtId="165" formatCode="0.00%"/>
    <numFmt numFmtId="166" formatCode="#,##0.0;\-#,##0.0;0.0"/>
    <numFmt numFmtId="167" formatCode="0.000%"/>
    <numFmt numFmtId="168" formatCode="0.0%"/>
    <numFmt numFmtId="169" formatCode="0.00\x"/>
    <numFmt numFmtId="170" formatCode="0"/>
    <numFmt numFmtId="171" formatCode="#,##0.00;\-#,##0.00;0.00"/>
    <numFmt numFmtId="172" formatCode="&quot;Week &quot;0"/>
    <numFmt numFmtId="173" formatCode="0.0\x"/>
    <numFmt numFmtId="174" formatCode="&quot;Year &quot;0"/>
    <numFmt numFmtId="175" formatCode="0.0"/>
    <numFmt numFmtId="176" formatCode="0.0000"/>
    <numFmt numFmtId="177" formatCode="#,##0.000;\-#,##0.000;0.000"/>
    <numFmt numFmtId="178" formatCode="#,##0.0000;\-#,##0.0000;0.0000"/>
    <numFmt numFmtId="179" formatCode="0.0000%"/>
    <numFmt numFmtId="180" formatCode="#,##0.00;\-#,##0.00;\–"/>
    <numFmt numFmtId="181" formatCode="0%"/>
    <numFmt numFmtId="182" formatCode="#,##0.0"/>
    <numFmt numFmtId="183" formatCode="#,##0.000"/>
    <numFmt numFmtId="184" formatCode="0.000000"/>
    <numFmt numFmtId="185" formatCode="#,##0"/>
    <numFmt numFmtId="186" formatCode="#,##0.00"/>
    <numFmt numFmtId="187" formatCode="#,##0.00000"/>
    <numFmt numFmtId="188" formatCode="#,##0.0000"/>
    <numFmt numFmtId="189" formatCode="#,##0.000000"/>
  </numFmts>
  <fonts count="9">
    <font>
      <sz val="11"/>
      <color theme="1"/>
      <name val="Calibri"/>
      <family val="2"/>
      <charset val="1"/>
    </font>
    <font>
      <sz val="10"/>
      <name val="Arial"/>
      <family val="0"/>
    </font>
    <font>
      <sz val="10"/>
      <name val="Arial"/>
      <family val="0"/>
    </font>
    <font>
      <sz val="10"/>
      <name val="Arial"/>
      <family val="0"/>
    </font>
    <font>
      <b val="true"/>
      <sz val="12"/>
      <color rgb="FF000000"/>
      <name val="Calibri"/>
      <family val="0"/>
      <charset val="1"/>
    </font>
    <font>
      <b val="true"/>
      <sz val="10"/>
      <color rgb="FF000000"/>
      <name val="Calibri"/>
      <family val="0"/>
      <charset val="1"/>
    </font>
    <font>
      <sz val="10"/>
      <color rgb="FF000000"/>
      <name val="Calibri"/>
      <family val="0"/>
      <charset val="1"/>
    </font>
    <font>
      <sz val="10"/>
      <color rgb="FF404040"/>
      <name val="Calibri"/>
      <family val="0"/>
      <charset val="1"/>
    </font>
    <font>
      <sz val="10"/>
      <color rgb="FF0000FF"/>
      <name val="Calibri"/>
      <family val="0"/>
      <charset val="1"/>
    </font>
  </fonts>
  <fills count="3">
    <fill>
      <patternFill patternType="none"/>
    </fill>
    <fill>
      <patternFill patternType="gray125"/>
    </fill>
    <fill>
      <patternFill patternType="solid">
        <fgColor rgb="FFDDE4EE"/>
        <bgColor rgb="FFCCFFFF"/>
      </patternFill>
    </fill>
  </fills>
  <borders count="3">
    <border diagonalUp="false" diagonalDown="false">
      <left/>
      <right/>
      <top/>
      <bottom/>
      <diagonal/>
    </border>
    <border diagonalUp="false" diagonalDown="false">
      <left/>
      <right/>
      <top/>
      <bottom style="thin">
        <color rgb="FF7F7F7F"/>
      </bottom>
      <diagonal/>
    </border>
    <border diagonalUp="false" diagonalDown="false">
      <left/>
      <right/>
      <top style="thin">
        <color rgb="FF7F7F7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5" fillId="2" borderId="1" xfId="0" applyFont="true" applyBorder="true" applyAlignment="true" applyProtection="false">
      <alignment horizontal="left" vertical="bottom" textRotation="0" wrapText="false" indent="0" shrinkToFit="false"/>
      <protection locked="true" hidden="false"/>
    </xf>
    <xf numFmtId="164" fontId="5" fillId="2" borderId="1" xfId="0" applyFont="true" applyBorder="true" applyAlignment="true" applyProtection="false">
      <alignment horizontal="right" vertical="bottom" textRotation="0" wrapText="false" indent="0" shrinkToFit="false"/>
      <protection locked="true" hidden="false"/>
    </xf>
    <xf numFmtId="164" fontId="5" fillId="2" borderId="1" xfId="0" applyFont="true" applyBorder="true" applyAlignment="true" applyProtection="false">
      <alignment horizontal="left" vertical="bottom"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false" applyProtection="false">
      <alignment horizontal="general" vertical="bottom" textRotation="0" wrapText="false" indent="0" shrinkToFit="false"/>
      <protection locked="true" hidden="false"/>
    </xf>
    <xf numFmtId="172" fontId="5" fillId="2" borderId="1" xfId="0" applyFont="true" applyBorder="true" applyAlignment="true" applyProtection="false">
      <alignment horizontal="right" vertical="bottom" textRotation="0" wrapText="false" indent="0" shrinkToFit="false"/>
      <protection locked="true" hidden="false"/>
    </xf>
    <xf numFmtId="173" fontId="8" fillId="0" borderId="0" xfId="0" applyFont="true" applyBorder="false" applyAlignment="false" applyProtection="false">
      <alignment horizontal="general" vertical="bottom" textRotation="0" wrapText="false" indent="0" shrinkToFit="false"/>
      <protection locked="true" hidden="false"/>
    </xf>
    <xf numFmtId="174" fontId="5" fillId="2" borderId="1" xfId="0" applyFont="true" applyBorder="true" applyAlignment="true" applyProtection="false">
      <alignment horizontal="right"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4" fontId="5" fillId="0" borderId="2" xfId="0" applyFont="true" applyBorder="true" applyAlignment="false" applyProtection="false">
      <alignment horizontal="general" vertical="bottom" textRotation="0" wrapText="false" indent="0" shrinkToFit="false"/>
      <protection locked="true" hidden="false"/>
    </xf>
    <xf numFmtId="166" fontId="5" fillId="0" borderId="2"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5" fontId="6" fillId="0" borderId="0" xfId="0" applyFont="true" applyBorder="false" applyAlignment="false" applyProtection="false">
      <alignment horizontal="general" vertical="bottom" textRotation="0" wrapText="false" indent="0" shrinkToFit="false"/>
      <protection locked="true" hidden="false"/>
    </xf>
    <xf numFmtId="176" fontId="6" fillId="0"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true" applyProtection="false">
      <alignment horizontal="left" vertical="bottom" textRotation="0" wrapText="false" indent="0" shrinkToFit="false"/>
      <protection locked="true" hidden="false"/>
    </xf>
    <xf numFmtId="164" fontId="7" fillId="0" borderId="2" xfId="0" applyFont="true" applyBorder="true" applyAlignment="true" applyProtection="false">
      <alignment horizontal="general" vertical="bottom" textRotation="0" wrapText="false" indent="1" shrinkToFit="false"/>
      <protection locked="true" hidden="false"/>
    </xf>
    <xf numFmtId="177" fontId="6" fillId="0" borderId="0" xfId="0" applyFont="true" applyBorder="false" applyAlignment="false" applyProtection="false">
      <alignment horizontal="general" vertical="bottom" textRotation="0" wrapText="false" indent="0" shrinkToFit="false"/>
      <protection locked="true" hidden="false"/>
    </xf>
    <xf numFmtId="177" fontId="6" fillId="0" borderId="2" xfId="0" applyFont="true" applyBorder="true" applyAlignment="false" applyProtection="false">
      <alignment horizontal="general" vertical="bottom" textRotation="0" wrapText="false" indent="0" shrinkToFit="false"/>
      <protection locked="true" hidden="false"/>
    </xf>
    <xf numFmtId="166" fontId="6" fillId="0" borderId="2" xfId="0" applyFont="true" applyBorder="true" applyAlignment="false" applyProtection="false">
      <alignment horizontal="general" vertical="bottom" textRotation="0" wrapText="false" indent="0" shrinkToFit="false"/>
      <protection locked="true" hidden="false"/>
    </xf>
    <xf numFmtId="177" fontId="5" fillId="0" borderId="2" xfId="0" applyFont="true" applyBorder="tru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71"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xf numFmtId="178" fontId="6"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left" vertical="bottom" textRotation="0" wrapText="true" indent="0" shrinkToFit="false"/>
      <protection locked="true" hidden="false"/>
    </xf>
    <xf numFmtId="164" fontId="5" fillId="2" borderId="1" xfId="0" applyFont="true" applyBorder="true" applyAlignment="true" applyProtection="false">
      <alignment horizontal="right" vertical="bottom" textRotation="0" wrapText="true" indent="0" shrinkToFit="false"/>
      <protection locked="true" hidden="false"/>
    </xf>
    <xf numFmtId="170" fontId="6" fillId="0" borderId="0" xfId="0" applyFont="true" applyBorder="false" applyAlignment="true" applyProtection="false">
      <alignment horizontal="left" vertical="bottom" textRotation="0" wrapText="false" indent="0" shrinkToFit="false"/>
      <protection locked="true" hidden="false"/>
    </xf>
    <xf numFmtId="179" fontId="6" fillId="0" borderId="0" xfId="0" applyFont="true" applyBorder="false" applyAlignment="false" applyProtection="false">
      <alignment horizontal="general" vertical="bottom" textRotation="0" wrapText="false" indent="0" shrinkToFit="false"/>
      <protection locked="true" hidden="false"/>
    </xf>
    <xf numFmtId="178" fontId="5" fillId="0" borderId="2" xfId="0" applyFont="true" applyBorder="true" applyAlignment="false" applyProtection="false">
      <alignment horizontal="general" vertical="bottom" textRotation="0" wrapText="false" indent="0" shrinkToFit="false"/>
      <protection locked="true" hidden="false"/>
    </xf>
    <xf numFmtId="180" fontId="6" fillId="0" borderId="0" xfId="0" applyFont="true" applyBorder="false" applyAlignment="false" applyProtection="false">
      <alignment horizontal="general" vertical="bottom" textRotation="0" wrapText="false" indent="0" shrinkToFit="false"/>
      <protection locked="true" hidden="false"/>
    </xf>
    <xf numFmtId="180" fontId="5" fillId="0" borderId="0" xfId="0" applyFont="true" applyBorder="false" applyAlignment="false" applyProtection="false">
      <alignment horizontal="general" vertical="bottom" textRotation="0" wrapText="false" indent="0" shrinkToFit="false"/>
      <protection locked="true" hidden="false"/>
    </xf>
    <xf numFmtId="180" fontId="5" fillId="0" borderId="2" xfId="0" applyFont="true" applyBorder="true" applyAlignment="false" applyProtection="false">
      <alignment horizontal="general" vertical="bottom" textRotation="0" wrapText="false" indent="0" shrinkToFit="false"/>
      <protection locked="true" hidden="false"/>
    </xf>
    <xf numFmtId="181" fontId="6"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1" fontId="6" fillId="0" borderId="2" xfId="0" applyFont="true" applyBorder="true" applyAlignment="false" applyProtection="false">
      <alignment horizontal="general" vertical="bottom" textRotation="0" wrapText="false" indent="0" shrinkToFit="false"/>
      <protection locked="true" hidden="false"/>
    </xf>
    <xf numFmtId="171" fontId="5" fillId="0" borderId="2" xfId="0" applyFont="true" applyBorder="true" applyAlignment="false" applyProtection="false">
      <alignment horizontal="general" vertical="bottom" textRotation="0" wrapText="false" indent="0" shrinkToFit="false"/>
      <protection locked="true" hidden="false"/>
    </xf>
    <xf numFmtId="178" fontId="5" fillId="0" borderId="0" xfId="0" applyFont="true" applyBorder="false" applyAlignment="false" applyProtection="false">
      <alignment horizontal="general" vertical="bottom" textRotation="0" wrapText="false" indent="0" shrinkToFit="false"/>
      <protection locked="true" hidden="false"/>
    </xf>
    <xf numFmtId="170" fontId="5" fillId="0" borderId="0" xfId="0" applyFont="true" applyBorder="false" applyAlignment="false" applyProtection="false">
      <alignment horizontal="general" vertical="bottom" textRotation="0" wrapText="false" indent="0" shrinkToFit="false"/>
      <protection locked="true" hidden="false"/>
    </xf>
    <xf numFmtId="182" fontId="8" fillId="0" borderId="0" xfId="0" applyFont="true" applyBorder="false" applyAlignment="false" applyProtection="false">
      <alignment horizontal="general" vertical="bottom" textRotation="0" wrapText="false" indent="0" shrinkToFit="false"/>
      <protection locked="true" hidden="false"/>
    </xf>
    <xf numFmtId="183" fontId="6" fillId="0" borderId="0" xfId="0" applyFont="true" applyBorder="false" applyAlignment="false" applyProtection="false">
      <alignment horizontal="general" vertical="bottom" textRotation="0" wrapText="false" indent="0" shrinkToFit="false"/>
      <protection locked="true" hidden="false"/>
    </xf>
    <xf numFmtId="184" fontId="6" fillId="0" borderId="0" xfId="0" applyFont="true" applyBorder="false" applyAlignment="false" applyProtection="false">
      <alignment horizontal="general" vertical="bottom" textRotation="0" wrapText="false" indent="0" shrinkToFit="false"/>
      <protection locked="true" hidden="false"/>
    </xf>
    <xf numFmtId="184" fontId="8"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85" fontId="8" fillId="0" borderId="0" xfId="0" applyFont="true" applyBorder="false" applyAlignment="false" applyProtection="false">
      <alignment horizontal="general" vertical="bottom" textRotation="0" wrapText="false" indent="0" shrinkToFit="false"/>
      <protection locked="true" hidden="false"/>
    </xf>
    <xf numFmtId="186" fontId="6" fillId="0" borderId="0" xfId="0" applyFont="true" applyBorder="false" applyAlignment="false" applyProtection="false">
      <alignment horizontal="general" vertical="bottom" textRotation="0" wrapText="false" indent="0" shrinkToFit="false"/>
      <protection locked="true" hidden="false"/>
    </xf>
    <xf numFmtId="183" fontId="8" fillId="0" borderId="0" xfId="0" applyFont="true" applyBorder="false" applyAlignment="false" applyProtection="false">
      <alignment horizontal="general" vertical="bottom" textRotation="0" wrapText="false" indent="0" shrinkToFit="false"/>
      <protection locked="true" hidden="false"/>
    </xf>
    <xf numFmtId="187" fontId="6" fillId="0" borderId="0" xfId="0" applyFont="true" applyBorder="false" applyAlignment="false" applyProtection="false">
      <alignment horizontal="general" vertical="bottom" textRotation="0" wrapText="false" indent="0" shrinkToFit="false"/>
      <protection locked="true" hidden="false"/>
    </xf>
    <xf numFmtId="181" fontId="8" fillId="0" borderId="0" xfId="0" applyFont="true" applyBorder="false" applyAlignment="false" applyProtection="false">
      <alignment horizontal="general" vertical="bottom" textRotation="0" wrapText="false" indent="0" shrinkToFit="false"/>
      <protection locked="true" hidden="false"/>
    </xf>
    <xf numFmtId="186" fontId="8" fillId="0" borderId="0" xfId="0" applyFont="true" applyBorder="false" applyAlignment="false" applyProtection="false">
      <alignment horizontal="general" vertical="bottom" textRotation="0" wrapText="false" indent="0" shrinkToFit="false"/>
      <protection locked="true" hidden="false"/>
    </xf>
    <xf numFmtId="188" fontId="6" fillId="0" borderId="0" xfId="0" applyFont="true" applyBorder="false" applyAlignment="false" applyProtection="false">
      <alignment horizontal="general" vertical="bottom" textRotation="0" wrapText="false" indent="0" shrinkToFit="false"/>
      <protection locked="true" hidden="false"/>
    </xf>
    <xf numFmtId="188" fontId="8" fillId="0" borderId="0" xfId="0" applyFont="true" applyBorder="false" applyAlignment="false" applyProtection="false">
      <alignment horizontal="general" vertical="bottom" textRotation="0" wrapText="false" indent="0" shrinkToFit="false"/>
      <protection locked="true" hidden="false"/>
    </xf>
    <xf numFmtId="189"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sz val="1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DDE4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120"/>
    <col collapsed="false" customWidth="true" hidden="false" outlineLevel="0" max="39" min="3" style="0" width="11"/>
  </cols>
  <sheetData>
    <row r="1" customFormat="false" ht="6" hidden="false" customHeight="true" outlineLevel="0" collapsed="false"/>
    <row r="2" customFormat="false" ht="15" hidden="false" customHeight="false" outlineLevel="0" collapsed="false">
      <c r="B2" s="1" t="s">
        <v>0</v>
      </c>
    </row>
    <row r="4" customFormat="false" ht="15" hidden="false" customHeight="false" outlineLevel="0" collapsed="false">
      <c r="B4" s="2" t="s">
        <v>1</v>
      </c>
    </row>
    <row r="5" customFormat="false" ht="54" hidden="false" customHeight="true" outlineLevel="0" collapsed="false">
      <c r="B5" s="3" t="s">
        <v>2</v>
      </c>
    </row>
    <row r="7" customFormat="false" ht="15" hidden="false" customHeight="false" outlineLevel="0" collapsed="false">
      <c r="B7" s="2" t="s">
        <v>3</v>
      </c>
    </row>
    <row r="8" customFormat="false" ht="54" hidden="false" customHeight="true" outlineLevel="0" collapsed="false">
      <c r="B8" s="3" t="s">
        <v>4</v>
      </c>
    </row>
    <row r="9" customFormat="false" ht="54" hidden="false" customHeight="true" outlineLevel="0" collapsed="false">
      <c r="B9" s="3" t="s">
        <v>5</v>
      </c>
    </row>
    <row r="10" customFormat="false" ht="81" hidden="false" customHeight="true" outlineLevel="0" collapsed="false">
      <c r="B10" s="3" t="s">
        <v>6</v>
      </c>
    </row>
    <row r="11" customFormat="false" ht="27" hidden="false" customHeight="true" outlineLevel="0" collapsed="false">
      <c r="B11" s="3" t="s">
        <v>7</v>
      </c>
    </row>
    <row r="12" customFormat="false" ht="108" hidden="false" customHeight="true" outlineLevel="0" collapsed="false">
      <c r="B12" s="3" t="s">
        <v>8</v>
      </c>
    </row>
    <row r="13" customFormat="false" ht="40.5" hidden="false" customHeight="true" outlineLevel="0" collapsed="false">
      <c r="B13" s="3" t="s">
        <v>9</v>
      </c>
    </row>
    <row r="14" customFormat="false" ht="54" hidden="false" customHeight="true" outlineLevel="0" collapsed="false">
      <c r="B14" s="3" t="s">
        <v>10</v>
      </c>
    </row>
    <row r="15" customFormat="false" ht="67.5" hidden="false" customHeight="true" outlineLevel="0" collapsed="false">
      <c r="B15" s="3" t="s">
        <v>11</v>
      </c>
    </row>
    <row r="16" customFormat="false" ht="94.5" hidden="false" customHeight="true" outlineLevel="0" collapsed="false">
      <c r="B16" s="3" t="s">
        <v>12</v>
      </c>
    </row>
    <row r="18" customFormat="false" ht="15" hidden="false" customHeight="false" outlineLevel="0" collapsed="false">
      <c r="B18" s="2" t="s">
        <v>13</v>
      </c>
    </row>
    <row r="19" customFormat="false" ht="94.5" hidden="false" customHeight="true" outlineLevel="0" collapsed="false">
      <c r="B19" s="3" t="s">
        <v>14</v>
      </c>
    </row>
    <row r="21" customFormat="false" ht="15" hidden="false" customHeight="false" outlineLevel="0" collapsed="false">
      <c r="B21" s="2" t="s">
        <v>15</v>
      </c>
    </row>
    <row r="22" customFormat="false" ht="40.5" hidden="false" customHeight="true" outlineLevel="0" collapsed="false">
      <c r="B22" s="3" t="s">
        <v>16</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Q1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8"/>
    <col collapsed="false" customWidth="true" hidden="false" outlineLevel="0" max="16" min="3" style="0" width="9"/>
    <col collapsed="false" customWidth="true" hidden="false" outlineLevel="0" max="39" min="17" style="0" width="11"/>
  </cols>
  <sheetData>
    <row r="1" customFormat="false" ht="6" hidden="false" customHeight="true" outlineLevel="0" collapsed="false"/>
    <row r="2" customFormat="false" ht="15" hidden="false" customHeight="false" outlineLevel="0" collapsed="false">
      <c r="B2" s="1" t="s">
        <v>17</v>
      </c>
    </row>
    <row r="3" customFormat="false" ht="15" hidden="false" customHeight="false" outlineLevel="0" collapsed="false">
      <c r="B3" s="4" t="s">
        <v>18</v>
      </c>
    </row>
    <row r="5" customFormat="false" ht="15" hidden="false" customHeight="false" outlineLevel="0" collapsed="false">
      <c r="B5" s="2" t="s">
        <v>19</v>
      </c>
    </row>
    <row r="6" customFormat="false" ht="15" hidden="false" customHeight="false" outlineLevel="0" collapsed="false">
      <c r="B6" s="5" t="s">
        <v>20</v>
      </c>
      <c r="C6" s="6" t="s">
        <v>21</v>
      </c>
      <c r="D6" s="7" t="s">
        <v>22</v>
      </c>
      <c r="E6" s="7" t="s">
        <v>23</v>
      </c>
    </row>
    <row r="7" customFormat="false" ht="15" hidden="false" customHeight="false" outlineLevel="0" collapsed="false">
      <c r="B7" s="8" t="s">
        <v>24</v>
      </c>
      <c r="C7" s="9" t="n">
        <v>0.043</v>
      </c>
      <c r="D7" s="4" t="s">
        <v>25</v>
      </c>
      <c r="E7" s="4" t="s">
        <v>26</v>
      </c>
    </row>
    <row r="8" customFormat="false" ht="15" hidden="false" customHeight="false" outlineLevel="0" collapsed="false">
      <c r="B8" s="8" t="s">
        <v>27</v>
      </c>
      <c r="C8" s="10" t="n">
        <v>45</v>
      </c>
      <c r="D8" s="4" t="s">
        <v>28</v>
      </c>
      <c r="E8" s="4"/>
    </row>
    <row r="9" customFormat="false" ht="15" hidden="false" customHeight="false" outlineLevel="0" collapsed="false">
      <c r="B9" s="8" t="s">
        <v>29</v>
      </c>
      <c r="C9" s="10" t="n">
        <v>25</v>
      </c>
      <c r="D9" s="4" t="s">
        <v>28</v>
      </c>
      <c r="E9" s="4" t="s">
        <v>30</v>
      </c>
    </row>
    <row r="10" customFormat="false" ht="15" hidden="false" customHeight="false" outlineLevel="0" collapsed="false">
      <c r="B10" s="8" t="s">
        <v>31</v>
      </c>
      <c r="C10" s="10" t="n">
        <v>132</v>
      </c>
      <c r="D10" s="4" t="s">
        <v>28</v>
      </c>
      <c r="E10" s="4"/>
    </row>
    <row r="11" customFormat="false" ht="15" hidden="false" customHeight="false" outlineLevel="0" collapsed="false">
      <c r="B11" s="8" t="s">
        <v>32</v>
      </c>
      <c r="C11" s="10" t="n">
        <v>150</v>
      </c>
      <c r="D11" s="4" t="s">
        <v>28</v>
      </c>
      <c r="E11" s="4"/>
    </row>
    <row r="12" customFormat="false" ht="15" hidden="false" customHeight="false" outlineLevel="0" collapsed="false">
      <c r="B12" s="8" t="s">
        <v>33</v>
      </c>
      <c r="C12" s="10" t="n">
        <v>50</v>
      </c>
      <c r="D12" s="4" t="s">
        <v>28</v>
      </c>
      <c r="E12" s="4"/>
    </row>
    <row r="13" customFormat="false" ht="15" hidden="false" customHeight="false" outlineLevel="0" collapsed="false">
      <c r="B13" s="8" t="s">
        <v>34</v>
      </c>
      <c r="C13" s="9" t="n">
        <v>0.0375</v>
      </c>
      <c r="D13" s="4" t="s">
        <v>25</v>
      </c>
      <c r="E13" s="4"/>
    </row>
    <row r="14" customFormat="false" ht="15" hidden="false" customHeight="false" outlineLevel="0" collapsed="false">
      <c r="B14" s="8" t="s">
        <v>35</v>
      </c>
      <c r="C14" s="11" t="n">
        <v>0.00375</v>
      </c>
      <c r="D14" s="4" t="s">
        <v>25</v>
      </c>
      <c r="E14" s="4"/>
    </row>
    <row r="15" customFormat="false" ht="15" hidden="false" customHeight="false" outlineLevel="0" collapsed="false">
      <c r="B15" s="8" t="s">
        <v>36</v>
      </c>
      <c r="C15" s="12" t="n">
        <v>0.35</v>
      </c>
      <c r="D15" s="4" t="s">
        <v>37</v>
      </c>
      <c r="E15" s="4"/>
    </row>
    <row r="16" customFormat="false" ht="15" hidden="false" customHeight="false" outlineLevel="0" collapsed="false">
      <c r="B16" s="8" t="s">
        <v>38</v>
      </c>
      <c r="C16" s="13" t="n">
        <v>6.5</v>
      </c>
      <c r="D16" s="4" t="s">
        <v>39</v>
      </c>
      <c r="E16" s="4"/>
    </row>
    <row r="17" customFormat="false" ht="15" hidden="false" customHeight="false" outlineLevel="0" collapsed="false">
      <c r="B17" s="8" t="s">
        <v>40</v>
      </c>
      <c r="C17" s="14" t="n">
        <v>14</v>
      </c>
      <c r="D17" s="4" t="s">
        <v>41</v>
      </c>
      <c r="E17" s="4"/>
    </row>
    <row r="18" customFormat="false" ht="15" hidden="false" customHeight="false" outlineLevel="0" collapsed="false">
      <c r="B18" s="8" t="s">
        <v>42</v>
      </c>
      <c r="C18" s="10" t="n">
        <v>900</v>
      </c>
      <c r="D18" s="4" t="s">
        <v>28</v>
      </c>
      <c r="E18" s="4"/>
    </row>
    <row r="19" customFormat="false" ht="15" hidden="false" customHeight="false" outlineLevel="0" collapsed="false">
      <c r="B19" s="8" t="s">
        <v>43</v>
      </c>
      <c r="C19" s="9" t="n">
        <v>0.04</v>
      </c>
      <c r="D19" s="4" t="s">
        <v>25</v>
      </c>
      <c r="E19" s="4"/>
    </row>
    <row r="20" customFormat="false" ht="15" hidden="false" customHeight="false" outlineLevel="0" collapsed="false">
      <c r="B20" s="8" t="s">
        <v>44</v>
      </c>
      <c r="C20" s="12" t="n">
        <v>0.01</v>
      </c>
      <c r="D20" s="4" t="s">
        <v>25</v>
      </c>
      <c r="E20" s="4" t="s">
        <v>45</v>
      </c>
    </row>
    <row r="21" customFormat="false" ht="15" hidden="false" customHeight="false" outlineLevel="0" collapsed="false">
      <c r="B21" s="8" t="s">
        <v>46</v>
      </c>
      <c r="C21" s="14" t="n">
        <v>32</v>
      </c>
      <c r="D21" s="4" t="s">
        <v>41</v>
      </c>
      <c r="E21" s="4"/>
    </row>
    <row r="22" customFormat="false" ht="15" hidden="false" customHeight="false" outlineLevel="0" collapsed="false">
      <c r="B22" s="8" t="s">
        <v>47</v>
      </c>
      <c r="C22" s="10" t="n">
        <v>400</v>
      </c>
      <c r="D22" s="4" t="s">
        <v>28</v>
      </c>
      <c r="E22" s="4"/>
    </row>
    <row r="23" customFormat="false" ht="15" hidden="false" customHeight="false" outlineLevel="0" collapsed="false">
      <c r="B23" s="8" t="s">
        <v>48</v>
      </c>
      <c r="C23" s="9" t="n">
        <v>0.0725</v>
      </c>
      <c r="D23" s="4" t="s">
        <v>25</v>
      </c>
      <c r="E23" s="4" t="s">
        <v>49</v>
      </c>
    </row>
    <row r="24" customFormat="false" ht="15" hidden="false" customHeight="false" outlineLevel="0" collapsed="false">
      <c r="B24" s="8" t="s">
        <v>50</v>
      </c>
      <c r="C24" s="14" t="n">
        <v>44</v>
      </c>
      <c r="D24" s="4" t="s">
        <v>41</v>
      </c>
      <c r="E24" s="4"/>
    </row>
    <row r="25" customFormat="false" ht="15" hidden="false" customHeight="false" outlineLevel="0" collapsed="false">
      <c r="B25" s="8" t="s">
        <v>51</v>
      </c>
      <c r="C25" s="14" t="n">
        <v>30</v>
      </c>
      <c r="D25" s="4" t="s">
        <v>52</v>
      </c>
      <c r="E25" s="4" t="s">
        <v>53</v>
      </c>
    </row>
    <row r="26" customFormat="false" ht="15" hidden="false" customHeight="false" outlineLevel="0" collapsed="false">
      <c r="B26" s="8" t="s">
        <v>54</v>
      </c>
      <c r="C26" s="10" t="n">
        <v>30</v>
      </c>
      <c r="D26" s="4" t="s">
        <v>55</v>
      </c>
      <c r="E26" s="4"/>
    </row>
    <row r="27" customFormat="false" ht="15" hidden="false" customHeight="false" outlineLevel="0" collapsed="false">
      <c r="B27" s="8" t="s">
        <v>56</v>
      </c>
      <c r="C27" s="10" t="n">
        <v>10</v>
      </c>
      <c r="D27" s="4" t="s">
        <v>55</v>
      </c>
      <c r="E27" s="4"/>
    </row>
    <row r="28" customFormat="false" ht="15" hidden="false" customHeight="false" outlineLevel="0" collapsed="false">
      <c r="B28" s="8" t="s">
        <v>57</v>
      </c>
      <c r="C28" s="10" t="n">
        <v>6</v>
      </c>
      <c r="D28" s="4" t="s">
        <v>55</v>
      </c>
      <c r="E28" s="4"/>
    </row>
    <row r="30" customFormat="false" ht="15" hidden="false" customHeight="false" outlineLevel="0" collapsed="false">
      <c r="B30" s="2" t="s">
        <v>58</v>
      </c>
    </row>
    <row r="31" customFormat="false" ht="15" hidden="false" customHeight="false" outlineLevel="0" collapsed="false">
      <c r="B31" s="5" t="s">
        <v>20</v>
      </c>
      <c r="C31" s="6" t="s">
        <v>21</v>
      </c>
      <c r="D31" s="7" t="s">
        <v>22</v>
      </c>
      <c r="E31" s="7" t="s">
        <v>23</v>
      </c>
    </row>
    <row r="32" customFormat="false" ht="15" hidden="false" customHeight="false" outlineLevel="0" collapsed="false">
      <c r="B32" s="8" t="s">
        <v>59</v>
      </c>
      <c r="C32" s="14" t="n">
        <v>52</v>
      </c>
      <c r="D32" s="4" t="s">
        <v>60</v>
      </c>
      <c r="E32" s="4"/>
    </row>
    <row r="33" customFormat="false" ht="15" hidden="false" customHeight="false" outlineLevel="0" collapsed="false">
      <c r="B33" s="8" t="s">
        <v>61</v>
      </c>
      <c r="C33" s="14" t="n">
        <v>365</v>
      </c>
      <c r="D33" s="4" t="s">
        <v>52</v>
      </c>
      <c r="E33" s="4"/>
    </row>
    <row r="34" customFormat="false" ht="15" hidden="false" customHeight="false" outlineLevel="0" collapsed="false">
      <c r="B34" s="8" t="s">
        <v>62</v>
      </c>
      <c r="C34" s="14" t="n">
        <v>13</v>
      </c>
      <c r="D34" s="4" t="s">
        <v>60</v>
      </c>
      <c r="E34" s="4" t="s">
        <v>63</v>
      </c>
    </row>
    <row r="35" customFormat="false" ht="15" hidden="false" customHeight="false" outlineLevel="0" collapsed="false">
      <c r="B35" s="8" t="s">
        <v>64</v>
      </c>
      <c r="C35" s="14" t="n">
        <v>4</v>
      </c>
      <c r="D35" s="4" t="s">
        <v>65</v>
      </c>
      <c r="E35" s="4"/>
    </row>
    <row r="36" customFormat="false" ht="15" hidden="false" customHeight="false" outlineLevel="0" collapsed="false">
      <c r="B36" s="8" t="s">
        <v>66</v>
      </c>
      <c r="C36" s="14" t="n">
        <v>12</v>
      </c>
      <c r="D36" s="4" t="s">
        <v>65</v>
      </c>
      <c r="E36" s="4"/>
    </row>
    <row r="37" customFormat="false" ht="15" hidden="false" customHeight="false" outlineLevel="0" collapsed="false">
      <c r="B37" s="8" t="s">
        <v>67</v>
      </c>
      <c r="C37" s="14" t="n">
        <v>2</v>
      </c>
      <c r="D37" s="4" t="s">
        <v>65</v>
      </c>
      <c r="E37" s="4"/>
    </row>
    <row r="38" customFormat="false" ht="15" hidden="false" customHeight="false" outlineLevel="0" collapsed="false">
      <c r="B38" s="8" t="s">
        <v>68</v>
      </c>
      <c r="C38" s="14" t="n">
        <v>4</v>
      </c>
      <c r="D38" s="4" t="s">
        <v>65</v>
      </c>
      <c r="E38" s="4"/>
    </row>
    <row r="40" customFormat="false" ht="15" hidden="false" customHeight="false" outlineLevel="0" collapsed="false">
      <c r="B40" s="2" t="s">
        <v>69</v>
      </c>
    </row>
    <row r="41" customFormat="false" ht="15" hidden="false" customHeight="false" outlineLevel="0" collapsed="false">
      <c r="B41" s="5" t="s">
        <v>70</v>
      </c>
      <c r="C41" s="6" t="s">
        <v>21</v>
      </c>
      <c r="D41" s="7" t="s">
        <v>22</v>
      </c>
      <c r="E41" s="7" t="s">
        <v>23</v>
      </c>
    </row>
    <row r="42" customFormat="false" ht="15" hidden="false" customHeight="false" outlineLevel="0" collapsed="false">
      <c r="B42" s="8" t="s">
        <v>71</v>
      </c>
      <c r="C42" s="15" t="n">
        <v>20.2</v>
      </c>
      <c r="D42" s="4" t="s">
        <v>72</v>
      </c>
      <c r="E42" s="4"/>
    </row>
    <row r="43" customFormat="false" ht="15" hidden="false" customHeight="false" outlineLevel="0" collapsed="false">
      <c r="B43" s="8" t="s">
        <v>73</v>
      </c>
      <c r="C43" s="15" t="n">
        <v>18.4</v>
      </c>
      <c r="D43" s="4" t="s">
        <v>72</v>
      </c>
      <c r="E43" s="4" t="s">
        <v>74</v>
      </c>
    </row>
    <row r="44" customFormat="false" ht="15" hidden="false" customHeight="false" outlineLevel="0" collapsed="false">
      <c r="B44" s="8" t="s">
        <v>75</v>
      </c>
      <c r="C44" s="15" t="n">
        <v>1.2</v>
      </c>
      <c r="D44" s="4" t="s">
        <v>28</v>
      </c>
      <c r="E44" s="4"/>
    </row>
    <row r="45" customFormat="false" ht="15" hidden="false" customHeight="false" outlineLevel="0" collapsed="false">
      <c r="B45" s="8" t="s">
        <v>76</v>
      </c>
      <c r="C45" s="15" t="n">
        <v>10.9</v>
      </c>
      <c r="D45" s="4" t="s">
        <v>72</v>
      </c>
      <c r="E45" s="4"/>
    </row>
    <row r="46" customFormat="false" ht="15" hidden="false" customHeight="false" outlineLevel="0" collapsed="false">
      <c r="B46" s="8" t="s">
        <v>77</v>
      </c>
      <c r="C46" s="15" t="n">
        <v>7.2</v>
      </c>
      <c r="D46" s="4" t="s">
        <v>28</v>
      </c>
      <c r="E46" s="4"/>
    </row>
    <row r="47" customFormat="false" ht="15" hidden="false" customHeight="false" outlineLevel="0" collapsed="false">
      <c r="B47" s="8" t="s">
        <v>78</v>
      </c>
      <c r="C47" s="15" t="n">
        <v>1.1</v>
      </c>
      <c r="D47" s="4" t="s">
        <v>72</v>
      </c>
      <c r="E47" s="4"/>
    </row>
    <row r="48" customFormat="false" ht="15" hidden="false" customHeight="false" outlineLevel="0" collapsed="false">
      <c r="B48" s="8" t="s">
        <v>79</v>
      </c>
      <c r="C48" s="15" t="n">
        <v>1.18</v>
      </c>
      <c r="D48" s="4" t="s">
        <v>72</v>
      </c>
      <c r="E48" s="4" t="s">
        <v>80</v>
      </c>
    </row>
    <row r="49" customFormat="false" ht="15" hidden="false" customHeight="false" outlineLevel="0" collapsed="false">
      <c r="B49" s="8" t="s">
        <v>81</v>
      </c>
      <c r="C49" s="15" t="n">
        <v>2.8</v>
      </c>
      <c r="D49" s="4" t="s">
        <v>28</v>
      </c>
      <c r="E49" s="4"/>
    </row>
    <row r="50" customFormat="false" ht="15" hidden="false" customHeight="false" outlineLevel="0" collapsed="false">
      <c r="B50" s="8" t="s">
        <v>82</v>
      </c>
      <c r="C50" s="15" t="n">
        <v>3</v>
      </c>
      <c r="D50" s="4" t="s">
        <v>28</v>
      </c>
      <c r="E50" s="4"/>
    </row>
    <row r="51" customFormat="false" ht="15" hidden="false" customHeight="false" outlineLevel="0" collapsed="false">
      <c r="B51" s="8" t="s">
        <v>83</v>
      </c>
      <c r="C51" s="15" t="n">
        <v>0.45</v>
      </c>
      <c r="D51" s="4" t="s">
        <v>72</v>
      </c>
      <c r="E51" s="4"/>
    </row>
    <row r="52" customFormat="false" ht="15" hidden="false" customHeight="false" outlineLevel="0" collapsed="false">
      <c r="B52" s="8" t="s">
        <v>84</v>
      </c>
      <c r="C52" s="14" t="n">
        <v>1</v>
      </c>
      <c r="D52" s="4" t="s">
        <v>85</v>
      </c>
      <c r="E52" s="4" t="s">
        <v>86</v>
      </c>
    </row>
    <row r="54" customFormat="false" ht="15" hidden="false" customHeight="false" outlineLevel="0" collapsed="false">
      <c r="B54" s="2" t="s">
        <v>87</v>
      </c>
    </row>
    <row r="55" customFormat="false" ht="15" hidden="false" customHeight="false" outlineLevel="0" collapsed="false">
      <c r="B55" s="5" t="s">
        <v>88</v>
      </c>
      <c r="C55" s="16" t="n">
        <v>1</v>
      </c>
      <c r="D55" s="16" t="n">
        <v>2</v>
      </c>
      <c r="E55" s="16" t="n">
        <v>3</v>
      </c>
      <c r="F55" s="16" t="n">
        <v>4</v>
      </c>
      <c r="G55" s="16" t="n">
        <v>5</v>
      </c>
      <c r="H55" s="16" t="n">
        <v>6</v>
      </c>
      <c r="I55" s="16" t="n">
        <v>7</v>
      </c>
      <c r="J55" s="16" t="n">
        <v>8</v>
      </c>
      <c r="K55" s="16" t="n">
        <v>9</v>
      </c>
      <c r="L55" s="16" t="n">
        <v>10</v>
      </c>
      <c r="M55" s="16" t="n">
        <v>11</v>
      </c>
      <c r="N55" s="16" t="n">
        <v>12</v>
      </c>
      <c r="O55" s="16" t="n">
        <v>13</v>
      </c>
      <c r="P55" s="6"/>
      <c r="Q55" s="7" t="s">
        <v>89</v>
      </c>
    </row>
    <row r="56" customFormat="false" ht="15" hidden="false" customHeight="false" outlineLevel="0" collapsed="false">
      <c r="B56" s="8" t="s">
        <v>90</v>
      </c>
      <c r="C56" s="14" t="n">
        <v>0</v>
      </c>
      <c r="D56" s="14" t="n">
        <v>0</v>
      </c>
      <c r="E56" s="14" t="n">
        <v>0</v>
      </c>
      <c r="F56" s="14" t="n">
        <v>0</v>
      </c>
      <c r="G56" s="14" t="n">
        <v>1</v>
      </c>
      <c r="H56" s="14" t="n">
        <v>1</v>
      </c>
      <c r="I56" s="14" t="n">
        <v>1</v>
      </c>
      <c r="J56" s="14" t="n">
        <v>1</v>
      </c>
      <c r="K56" s="14" t="n">
        <v>0</v>
      </c>
      <c r="L56" s="14" t="n">
        <v>0</v>
      </c>
      <c r="M56" s="14" t="n">
        <v>0</v>
      </c>
      <c r="N56" s="14" t="n">
        <v>0</v>
      </c>
      <c r="O56" s="14" t="n">
        <v>0</v>
      </c>
      <c r="Q56" s="4" t="s">
        <v>91</v>
      </c>
    </row>
    <row r="57" customFormat="false" ht="15" hidden="false" customHeight="false" outlineLevel="0" collapsed="false">
      <c r="B57" s="8" t="s">
        <v>92</v>
      </c>
      <c r="C57" s="14" t="n">
        <v>0</v>
      </c>
      <c r="D57" s="14" t="n">
        <v>0</v>
      </c>
      <c r="E57" s="14" t="n">
        <v>0</v>
      </c>
      <c r="F57" s="14" t="n">
        <v>0</v>
      </c>
      <c r="G57" s="14" t="n">
        <v>0</v>
      </c>
      <c r="H57" s="14" t="n">
        <v>0</v>
      </c>
      <c r="I57" s="14" t="n">
        <v>0</v>
      </c>
      <c r="J57" s="14" t="n">
        <v>0</v>
      </c>
      <c r="K57" s="14" t="n">
        <v>0</v>
      </c>
      <c r="L57" s="14" t="n">
        <v>1</v>
      </c>
      <c r="M57" s="14" t="n">
        <v>0</v>
      </c>
      <c r="N57" s="14" t="n">
        <v>0</v>
      </c>
      <c r="O57" s="14" t="n">
        <v>0</v>
      </c>
      <c r="Q57" s="4" t="s">
        <v>93</v>
      </c>
    </row>
    <row r="58" customFormat="false" ht="15" hidden="false" customHeight="false" outlineLevel="0" collapsed="false">
      <c r="B58" s="8" t="s">
        <v>94</v>
      </c>
      <c r="C58" s="14" t="n">
        <v>0</v>
      </c>
      <c r="D58" s="14" t="n">
        <v>1</v>
      </c>
      <c r="E58" s="14" t="n">
        <v>0</v>
      </c>
      <c r="F58" s="14" t="n">
        <v>1</v>
      </c>
      <c r="G58" s="14" t="n">
        <v>0</v>
      </c>
      <c r="H58" s="14" t="n">
        <v>1</v>
      </c>
      <c r="I58" s="14" t="n">
        <v>0</v>
      </c>
      <c r="J58" s="14" t="n">
        <v>1</v>
      </c>
      <c r="K58" s="14" t="n">
        <v>0</v>
      </c>
      <c r="L58" s="14" t="n">
        <v>1</v>
      </c>
      <c r="M58" s="14" t="n">
        <v>0</v>
      </c>
      <c r="N58" s="14" t="n">
        <v>1</v>
      </c>
      <c r="O58" s="14" t="n">
        <v>0</v>
      </c>
      <c r="Q58" s="4" t="s">
        <v>95</v>
      </c>
    </row>
    <row r="59" customFormat="false" ht="15" hidden="false" customHeight="false" outlineLevel="0" collapsed="false">
      <c r="B59" s="8" t="s">
        <v>96</v>
      </c>
      <c r="C59" s="14" t="n">
        <v>1</v>
      </c>
      <c r="D59" s="14" t="n">
        <v>0</v>
      </c>
      <c r="E59" s="14" t="n">
        <v>0</v>
      </c>
      <c r="F59" s="14" t="n">
        <v>0</v>
      </c>
      <c r="G59" s="14" t="n">
        <v>1</v>
      </c>
      <c r="H59" s="14" t="n">
        <v>0</v>
      </c>
      <c r="I59" s="14" t="n">
        <v>0</v>
      </c>
      <c r="J59" s="14" t="n">
        <v>0</v>
      </c>
      <c r="K59" s="14" t="n">
        <v>1</v>
      </c>
      <c r="L59" s="14" t="n">
        <v>0</v>
      </c>
      <c r="M59" s="14" t="n">
        <v>0</v>
      </c>
      <c r="N59" s="14" t="n">
        <v>0</v>
      </c>
      <c r="O59" s="14" t="n">
        <v>1</v>
      </c>
      <c r="Q59" s="4" t="s">
        <v>97</v>
      </c>
    </row>
    <row r="60" customFormat="false" ht="15" hidden="false" customHeight="false" outlineLevel="0" collapsed="false">
      <c r="B60" s="8" t="s">
        <v>98</v>
      </c>
      <c r="C60" s="14" t="n">
        <v>0</v>
      </c>
      <c r="D60" s="14" t="n">
        <v>0</v>
      </c>
      <c r="E60" s="14" t="n">
        <v>0</v>
      </c>
      <c r="F60" s="14" t="n">
        <v>0</v>
      </c>
      <c r="G60" s="14" t="n">
        <v>0</v>
      </c>
      <c r="H60" s="14" t="n">
        <v>0</v>
      </c>
      <c r="I60" s="14" t="n">
        <v>0</v>
      </c>
      <c r="J60" s="14" t="n">
        <v>0</v>
      </c>
      <c r="K60" s="14" t="n">
        <v>0</v>
      </c>
      <c r="L60" s="14" t="n">
        <v>0</v>
      </c>
      <c r="M60" s="14" t="n">
        <v>0</v>
      </c>
      <c r="N60" s="14" t="n">
        <v>0</v>
      </c>
      <c r="O60" s="14" t="n">
        <v>1</v>
      </c>
      <c r="Q60" s="4" t="s">
        <v>99</v>
      </c>
    </row>
    <row r="61" customFormat="false" ht="15" hidden="false" customHeight="false" outlineLevel="0" collapsed="false">
      <c r="B61" s="8" t="s">
        <v>100</v>
      </c>
      <c r="C61" s="14" t="n">
        <v>0</v>
      </c>
      <c r="D61" s="14" t="n">
        <v>0</v>
      </c>
      <c r="E61" s="14" t="n">
        <v>0</v>
      </c>
      <c r="F61" s="14" t="n">
        <v>0</v>
      </c>
      <c r="G61" s="14" t="n">
        <v>0</v>
      </c>
      <c r="H61" s="14" t="n">
        <v>0</v>
      </c>
      <c r="I61" s="14" t="n">
        <v>1</v>
      </c>
      <c r="J61" s="14" t="n">
        <v>0</v>
      </c>
      <c r="K61" s="14" t="n">
        <v>0</v>
      </c>
      <c r="L61" s="14" t="n">
        <v>0</v>
      </c>
      <c r="M61" s="14" t="n">
        <v>0</v>
      </c>
      <c r="N61" s="14" t="n">
        <v>0</v>
      </c>
      <c r="O61" s="14" t="n">
        <v>0</v>
      </c>
      <c r="Q61" s="4" t="s">
        <v>101</v>
      </c>
    </row>
    <row r="62" customFormat="false" ht="15" hidden="false" customHeight="false" outlineLevel="0" collapsed="false">
      <c r="B62" s="8" t="s">
        <v>102</v>
      </c>
      <c r="C62" s="14" t="n">
        <v>0</v>
      </c>
      <c r="D62" s="14" t="n">
        <v>0</v>
      </c>
      <c r="E62" s="14" t="n">
        <v>1</v>
      </c>
      <c r="F62" s="14" t="n">
        <v>1</v>
      </c>
      <c r="G62" s="14" t="n">
        <v>1</v>
      </c>
      <c r="H62" s="14" t="n">
        <v>1</v>
      </c>
      <c r="I62" s="14" t="n">
        <v>1</v>
      </c>
      <c r="J62" s="14" t="n">
        <v>1</v>
      </c>
      <c r="K62" s="14" t="n">
        <v>1</v>
      </c>
      <c r="L62" s="14" t="n">
        <v>1</v>
      </c>
      <c r="M62" s="14" t="n">
        <v>1</v>
      </c>
      <c r="N62" s="14" t="n">
        <v>1</v>
      </c>
      <c r="O62" s="14" t="n">
        <v>1</v>
      </c>
      <c r="Q62" s="4" t="s">
        <v>103</v>
      </c>
    </row>
    <row r="63" customFormat="false" ht="15" hidden="false" customHeight="false" outlineLevel="0" collapsed="false">
      <c r="B63" s="8" t="s">
        <v>104</v>
      </c>
      <c r="C63" s="14" t="n">
        <v>0</v>
      </c>
      <c r="D63" s="14" t="n">
        <v>0</v>
      </c>
      <c r="E63" s="14" t="n">
        <v>0</v>
      </c>
      <c r="F63" s="14" t="n">
        <v>0</v>
      </c>
      <c r="G63" s="14" t="n">
        <v>0</v>
      </c>
      <c r="H63" s="14" t="n">
        <v>1</v>
      </c>
      <c r="I63" s="14" t="n">
        <v>0</v>
      </c>
      <c r="J63" s="14" t="n">
        <v>0</v>
      </c>
      <c r="K63" s="14" t="n">
        <v>0</v>
      </c>
      <c r="L63" s="14" t="n">
        <v>0</v>
      </c>
      <c r="M63" s="14" t="n">
        <v>0</v>
      </c>
      <c r="N63" s="14" t="n">
        <v>0</v>
      </c>
      <c r="O63" s="14" t="n">
        <v>0</v>
      </c>
      <c r="Q63" s="4" t="s">
        <v>105</v>
      </c>
    </row>
    <row r="64" customFormat="false" ht="15" hidden="false" customHeight="false" outlineLevel="0" collapsed="false">
      <c r="B64" s="8" t="s">
        <v>106</v>
      </c>
      <c r="C64" s="14" t="n">
        <v>0</v>
      </c>
      <c r="D64" s="14" t="n">
        <v>0</v>
      </c>
      <c r="E64" s="14" t="n">
        <v>0</v>
      </c>
      <c r="F64" s="14" t="n">
        <v>1</v>
      </c>
      <c r="G64" s="14" t="n">
        <v>0</v>
      </c>
      <c r="H64" s="14" t="n">
        <v>0</v>
      </c>
      <c r="I64" s="14" t="n">
        <v>0</v>
      </c>
      <c r="J64" s="14" t="n">
        <v>1</v>
      </c>
      <c r="K64" s="14" t="n">
        <v>0</v>
      </c>
      <c r="L64" s="14" t="n">
        <v>0</v>
      </c>
      <c r="M64" s="14" t="n">
        <v>0</v>
      </c>
      <c r="N64" s="14" t="n">
        <v>1</v>
      </c>
      <c r="O64" s="14" t="n">
        <v>0</v>
      </c>
      <c r="Q64" s="4" t="s">
        <v>107</v>
      </c>
    </row>
    <row r="65" customFormat="false" ht="15" hidden="false" customHeight="false" outlineLevel="0" collapsed="false">
      <c r="B65" s="8" t="s">
        <v>108</v>
      </c>
      <c r="C65" s="14" t="n">
        <v>0</v>
      </c>
      <c r="D65" s="14" t="n">
        <v>0</v>
      </c>
      <c r="E65" s="14" t="n">
        <v>0</v>
      </c>
      <c r="F65" s="14" t="n">
        <v>0</v>
      </c>
      <c r="G65" s="14" t="n">
        <v>0</v>
      </c>
      <c r="H65" s="14" t="n">
        <v>0</v>
      </c>
      <c r="I65" s="14" t="n">
        <v>0</v>
      </c>
      <c r="J65" s="14" t="n">
        <v>0</v>
      </c>
      <c r="K65" s="14" t="n">
        <v>0</v>
      </c>
      <c r="L65" s="14" t="n">
        <v>0</v>
      </c>
      <c r="M65" s="14" t="n">
        <v>1</v>
      </c>
      <c r="N65" s="14" t="n">
        <v>0</v>
      </c>
      <c r="O65" s="14" t="n">
        <v>0</v>
      </c>
      <c r="Q65" s="4" t="s">
        <v>109</v>
      </c>
    </row>
    <row r="67" customFormat="false" ht="15" hidden="false" customHeight="false" outlineLevel="0" collapsed="false">
      <c r="B67" s="2" t="s">
        <v>110</v>
      </c>
    </row>
    <row r="68" customFormat="false" ht="15" hidden="false" customHeight="false" outlineLevel="0" collapsed="false">
      <c r="B68" s="5" t="s">
        <v>20</v>
      </c>
      <c r="C68" s="6" t="s">
        <v>21</v>
      </c>
      <c r="D68" s="7" t="s">
        <v>22</v>
      </c>
      <c r="E68" s="7" t="s">
        <v>23</v>
      </c>
    </row>
    <row r="69" customFormat="false" ht="15" hidden="false" customHeight="false" outlineLevel="0" collapsed="false">
      <c r="B69" s="8" t="s">
        <v>111</v>
      </c>
      <c r="C69" s="10" t="n">
        <v>1050</v>
      </c>
      <c r="D69" s="4" t="s">
        <v>28</v>
      </c>
      <c r="E69" s="4"/>
    </row>
    <row r="70" customFormat="false" ht="15" hidden="false" customHeight="false" outlineLevel="0" collapsed="false">
      <c r="B70" s="8" t="s">
        <v>112</v>
      </c>
      <c r="C70" s="10" t="n">
        <v>45</v>
      </c>
      <c r="D70" s="4" t="s">
        <v>55</v>
      </c>
      <c r="E70" s="4"/>
    </row>
    <row r="71" customFormat="false" ht="15" hidden="false" customHeight="false" outlineLevel="0" collapsed="false">
      <c r="B71" s="8" t="s">
        <v>113</v>
      </c>
      <c r="C71" s="12" t="n">
        <v>0.25</v>
      </c>
      <c r="D71" s="4" t="s">
        <v>37</v>
      </c>
      <c r="E71" s="4"/>
    </row>
    <row r="72" customFormat="false" ht="15" hidden="false" customHeight="false" outlineLevel="0" collapsed="false">
      <c r="B72" s="8" t="s">
        <v>114</v>
      </c>
      <c r="C72" s="12" t="n">
        <v>0.12</v>
      </c>
      <c r="D72" s="4" t="s">
        <v>37</v>
      </c>
      <c r="E72" s="4"/>
    </row>
    <row r="73" customFormat="false" ht="15" hidden="false" customHeight="false" outlineLevel="0" collapsed="false">
      <c r="B73" s="8" t="s">
        <v>115</v>
      </c>
      <c r="C73" s="10" t="n">
        <v>40</v>
      </c>
      <c r="D73" s="4" t="s">
        <v>55</v>
      </c>
      <c r="E73" s="4"/>
    </row>
    <row r="74" customFormat="false" ht="15" hidden="false" customHeight="false" outlineLevel="0" collapsed="false">
      <c r="B74" s="8" t="s">
        <v>116</v>
      </c>
      <c r="C74" s="12" t="n">
        <v>0.11</v>
      </c>
      <c r="D74" s="4" t="s">
        <v>37</v>
      </c>
      <c r="E74" s="4"/>
    </row>
    <row r="75" customFormat="false" ht="15" hidden="false" customHeight="false" outlineLevel="0" collapsed="false">
      <c r="B75" s="8" t="s">
        <v>117</v>
      </c>
      <c r="C75" s="12" t="n">
        <v>0.02</v>
      </c>
      <c r="D75" s="4" t="s">
        <v>37</v>
      </c>
      <c r="E75" s="4"/>
    </row>
    <row r="76" customFormat="false" ht="15" hidden="false" customHeight="false" outlineLevel="0" collapsed="false">
      <c r="B76" s="8" t="s">
        <v>118</v>
      </c>
      <c r="C76" s="17" t="n">
        <v>7</v>
      </c>
      <c r="D76" s="4" t="s">
        <v>39</v>
      </c>
      <c r="E76" s="4"/>
    </row>
    <row r="77" customFormat="false" ht="15" hidden="false" customHeight="false" outlineLevel="0" collapsed="false">
      <c r="B77" s="8" t="s">
        <v>119</v>
      </c>
      <c r="C77" s="17" t="n">
        <v>6</v>
      </c>
      <c r="D77" s="4" t="s">
        <v>39</v>
      </c>
      <c r="E77" s="4"/>
    </row>
    <row r="78" customFormat="false" ht="15" hidden="false" customHeight="false" outlineLevel="0" collapsed="false">
      <c r="B78" s="8" t="s">
        <v>120</v>
      </c>
      <c r="C78" s="17" t="n">
        <v>8</v>
      </c>
      <c r="D78" s="4" t="s">
        <v>39</v>
      </c>
      <c r="E78" s="4"/>
    </row>
    <row r="79" customFormat="false" ht="15" hidden="false" customHeight="false" outlineLevel="0" collapsed="false">
      <c r="B79" s="8" t="s">
        <v>121</v>
      </c>
      <c r="C79" s="10" t="n">
        <v>5</v>
      </c>
      <c r="D79" s="4" t="s">
        <v>28</v>
      </c>
      <c r="E79" s="4"/>
    </row>
    <row r="81" customFormat="false" ht="15" hidden="false" customHeight="false" outlineLevel="0" collapsed="false">
      <c r="B81" s="5" t="s">
        <v>122</v>
      </c>
      <c r="C81" s="18" t="n">
        <v>1</v>
      </c>
      <c r="D81" s="18" t="n">
        <v>2</v>
      </c>
      <c r="E81" s="18" t="n">
        <v>3</v>
      </c>
      <c r="F81" s="18" t="n">
        <v>4</v>
      </c>
      <c r="G81" s="18" t="n">
        <v>5</v>
      </c>
    </row>
    <row r="82" customFormat="false" ht="15" hidden="false" customHeight="false" outlineLevel="0" collapsed="false">
      <c r="B82" s="8" t="s">
        <v>123</v>
      </c>
      <c r="C82" s="10" t="n">
        <v>150</v>
      </c>
      <c r="D82" s="10" t="n">
        <v>172</v>
      </c>
      <c r="E82" s="10" t="n">
        <v>190</v>
      </c>
      <c r="F82" s="10" t="n">
        <v>204</v>
      </c>
      <c r="G82" s="10" t="n">
        <v>214</v>
      </c>
      <c r="I82" s="4"/>
    </row>
    <row r="83" customFormat="false" ht="15" hidden="false" customHeight="false" outlineLevel="0" collapsed="false">
      <c r="B83" s="8" t="s">
        <v>124</v>
      </c>
      <c r="C83" s="10" t="n">
        <v>138</v>
      </c>
      <c r="D83" s="10" t="n">
        <v>146</v>
      </c>
      <c r="E83" s="10" t="n">
        <v>154</v>
      </c>
      <c r="F83" s="10" t="n">
        <v>161</v>
      </c>
      <c r="G83" s="10" t="n">
        <v>167</v>
      </c>
      <c r="I83" s="4"/>
    </row>
    <row r="84" customFormat="false" ht="15" hidden="false" customHeight="false" outlineLevel="0" collapsed="false">
      <c r="B84" s="8" t="s">
        <v>125</v>
      </c>
      <c r="C84" s="10" t="n">
        <v>120</v>
      </c>
      <c r="D84" s="10" t="n">
        <v>124</v>
      </c>
      <c r="E84" s="10" t="n">
        <v>130</v>
      </c>
      <c r="F84" s="10" t="n">
        <v>136</v>
      </c>
      <c r="G84" s="10" t="n">
        <v>140</v>
      </c>
      <c r="I84" s="4"/>
    </row>
    <row r="85" customFormat="false" ht="15" hidden="false" customHeight="false" outlineLevel="0" collapsed="false">
      <c r="B85" s="8" t="s">
        <v>126</v>
      </c>
      <c r="C85" s="12" t="n">
        <v>0.135</v>
      </c>
      <c r="D85" s="12" t="n">
        <v>0.148</v>
      </c>
      <c r="E85" s="12" t="n">
        <v>0.157</v>
      </c>
      <c r="F85" s="12" t="n">
        <v>0.162</v>
      </c>
      <c r="G85" s="12" t="n">
        <v>0.164</v>
      </c>
      <c r="I85" s="4"/>
    </row>
    <row r="86" customFormat="false" ht="15" hidden="false" customHeight="false" outlineLevel="0" collapsed="false">
      <c r="B86" s="8" t="s">
        <v>127</v>
      </c>
      <c r="C86" s="12" t="n">
        <v>0.13</v>
      </c>
      <c r="D86" s="12" t="n">
        <v>0.134</v>
      </c>
      <c r="E86" s="12" t="n">
        <v>0.138</v>
      </c>
      <c r="F86" s="12" t="n">
        <v>0.141</v>
      </c>
      <c r="G86" s="12" t="n">
        <v>0.143</v>
      </c>
      <c r="I86" s="4"/>
    </row>
    <row r="87" customFormat="false" ht="15" hidden="false" customHeight="false" outlineLevel="0" collapsed="false">
      <c r="B87" s="8" t="s">
        <v>128</v>
      </c>
      <c r="C87" s="12" t="n">
        <v>0.12</v>
      </c>
      <c r="D87" s="12" t="n">
        <v>0.121</v>
      </c>
      <c r="E87" s="12" t="n">
        <v>0.124</v>
      </c>
      <c r="F87" s="12" t="n">
        <v>0.127</v>
      </c>
      <c r="G87" s="12" t="n">
        <v>0.129</v>
      </c>
      <c r="I87" s="4"/>
    </row>
    <row r="89" customFormat="false" ht="15" hidden="false" customHeight="false" outlineLevel="0" collapsed="false">
      <c r="B89" s="5" t="s">
        <v>129</v>
      </c>
      <c r="C89" s="6" t="n">
        <v>1</v>
      </c>
      <c r="D89" s="6" t="n">
        <v>2</v>
      </c>
      <c r="E89" s="6" t="n">
        <v>3</v>
      </c>
    </row>
    <row r="90" customFormat="false" ht="15" hidden="false" customHeight="false" outlineLevel="0" collapsed="false">
      <c r="B90" s="8" t="s">
        <v>116</v>
      </c>
      <c r="C90" s="12" t="n">
        <v>0.1</v>
      </c>
      <c r="D90" s="12" t="n">
        <v>0.11</v>
      </c>
      <c r="E90" s="12" t="n">
        <v>0.12</v>
      </c>
      <c r="G90" s="4"/>
    </row>
    <row r="91" customFormat="false" ht="15" hidden="false" customHeight="false" outlineLevel="0" collapsed="false">
      <c r="B91" s="8" t="s">
        <v>117</v>
      </c>
      <c r="C91" s="12" t="n">
        <v>0.01</v>
      </c>
      <c r="D91" s="12" t="n">
        <v>0.02</v>
      </c>
      <c r="E91" s="12" t="n">
        <v>0.03</v>
      </c>
      <c r="G91" s="4"/>
    </row>
    <row r="93" customFormat="false" ht="15" hidden="false" customHeight="false" outlineLevel="0" collapsed="false">
      <c r="B93" s="2" t="s">
        <v>130</v>
      </c>
    </row>
    <row r="94" customFormat="false" ht="15" hidden="false" customHeight="false" outlineLevel="0" collapsed="false">
      <c r="B94" s="5" t="s">
        <v>20</v>
      </c>
      <c r="C94" s="6" t="s">
        <v>21</v>
      </c>
      <c r="D94" s="7" t="s">
        <v>22</v>
      </c>
      <c r="E94" s="7" t="s">
        <v>23</v>
      </c>
    </row>
    <row r="95" customFormat="false" ht="15" hidden="false" customHeight="false" outlineLevel="0" collapsed="false">
      <c r="B95" s="8" t="s">
        <v>131</v>
      </c>
      <c r="C95" s="14" t="n">
        <v>13</v>
      </c>
      <c r="D95" s="4" t="s">
        <v>132</v>
      </c>
      <c r="E95" s="4" t="s">
        <v>133</v>
      </c>
    </row>
    <row r="96" customFormat="false" ht="15" hidden="false" customHeight="false" outlineLevel="0" collapsed="false">
      <c r="B96" s="8" t="s">
        <v>134</v>
      </c>
      <c r="C96" s="10" t="n">
        <v>72</v>
      </c>
      <c r="D96" s="4" t="s">
        <v>28</v>
      </c>
      <c r="E96" s="4" t="s">
        <v>135</v>
      </c>
    </row>
    <row r="97" customFormat="false" ht="15" hidden="false" customHeight="false" outlineLevel="0" collapsed="false">
      <c r="B97" s="8" t="s">
        <v>136</v>
      </c>
      <c r="C97" s="10" t="n">
        <v>21</v>
      </c>
      <c r="D97" s="4" t="s">
        <v>28</v>
      </c>
      <c r="E97" s="4" t="s">
        <v>137</v>
      </c>
    </row>
    <row r="98" customFormat="false" ht="15" hidden="false" customHeight="false" outlineLevel="0" collapsed="false">
      <c r="B98" s="8" t="s">
        <v>138</v>
      </c>
      <c r="C98" s="10" t="n">
        <v>12</v>
      </c>
      <c r="D98" s="4" t="s">
        <v>28</v>
      </c>
      <c r="E98" s="4"/>
    </row>
    <row r="99" customFormat="false" ht="15" hidden="false" customHeight="false" outlineLevel="0" collapsed="false">
      <c r="B99" s="8" t="s">
        <v>139</v>
      </c>
      <c r="C99" s="10" t="n">
        <v>7</v>
      </c>
      <c r="D99" s="4" t="s">
        <v>28</v>
      </c>
      <c r="E99" s="4"/>
    </row>
    <row r="100" customFormat="false" ht="15" hidden="false" customHeight="false" outlineLevel="0" collapsed="false">
      <c r="B100" s="8" t="s">
        <v>140</v>
      </c>
      <c r="C100" s="10" t="n">
        <v>5</v>
      </c>
      <c r="D100" s="4" t="s">
        <v>28</v>
      </c>
      <c r="E100" s="4"/>
    </row>
    <row r="101" customFormat="false" ht="15" hidden="false" customHeight="false" outlineLevel="0" collapsed="false">
      <c r="B101" s="8" t="s">
        <v>141</v>
      </c>
      <c r="C101" s="12" t="n">
        <v>0.08</v>
      </c>
      <c r="D101" s="4" t="s">
        <v>37</v>
      </c>
      <c r="E101" s="4" t="s">
        <v>142</v>
      </c>
    </row>
    <row r="103" customFormat="false" ht="15" hidden="false" customHeight="false" outlineLevel="0" collapsed="false">
      <c r="B103" s="5" t="s">
        <v>143</v>
      </c>
      <c r="C103" s="6" t="n">
        <v>1</v>
      </c>
      <c r="D103" s="6" t="n">
        <v>2</v>
      </c>
      <c r="E103" s="6" t="n">
        <v>3</v>
      </c>
      <c r="F103" s="6" t="n">
        <v>4</v>
      </c>
      <c r="G103" s="6" t="n">
        <v>5</v>
      </c>
      <c r="H103" s="6" t="n">
        <v>6</v>
      </c>
      <c r="I103" s="6" t="n">
        <v>7</v>
      </c>
    </row>
    <row r="104" customFormat="false" ht="15" hidden="false" customHeight="false" outlineLevel="0" collapsed="false">
      <c r="B104" s="8" t="s">
        <v>144</v>
      </c>
      <c r="C104" s="10" t="n">
        <v>700</v>
      </c>
      <c r="D104" s="10" t="n">
        <v>800</v>
      </c>
      <c r="E104" s="10" t="n">
        <v>900</v>
      </c>
      <c r="F104" s="10" t="n">
        <v>1000</v>
      </c>
      <c r="G104" s="10" t="n">
        <v>1100</v>
      </c>
      <c r="H104" s="10" t="n">
        <v>1200</v>
      </c>
      <c r="I104" s="10" t="n">
        <v>1300</v>
      </c>
      <c r="K104" s="4"/>
    </row>
    <row r="105" customFormat="false" ht="15" hidden="false" customHeight="false" outlineLevel="0" collapsed="false">
      <c r="B105" s="8" t="s">
        <v>145</v>
      </c>
      <c r="C105" s="12" t="n">
        <v>0</v>
      </c>
      <c r="D105" s="12" t="n">
        <v>0.04</v>
      </c>
      <c r="E105" s="12" t="n">
        <v>0.08</v>
      </c>
      <c r="F105" s="12" t="n">
        <v>0.12</v>
      </c>
      <c r="G105" s="12" t="n">
        <v>0.16</v>
      </c>
      <c r="K105" s="4"/>
    </row>
    <row r="107" customFormat="false" ht="15" hidden="false" customHeight="false" outlineLevel="0" collapsed="false">
      <c r="B107" s="2" t="s">
        <v>146</v>
      </c>
    </row>
    <row r="108" customFormat="false" ht="15" hidden="false" customHeight="false" outlineLevel="0" collapsed="false">
      <c r="B108" s="5" t="s">
        <v>20</v>
      </c>
      <c r="C108" s="6" t="s">
        <v>21</v>
      </c>
      <c r="D108" s="7" t="s">
        <v>22</v>
      </c>
      <c r="E108" s="7" t="s">
        <v>23</v>
      </c>
    </row>
    <row r="109" customFormat="false" ht="15" hidden="false" customHeight="false" outlineLevel="0" collapsed="false">
      <c r="B109" s="8" t="s">
        <v>147</v>
      </c>
      <c r="C109" s="15" t="n">
        <v>2.5</v>
      </c>
      <c r="D109" s="4" t="s">
        <v>72</v>
      </c>
      <c r="E109" s="4" t="s">
        <v>148</v>
      </c>
    </row>
    <row r="110" customFormat="false" ht="15" hidden="false" customHeight="false" outlineLevel="0" collapsed="false">
      <c r="B110" s="8" t="s">
        <v>149</v>
      </c>
      <c r="C110" s="12" t="n">
        <v>0.2</v>
      </c>
      <c r="D110" s="4" t="s">
        <v>37</v>
      </c>
      <c r="E110" s="4" t="s">
        <v>148</v>
      </c>
    </row>
    <row r="111" customFormat="false" ht="15" hidden="false" customHeight="false" outlineLevel="0" collapsed="false">
      <c r="B111" s="8" t="s">
        <v>150</v>
      </c>
      <c r="C111" s="10" t="n">
        <v>8</v>
      </c>
      <c r="D111" s="4" t="s">
        <v>28</v>
      </c>
      <c r="E111" s="4" t="s">
        <v>148</v>
      </c>
    </row>
    <row r="112" customFormat="false" ht="15" hidden="false" customHeight="false" outlineLevel="0" collapsed="false">
      <c r="B112" s="8" t="s">
        <v>151</v>
      </c>
      <c r="C112" s="10" t="n">
        <v>18</v>
      </c>
      <c r="D112" s="4" t="s">
        <v>152</v>
      </c>
      <c r="E112" s="4"/>
    </row>
    <row r="113" customFormat="false" ht="15" hidden="false" customHeight="false" outlineLevel="0" collapsed="false">
      <c r="B113" s="8" t="s">
        <v>153</v>
      </c>
      <c r="C113" s="10" t="n">
        <v>2</v>
      </c>
      <c r="D113" s="4" t="s">
        <v>152</v>
      </c>
      <c r="E113" s="4"/>
    </row>
    <row r="114" customFormat="false" ht="15" hidden="false" customHeight="false" outlineLevel="0" collapsed="false">
      <c r="B114" s="8" t="s">
        <v>154</v>
      </c>
      <c r="C114" s="14" t="n">
        <v>2</v>
      </c>
      <c r="D114" s="4" t="s">
        <v>155</v>
      </c>
      <c r="E114" s="4"/>
    </row>
    <row r="115" customFormat="false" ht="15" hidden="false" customHeight="false" outlineLevel="0" collapsed="false">
      <c r="B115" s="8" t="s">
        <v>156</v>
      </c>
      <c r="C115" s="10" t="n">
        <v>20</v>
      </c>
      <c r="D115" s="4" t="s">
        <v>28</v>
      </c>
      <c r="E115" s="4"/>
    </row>
    <row r="116" customFormat="false" ht="15" hidden="false" customHeight="false" outlineLevel="0" collapsed="false">
      <c r="B116" s="8" t="s">
        <v>157</v>
      </c>
      <c r="C116" s="12" t="n">
        <v>0.03</v>
      </c>
      <c r="D116" s="4" t="s">
        <v>37</v>
      </c>
      <c r="E116" s="4"/>
    </row>
    <row r="117" customFormat="false" ht="15" hidden="false" customHeight="false" outlineLevel="0" collapsed="false">
      <c r="B117" s="8" t="s">
        <v>158</v>
      </c>
      <c r="C117" s="9" t="n">
        <v>0.05</v>
      </c>
      <c r="D117" s="4" t="s">
        <v>25</v>
      </c>
      <c r="E117" s="4"/>
    </row>
    <row r="118" customFormat="false" ht="15" hidden="false" customHeight="false" outlineLevel="0" collapsed="false">
      <c r="B118" s="8" t="s">
        <v>159</v>
      </c>
      <c r="C118" s="10" t="n">
        <v>5</v>
      </c>
      <c r="D118" s="4" t="s">
        <v>28</v>
      </c>
      <c r="E118" s="4"/>
    </row>
    <row r="119" customFormat="false" ht="15" hidden="false" customHeight="false" outlineLevel="0" collapsed="false">
      <c r="B119" s="8" t="s">
        <v>160</v>
      </c>
      <c r="C119" s="14" t="n">
        <v>12</v>
      </c>
      <c r="D119" s="4" t="s">
        <v>60</v>
      </c>
      <c r="E119" s="4" t="s">
        <v>148</v>
      </c>
    </row>
    <row r="120" customFormat="false" ht="15" hidden="false" customHeight="false" outlineLevel="0" collapsed="false">
      <c r="B120" s="8" t="s">
        <v>161</v>
      </c>
      <c r="C120" s="14" t="n">
        <v>7</v>
      </c>
      <c r="D120" s="4" t="s">
        <v>60</v>
      </c>
      <c r="E120" s="4" t="s">
        <v>148</v>
      </c>
    </row>
    <row r="121" customFormat="false" ht="15" hidden="false" customHeight="false" outlineLevel="0" collapsed="false">
      <c r="B121" s="8" t="s">
        <v>162</v>
      </c>
      <c r="C121" s="14" t="n">
        <v>39</v>
      </c>
      <c r="D121" s="4" t="s">
        <v>60</v>
      </c>
      <c r="E121" s="4" t="s">
        <v>163</v>
      </c>
    </row>
    <row r="122" customFormat="false" ht="15" hidden="false" customHeight="false" outlineLevel="0" collapsed="false">
      <c r="B122" s="8" t="s">
        <v>164</v>
      </c>
      <c r="C122" s="12" t="n">
        <v>0.005</v>
      </c>
      <c r="D122" s="4" t="s">
        <v>37</v>
      </c>
      <c r="E122" s="4" t="s">
        <v>148</v>
      </c>
    </row>
    <row r="123" customFormat="false" ht="15" hidden="false" customHeight="false" outlineLevel="0" collapsed="false">
      <c r="B123" s="8" t="s">
        <v>165</v>
      </c>
      <c r="C123" s="12" t="n">
        <v>0.01</v>
      </c>
      <c r="D123" s="4" t="s">
        <v>37</v>
      </c>
      <c r="E123" s="4" t="s">
        <v>148</v>
      </c>
    </row>
    <row r="124" customFormat="false" ht="15" hidden="false" customHeight="false" outlineLevel="0" collapsed="false">
      <c r="B124" s="8" t="s">
        <v>166</v>
      </c>
      <c r="C124" s="12" t="n">
        <v>0.03</v>
      </c>
      <c r="D124" s="4" t="s">
        <v>37</v>
      </c>
      <c r="E124" s="4" t="s">
        <v>148</v>
      </c>
    </row>
    <row r="125" customFormat="false" ht="15" hidden="false" customHeight="false" outlineLevel="0" collapsed="false">
      <c r="B125" s="8" t="s">
        <v>167</v>
      </c>
      <c r="C125" s="12" t="n">
        <v>0.3</v>
      </c>
      <c r="D125" s="4" t="s">
        <v>37</v>
      </c>
      <c r="E125" s="4"/>
    </row>
    <row r="127" customFormat="false" ht="15" hidden="false" customHeight="false" outlineLevel="0" collapsed="false">
      <c r="B127" s="5" t="s">
        <v>168</v>
      </c>
      <c r="C127" s="16" t="n">
        <v>1</v>
      </c>
      <c r="D127" s="16" t="n">
        <v>2</v>
      </c>
      <c r="E127" s="16" t="n">
        <v>3</v>
      </c>
      <c r="F127" s="16" t="n">
        <v>4</v>
      </c>
      <c r="G127" s="16" t="n">
        <v>5</v>
      </c>
      <c r="H127" s="16" t="n">
        <v>6</v>
      </c>
      <c r="I127" s="16" t="n">
        <v>7</v>
      </c>
      <c r="J127" s="16" t="n">
        <v>8</v>
      </c>
      <c r="K127" s="16" t="n">
        <v>9</v>
      </c>
      <c r="L127" s="16" t="n">
        <v>10</v>
      </c>
      <c r="M127" s="16" t="n">
        <v>11</v>
      </c>
      <c r="N127" s="16" t="n">
        <v>12</v>
      </c>
      <c r="O127" s="16" t="n">
        <v>13</v>
      </c>
      <c r="P127" s="6"/>
      <c r="Q127" s="7" t="s">
        <v>89</v>
      </c>
    </row>
    <row r="128" customFormat="false" ht="15" hidden="false" customHeight="false" outlineLevel="0" collapsed="false">
      <c r="B128" s="8" t="s">
        <v>169</v>
      </c>
      <c r="C128" s="14" t="n">
        <v>1</v>
      </c>
      <c r="D128" s="14" t="n">
        <v>0</v>
      </c>
      <c r="E128" s="14" t="n">
        <v>0</v>
      </c>
      <c r="F128" s="14" t="n">
        <v>0</v>
      </c>
      <c r="G128" s="14" t="n">
        <v>0</v>
      </c>
      <c r="H128" s="14" t="n">
        <v>0</v>
      </c>
      <c r="I128" s="14" t="n">
        <v>0</v>
      </c>
      <c r="J128" s="14" t="n">
        <v>0</v>
      </c>
      <c r="K128" s="14" t="n">
        <v>0</v>
      </c>
      <c r="L128" s="14" t="n">
        <v>0</v>
      </c>
      <c r="M128" s="14" t="n">
        <v>0</v>
      </c>
      <c r="N128" s="14" t="n">
        <v>0</v>
      </c>
      <c r="O128" s="14" t="n">
        <v>0</v>
      </c>
      <c r="Q128" s="4" t="s">
        <v>170</v>
      </c>
    </row>
    <row r="130" customFormat="false" ht="15" hidden="false" customHeight="false" outlineLevel="0" collapsed="false">
      <c r="B130" s="2" t="s">
        <v>171</v>
      </c>
    </row>
    <row r="131" customFormat="false" ht="15" hidden="false" customHeight="false" outlineLevel="0" collapsed="false">
      <c r="B131" s="5" t="s">
        <v>20</v>
      </c>
      <c r="C131" s="6" t="s">
        <v>21</v>
      </c>
      <c r="D131" s="7" t="s">
        <v>22</v>
      </c>
      <c r="E131" s="7" t="s">
        <v>23</v>
      </c>
    </row>
    <row r="132" customFormat="false" ht="15" hidden="false" customHeight="false" outlineLevel="0" collapsed="false">
      <c r="B132" s="8" t="s">
        <v>172</v>
      </c>
      <c r="C132" s="10" t="n">
        <v>118</v>
      </c>
      <c r="D132" s="4" t="s">
        <v>28</v>
      </c>
      <c r="E132" s="4"/>
    </row>
    <row r="133" customFormat="false" ht="15" hidden="false" customHeight="false" outlineLevel="0" collapsed="false">
      <c r="B133" s="8" t="s">
        <v>173</v>
      </c>
      <c r="C133" s="12" t="n">
        <v>0.8</v>
      </c>
      <c r="D133" s="4" t="s">
        <v>37</v>
      </c>
      <c r="E133" s="4"/>
    </row>
    <row r="134" customFormat="false" ht="15" hidden="false" customHeight="false" outlineLevel="0" collapsed="false">
      <c r="B134" s="8" t="s">
        <v>174</v>
      </c>
      <c r="C134" s="10" t="n">
        <v>132</v>
      </c>
      <c r="D134" s="4" t="s">
        <v>28</v>
      </c>
      <c r="E134" s="4"/>
    </row>
    <row r="135" customFormat="false" ht="15" hidden="false" customHeight="false" outlineLevel="0" collapsed="false">
      <c r="B135" s="8" t="s">
        <v>175</v>
      </c>
      <c r="C135" s="12" t="n">
        <v>0.55</v>
      </c>
      <c r="D135" s="4" t="s">
        <v>37</v>
      </c>
      <c r="E135" s="4"/>
    </row>
    <row r="136" customFormat="false" ht="15" hidden="false" customHeight="false" outlineLevel="0" collapsed="false">
      <c r="B136" s="8" t="s">
        <v>176</v>
      </c>
      <c r="C136" s="10" t="n">
        <v>310</v>
      </c>
      <c r="D136" s="4" t="s">
        <v>28</v>
      </c>
      <c r="E136" s="4"/>
    </row>
    <row r="137" customFormat="false" ht="15" hidden="false" customHeight="false" outlineLevel="0" collapsed="false">
      <c r="B137" s="8" t="s">
        <v>177</v>
      </c>
      <c r="C137" s="12" t="n">
        <v>0.3</v>
      </c>
      <c r="D137" s="4" t="s">
        <v>37</v>
      </c>
      <c r="E137" s="4"/>
    </row>
    <row r="138" customFormat="false" ht="15" hidden="false" customHeight="false" outlineLevel="0" collapsed="false">
      <c r="B138" s="8" t="s">
        <v>178</v>
      </c>
      <c r="C138" s="10" t="n">
        <v>40</v>
      </c>
      <c r="D138" s="4" t="s">
        <v>28</v>
      </c>
      <c r="E138" s="4"/>
    </row>
    <row r="139" customFormat="false" ht="15" hidden="false" customHeight="false" outlineLevel="0" collapsed="false">
      <c r="B139" s="8" t="s">
        <v>179</v>
      </c>
      <c r="C139" s="10" t="n">
        <v>12</v>
      </c>
      <c r="D139" s="4" t="s">
        <v>28</v>
      </c>
      <c r="E139" s="4"/>
    </row>
    <row r="140" customFormat="false" ht="15" hidden="false" customHeight="false" outlineLevel="0" collapsed="false">
      <c r="B140" s="8" t="s">
        <v>180</v>
      </c>
      <c r="C140" s="10" t="n">
        <v>38</v>
      </c>
      <c r="D140" s="4" t="s">
        <v>28</v>
      </c>
      <c r="E140" s="4"/>
    </row>
    <row r="141" customFormat="false" ht="15" hidden="false" customHeight="false" outlineLevel="0" collapsed="false">
      <c r="B141" s="8" t="s">
        <v>181</v>
      </c>
      <c r="C141" s="12" t="n">
        <v>0.03</v>
      </c>
      <c r="D141" s="4" t="s">
        <v>37</v>
      </c>
      <c r="E141" s="4"/>
    </row>
    <row r="143" customFormat="false" ht="15" hidden="false" customHeight="false" outlineLevel="0" collapsed="false">
      <c r="B143" s="2" t="s">
        <v>182</v>
      </c>
    </row>
    <row r="144" customFormat="false" ht="15" hidden="false" customHeight="false" outlineLevel="0" collapsed="false">
      <c r="B144" s="5" t="s">
        <v>20</v>
      </c>
      <c r="C144" s="6" t="s">
        <v>21</v>
      </c>
      <c r="D144" s="7" t="s">
        <v>22</v>
      </c>
      <c r="E144" s="7" t="s">
        <v>23</v>
      </c>
    </row>
    <row r="145" customFormat="false" ht="15" hidden="false" customHeight="false" outlineLevel="0" collapsed="false">
      <c r="B145" s="8" t="s">
        <v>183</v>
      </c>
      <c r="C145" s="9" t="n">
        <v>0.045</v>
      </c>
      <c r="D145" s="4" t="s">
        <v>25</v>
      </c>
      <c r="E145" s="4"/>
    </row>
    <row r="146" customFormat="false" ht="15" hidden="false" customHeight="false" outlineLevel="0" collapsed="false">
      <c r="B146" s="8" t="s">
        <v>184</v>
      </c>
      <c r="C146" s="10" t="n">
        <v>75</v>
      </c>
      <c r="D146" s="4" t="s">
        <v>28</v>
      </c>
      <c r="E146" s="4" t="s">
        <v>185</v>
      </c>
    </row>
    <row r="147" customFormat="false" ht="15" hidden="false" customHeight="false" outlineLevel="0" collapsed="false">
      <c r="B147" s="8" t="s">
        <v>186</v>
      </c>
      <c r="C147" s="17" t="n">
        <v>3</v>
      </c>
      <c r="D147" s="4" t="s">
        <v>39</v>
      </c>
      <c r="E147" s="4"/>
    </row>
    <row r="148" customFormat="false" ht="15" hidden="false" customHeight="false" outlineLevel="0" collapsed="false">
      <c r="B148" s="8" t="s">
        <v>187</v>
      </c>
      <c r="C148" s="10" t="n">
        <v>5</v>
      </c>
      <c r="D148" s="4" t="s">
        <v>28</v>
      </c>
      <c r="E148" s="4"/>
    </row>
    <row r="149" customFormat="false" ht="15" hidden="false" customHeight="false" outlineLevel="0" collapsed="false">
      <c r="B149" s="8" t="s">
        <v>188</v>
      </c>
      <c r="C149" s="10" t="n">
        <v>50</v>
      </c>
      <c r="D149" s="4" t="s">
        <v>28</v>
      </c>
      <c r="E149" s="4"/>
    </row>
    <row r="150" customFormat="false" ht="15" hidden="false" customHeight="false" outlineLevel="0" collapsed="false">
      <c r="B150" s="8" t="s">
        <v>189</v>
      </c>
      <c r="C150" s="12" t="n">
        <v>0.25</v>
      </c>
      <c r="D150" s="4" t="s">
        <v>37</v>
      </c>
      <c r="E150" s="4"/>
    </row>
    <row r="151" customFormat="false" ht="15" hidden="false" customHeight="false" outlineLevel="0" collapsed="false">
      <c r="B151" s="8" t="s">
        <v>190</v>
      </c>
      <c r="C151" s="12" t="n">
        <v>0.1</v>
      </c>
      <c r="D151" s="4" t="s">
        <v>37</v>
      </c>
      <c r="E151" s="4"/>
    </row>
    <row r="152" customFormat="false" ht="15" hidden="false" customHeight="false" outlineLevel="0" collapsed="false">
      <c r="B152" s="8" t="s">
        <v>191</v>
      </c>
      <c r="C152" s="12" t="n">
        <v>0.08</v>
      </c>
      <c r="D152" s="4" t="s">
        <v>37</v>
      </c>
      <c r="E152" s="4"/>
    </row>
    <row r="153" customFormat="false" ht="15" hidden="false" customHeight="false" outlineLevel="0" collapsed="false">
      <c r="B153" s="8" t="s">
        <v>192</v>
      </c>
      <c r="C153" s="12" t="n">
        <v>0.1</v>
      </c>
      <c r="D153" s="4" t="s">
        <v>37</v>
      </c>
      <c r="E153" s="4"/>
    </row>
    <row r="154" customFormat="false" ht="15" hidden="false" customHeight="false" outlineLevel="0" collapsed="false">
      <c r="B154" s="8" t="s">
        <v>193</v>
      </c>
      <c r="C154" s="13" t="n">
        <v>3.5</v>
      </c>
      <c r="D154" s="4" t="s">
        <v>39</v>
      </c>
      <c r="E154" s="4"/>
    </row>
    <row r="155" customFormat="false" ht="15" hidden="false" customHeight="false" outlineLevel="0" collapsed="false">
      <c r="B155" s="8" t="s">
        <v>194</v>
      </c>
      <c r="C155" s="13" t="n">
        <v>1.75</v>
      </c>
      <c r="D155" s="4" t="s">
        <v>39</v>
      </c>
      <c r="E155" s="4"/>
    </row>
    <row r="156" customFormat="false" ht="15" hidden="false" customHeight="false" outlineLevel="0" collapsed="false">
      <c r="B156" s="8" t="s">
        <v>195</v>
      </c>
      <c r="C156" s="12" t="n">
        <v>0.08</v>
      </c>
      <c r="D156" s="4" t="s">
        <v>37</v>
      </c>
      <c r="E156" s="4"/>
    </row>
    <row r="158" customFormat="false" ht="15" hidden="false" customHeight="false" outlineLevel="0" collapsed="false">
      <c r="B158" s="2" t="s">
        <v>196</v>
      </c>
    </row>
    <row r="159" customFormat="false" ht="15" hidden="false" customHeight="false" outlineLevel="0" collapsed="false">
      <c r="B159" s="5" t="s">
        <v>20</v>
      </c>
      <c r="C159" s="6" t="s">
        <v>197</v>
      </c>
      <c r="D159" s="6" t="s">
        <v>198</v>
      </c>
      <c r="E159" s="7" t="s">
        <v>89</v>
      </c>
    </row>
    <row r="160" customFormat="false" ht="15" hidden="false" customHeight="false" outlineLevel="0" collapsed="false">
      <c r="B160" s="8" t="s">
        <v>199</v>
      </c>
      <c r="C160" s="14" t="n">
        <v>46</v>
      </c>
      <c r="D160" s="14" t="n">
        <v>210</v>
      </c>
      <c r="E160" s="4"/>
    </row>
    <row r="161" customFormat="false" ht="15" hidden="false" customHeight="false" outlineLevel="0" collapsed="false">
      <c r="B161" s="8" t="s">
        <v>200</v>
      </c>
      <c r="C161" s="14" t="n">
        <v>38</v>
      </c>
      <c r="D161" s="14" t="n">
        <v>121</v>
      </c>
      <c r="E161" s="4"/>
    </row>
    <row r="162" customFormat="false" ht="15" hidden="false" customHeight="false" outlineLevel="0" collapsed="false">
      <c r="B162" s="8" t="s">
        <v>201</v>
      </c>
      <c r="C162" s="10" t="n">
        <v>842</v>
      </c>
      <c r="D162" s="10" t="n">
        <v>431</v>
      </c>
      <c r="E162" s="4"/>
    </row>
    <row r="163" customFormat="false" ht="15" hidden="false" customHeight="false" outlineLevel="0" collapsed="false">
      <c r="B163" s="8" t="s">
        <v>202</v>
      </c>
      <c r="C163" s="14" t="n">
        <v>31</v>
      </c>
      <c r="D163" s="14" t="n">
        <v>74</v>
      </c>
      <c r="E163" s="4"/>
    </row>
    <row r="164" customFormat="false" ht="15" hidden="false" customHeight="false" outlineLevel="0" collapsed="false">
      <c r="B164" s="8" t="s">
        <v>203</v>
      </c>
      <c r="C164" s="10" t="n">
        <v>806</v>
      </c>
      <c r="D164" s="10" t="n">
        <v>180</v>
      </c>
      <c r="E164" s="4"/>
    </row>
    <row r="165" customFormat="false" ht="15" hidden="false" customHeight="false" outlineLevel="0" collapsed="false">
      <c r="B165" s="8" t="s">
        <v>204</v>
      </c>
      <c r="C165" s="12" t="n">
        <v>0.666666666666667</v>
      </c>
      <c r="D165" s="4" t="s">
        <v>37</v>
      </c>
      <c r="E165" s="4" t="s">
        <v>205</v>
      </c>
    </row>
    <row r="166" customFormat="false" ht="15" hidden="false" customHeight="false" outlineLevel="0" collapsed="false">
      <c r="B166" s="8" t="s">
        <v>206</v>
      </c>
      <c r="C166" s="12" t="n">
        <v>0.5</v>
      </c>
      <c r="D166" s="4" t="s">
        <v>37</v>
      </c>
      <c r="E166" s="4" t="s">
        <v>207</v>
      </c>
    </row>
    <row r="167" customFormat="false" ht="15" hidden="false" customHeight="false" outlineLevel="0" collapsed="false">
      <c r="B167" s="8" t="s">
        <v>208</v>
      </c>
      <c r="C167" s="12" t="n">
        <v>0.75</v>
      </c>
      <c r="D167" s="4" t="s">
        <v>37</v>
      </c>
      <c r="E167" s="4"/>
    </row>
    <row r="168" customFormat="false" ht="15" hidden="false" customHeight="false" outlineLevel="0" collapsed="false">
      <c r="B168" s="8" t="s">
        <v>209</v>
      </c>
      <c r="C168" s="10" t="n">
        <v>600</v>
      </c>
      <c r="D168" s="4" t="s">
        <v>28</v>
      </c>
      <c r="E168" s="4"/>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44"/>
    <col collapsed="false" customWidth="true" hidden="false" outlineLevel="0" max="7" min="3" style="0" width="11"/>
    <col collapsed="false" customWidth="true" hidden="false" outlineLevel="0" max="8" min="8" style="0" width="40"/>
    <col collapsed="false" customWidth="true" hidden="false" outlineLevel="0" max="39" min="9" style="0" width="11"/>
  </cols>
  <sheetData>
    <row r="1" customFormat="false" ht="6" hidden="false" customHeight="true" outlineLevel="0" collapsed="false"/>
    <row r="2" customFormat="false" ht="15" hidden="false" customHeight="false" outlineLevel="0" collapsed="false">
      <c r="B2" s="1" t="s">
        <v>210</v>
      </c>
    </row>
    <row r="3" customFormat="false" ht="15" hidden="false" customHeight="false" outlineLevel="0" collapsed="false">
      <c r="B3" s="4" t="s">
        <v>211</v>
      </c>
    </row>
    <row r="5" customFormat="false" ht="15" hidden="false" customHeight="false" outlineLevel="0" collapsed="false">
      <c r="B5" s="2" t="s">
        <v>212</v>
      </c>
    </row>
    <row r="6" customFormat="false" ht="15" hidden="false" customHeight="false" outlineLevel="0" collapsed="false">
      <c r="B6" s="5" t="s">
        <v>28</v>
      </c>
      <c r="C6" s="18" t="n">
        <v>1</v>
      </c>
      <c r="D6" s="18" t="n">
        <v>2</v>
      </c>
      <c r="E6" s="18" t="n">
        <v>3</v>
      </c>
      <c r="F6" s="18" t="n">
        <v>4</v>
      </c>
      <c r="G6" s="18" t="n">
        <v>5</v>
      </c>
      <c r="H6" s="7" t="s">
        <v>89</v>
      </c>
    </row>
    <row r="7" customFormat="false" ht="15" hidden="false" customHeight="false" outlineLevel="0" collapsed="false">
      <c r="B7" s="2" t="s">
        <v>213</v>
      </c>
      <c r="C7" s="19" t="n">
        <f aca="false">Inputs!C82</f>
        <v>150</v>
      </c>
      <c r="D7" s="19" t="n">
        <f aca="false">Inputs!D82</f>
        <v>172</v>
      </c>
      <c r="E7" s="19" t="n">
        <f aca="false">Inputs!E82</f>
        <v>190</v>
      </c>
      <c r="F7" s="19" t="n">
        <f aca="false">Inputs!F82</f>
        <v>204</v>
      </c>
      <c r="G7" s="19" t="n">
        <f aca="false">Inputs!G82</f>
        <v>214</v>
      </c>
    </row>
    <row r="8" customFormat="false" ht="15" hidden="false" customHeight="false" outlineLevel="0" collapsed="false">
      <c r="B8" s="8" t="s">
        <v>214</v>
      </c>
      <c r="C8" s="20" t="n">
        <f aca="false">Inputs!C85</f>
        <v>0.135</v>
      </c>
      <c r="D8" s="20" t="n">
        <f aca="false">Inputs!D85</f>
        <v>0.148</v>
      </c>
      <c r="E8" s="20" t="n">
        <f aca="false">Inputs!E85</f>
        <v>0.157</v>
      </c>
      <c r="F8" s="20" t="n">
        <f aca="false">Inputs!F85</f>
        <v>0.162</v>
      </c>
      <c r="G8" s="20" t="n">
        <f aca="false">Inputs!G85</f>
        <v>0.164</v>
      </c>
    </row>
    <row r="9" customFormat="false" ht="15" hidden="false" customHeight="false" outlineLevel="0" collapsed="false">
      <c r="B9" s="8" t="s">
        <v>215</v>
      </c>
      <c r="C9" s="21" t="n">
        <f aca="false">C7/C8</f>
        <v>1111.11111111111</v>
      </c>
      <c r="D9" s="21" t="n">
        <f aca="false">D7/D8</f>
        <v>1162.16216216216</v>
      </c>
      <c r="E9" s="21" t="n">
        <f aca="false">E7/E8</f>
        <v>1210.19108280255</v>
      </c>
      <c r="F9" s="21" t="n">
        <f aca="false">F7/F8</f>
        <v>1259.25925925926</v>
      </c>
      <c r="G9" s="21" t="n">
        <f aca="false">G7/G8</f>
        <v>1304.87804878049</v>
      </c>
    </row>
    <row r="10" customFormat="false" ht="15" hidden="false" customHeight="false" outlineLevel="0" collapsed="false">
      <c r="B10" s="22" t="s">
        <v>216</v>
      </c>
      <c r="C10" s="21" t="n">
        <f aca="false">Inputs!$C$69</f>
        <v>1050</v>
      </c>
      <c r="D10" s="21" t="n">
        <f aca="false">C9</f>
        <v>1111.11111111111</v>
      </c>
      <c r="E10" s="21" t="n">
        <f aca="false">D9</f>
        <v>1162.16216216216</v>
      </c>
      <c r="F10" s="21" t="n">
        <f aca="false">E9</f>
        <v>1210.19108280255</v>
      </c>
      <c r="G10" s="21" t="n">
        <f aca="false">F9</f>
        <v>1259.25925925926</v>
      </c>
    </row>
    <row r="11" customFormat="false" ht="15" hidden="false" customHeight="false" outlineLevel="0" collapsed="false">
      <c r="B11" s="22" t="s">
        <v>112</v>
      </c>
      <c r="C11" s="21" t="n">
        <f aca="false">Inputs!$C$70</f>
        <v>45</v>
      </c>
      <c r="D11" s="21" t="n">
        <f aca="false">Inputs!$C$70</f>
        <v>45</v>
      </c>
      <c r="E11" s="21" t="n">
        <f aca="false">Inputs!$C$70</f>
        <v>45</v>
      </c>
      <c r="F11" s="21" t="n">
        <f aca="false">Inputs!$C$70</f>
        <v>45</v>
      </c>
      <c r="G11" s="21" t="n">
        <f aca="false">Inputs!$C$70</f>
        <v>45</v>
      </c>
    </row>
    <row r="12" customFormat="false" ht="15" hidden="false" customHeight="false" outlineLevel="0" collapsed="false">
      <c r="B12" s="8" t="s">
        <v>217</v>
      </c>
      <c r="C12" s="21" t="n">
        <f aca="false">C7-C11</f>
        <v>105</v>
      </c>
      <c r="D12" s="21" t="n">
        <f aca="false">D7-D11</f>
        <v>127</v>
      </c>
      <c r="E12" s="21" t="n">
        <f aca="false">E7-E11</f>
        <v>145</v>
      </c>
      <c r="F12" s="21" t="n">
        <f aca="false">F7-F11</f>
        <v>159</v>
      </c>
      <c r="G12" s="21" t="n">
        <f aca="false">G7-G11</f>
        <v>169</v>
      </c>
    </row>
    <row r="13" customFormat="false" ht="15" hidden="false" customHeight="false" outlineLevel="0" collapsed="false">
      <c r="B13" s="22" t="s">
        <v>218</v>
      </c>
      <c r="C13" s="21" t="n">
        <f aca="false">MAX(0,C12)*Inputs!$C$71</f>
        <v>26.25</v>
      </c>
      <c r="D13" s="21" t="n">
        <f aca="false">MAX(0,D12)*Inputs!$C$71</f>
        <v>31.75</v>
      </c>
      <c r="E13" s="21" t="n">
        <f aca="false">MAX(0,E12)*Inputs!$C$71</f>
        <v>36.25</v>
      </c>
      <c r="F13" s="21" t="n">
        <f aca="false">MAX(0,F12)*Inputs!$C$71</f>
        <v>39.75</v>
      </c>
      <c r="G13" s="21" t="n">
        <f aca="false">MAX(0,G12)*Inputs!$C$71</f>
        <v>42.25</v>
      </c>
    </row>
    <row r="14" customFormat="false" ht="15" hidden="false" customHeight="false" outlineLevel="0" collapsed="false">
      <c r="B14" s="22" t="s">
        <v>219</v>
      </c>
      <c r="C14" s="21" t="n">
        <f aca="false">Inputs!$C$72*(C9-C10)</f>
        <v>7.33333333333333</v>
      </c>
      <c r="D14" s="21" t="n">
        <f aca="false">Inputs!$C$72*(D9-D10)</f>
        <v>6.12612612612615</v>
      </c>
      <c r="E14" s="21" t="n">
        <f aca="false">Inputs!$C$72*(E9-E10)</f>
        <v>5.76347047684625</v>
      </c>
      <c r="F14" s="21" t="n">
        <f aca="false">Inputs!$C$72*(F9-F10)</f>
        <v>5.88818117480537</v>
      </c>
      <c r="G14" s="21" t="n">
        <f aca="false">Inputs!$C$72*(G9-G10)</f>
        <v>5.47425474254743</v>
      </c>
    </row>
    <row r="15" customFormat="false" ht="15" hidden="false" customHeight="false" outlineLevel="0" collapsed="false">
      <c r="B15" s="22" t="s">
        <v>220</v>
      </c>
      <c r="C15" s="21" t="n">
        <f aca="false">Inputs!$C$73</f>
        <v>40</v>
      </c>
      <c r="D15" s="21" t="n">
        <f aca="false">Inputs!$C$73</f>
        <v>40</v>
      </c>
      <c r="E15" s="21" t="n">
        <f aca="false">Inputs!$C$73</f>
        <v>40</v>
      </c>
      <c r="F15" s="21" t="n">
        <f aca="false">Inputs!$C$73</f>
        <v>40</v>
      </c>
      <c r="G15" s="21" t="n">
        <f aca="false">Inputs!$C$73</f>
        <v>40</v>
      </c>
    </row>
    <row r="16" customFormat="false" ht="15" hidden="false" customHeight="false" outlineLevel="0" collapsed="false">
      <c r="B16" s="23" t="s">
        <v>221</v>
      </c>
      <c r="C16" s="24" t="n">
        <f aca="false">C7-C15-C13-C14</f>
        <v>76.4166666666667</v>
      </c>
      <c r="D16" s="24" t="n">
        <f aca="false">D7-D15-D13-D14</f>
        <v>94.1238738738739</v>
      </c>
      <c r="E16" s="24" t="n">
        <f aca="false">E7-E15-E13-E14</f>
        <v>107.986529523154</v>
      </c>
      <c r="F16" s="24" t="n">
        <f aca="false">F7-F15-F13-F14</f>
        <v>118.361818825195</v>
      </c>
      <c r="G16" s="24" t="n">
        <f aca="false">G7-G15-G13-G14</f>
        <v>126.275745257453</v>
      </c>
      <c r="H16" s="25"/>
    </row>
    <row r="18" customFormat="false" ht="15" hidden="false" customHeight="false" outlineLevel="0" collapsed="false">
      <c r="B18" s="2" t="s">
        <v>222</v>
      </c>
    </row>
    <row r="19" customFormat="false" ht="15" hidden="false" customHeight="false" outlineLevel="0" collapsed="false">
      <c r="B19" s="5" t="s">
        <v>28</v>
      </c>
      <c r="C19" s="18" t="n">
        <v>1</v>
      </c>
      <c r="D19" s="18" t="n">
        <v>2</v>
      </c>
      <c r="E19" s="18" t="n">
        <v>3</v>
      </c>
      <c r="F19" s="18" t="n">
        <v>4</v>
      </c>
      <c r="G19" s="18" t="n">
        <v>5</v>
      </c>
      <c r="H19" s="7" t="s">
        <v>89</v>
      </c>
    </row>
    <row r="20" customFormat="false" ht="15" hidden="false" customHeight="false" outlineLevel="0" collapsed="false">
      <c r="B20" s="2" t="s">
        <v>213</v>
      </c>
      <c r="C20" s="19" t="n">
        <f aca="false">Inputs!C83</f>
        <v>138</v>
      </c>
      <c r="D20" s="19" t="n">
        <f aca="false">Inputs!D83</f>
        <v>146</v>
      </c>
      <c r="E20" s="19" t="n">
        <f aca="false">Inputs!E83</f>
        <v>154</v>
      </c>
      <c r="F20" s="19" t="n">
        <f aca="false">Inputs!F83</f>
        <v>161</v>
      </c>
      <c r="G20" s="19" t="n">
        <f aca="false">Inputs!G83</f>
        <v>167</v>
      </c>
    </row>
    <row r="21" customFormat="false" ht="15" hidden="false" customHeight="false" outlineLevel="0" collapsed="false">
      <c r="B21" s="8" t="s">
        <v>214</v>
      </c>
      <c r="C21" s="20" t="n">
        <f aca="false">Inputs!C86</f>
        <v>0.13</v>
      </c>
      <c r="D21" s="20" t="n">
        <f aca="false">Inputs!D86</f>
        <v>0.134</v>
      </c>
      <c r="E21" s="20" t="n">
        <f aca="false">Inputs!E86</f>
        <v>0.138</v>
      </c>
      <c r="F21" s="20" t="n">
        <f aca="false">Inputs!F86</f>
        <v>0.141</v>
      </c>
      <c r="G21" s="20" t="n">
        <f aca="false">Inputs!G86</f>
        <v>0.143</v>
      </c>
    </row>
    <row r="22" customFormat="false" ht="15" hidden="false" customHeight="false" outlineLevel="0" collapsed="false">
      <c r="B22" s="8" t="s">
        <v>215</v>
      </c>
      <c r="C22" s="21" t="n">
        <f aca="false">C20/C21</f>
        <v>1061.53846153846</v>
      </c>
      <c r="D22" s="21" t="n">
        <f aca="false">D20/D21</f>
        <v>1089.55223880597</v>
      </c>
      <c r="E22" s="21" t="n">
        <f aca="false">E20/E21</f>
        <v>1115.94202898551</v>
      </c>
      <c r="F22" s="21" t="n">
        <f aca="false">F20/F21</f>
        <v>1141.84397163121</v>
      </c>
      <c r="G22" s="21" t="n">
        <f aca="false">G20/G21</f>
        <v>1167.83216783217</v>
      </c>
    </row>
    <row r="23" customFormat="false" ht="15" hidden="false" customHeight="false" outlineLevel="0" collapsed="false">
      <c r="B23" s="22" t="s">
        <v>216</v>
      </c>
      <c r="C23" s="21" t="n">
        <f aca="false">Inputs!$C$69</f>
        <v>1050</v>
      </c>
      <c r="D23" s="21" t="n">
        <f aca="false">C22</f>
        <v>1061.53846153846</v>
      </c>
      <c r="E23" s="21" t="n">
        <f aca="false">D22</f>
        <v>1089.55223880597</v>
      </c>
      <c r="F23" s="21" t="n">
        <f aca="false">E22</f>
        <v>1115.94202898551</v>
      </c>
      <c r="G23" s="21" t="n">
        <f aca="false">F22</f>
        <v>1141.84397163121</v>
      </c>
    </row>
    <row r="24" customFormat="false" ht="15" hidden="false" customHeight="false" outlineLevel="0" collapsed="false">
      <c r="B24" s="22" t="s">
        <v>112</v>
      </c>
      <c r="C24" s="21" t="n">
        <f aca="false">Inputs!$C$70</f>
        <v>45</v>
      </c>
      <c r="D24" s="21" t="n">
        <f aca="false">Inputs!$C$70</f>
        <v>45</v>
      </c>
      <c r="E24" s="21" t="n">
        <f aca="false">Inputs!$C$70</f>
        <v>45</v>
      </c>
      <c r="F24" s="21" t="n">
        <f aca="false">Inputs!$C$70</f>
        <v>45</v>
      </c>
      <c r="G24" s="21" t="n">
        <f aca="false">Inputs!$C$70</f>
        <v>45</v>
      </c>
    </row>
    <row r="25" customFormat="false" ht="15" hidden="false" customHeight="false" outlineLevel="0" collapsed="false">
      <c r="B25" s="8" t="s">
        <v>217</v>
      </c>
      <c r="C25" s="21" t="n">
        <f aca="false">C20-C24</f>
        <v>93</v>
      </c>
      <c r="D25" s="21" t="n">
        <f aca="false">D20-D24</f>
        <v>101</v>
      </c>
      <c r="E25" s="21" t="n">
        <f aca="false">E20-E24</f>
        <v>109</v>
      </c>
      <c r="F25" s="21" t="n">
        <f aca="false">F20-F24</f>
        <v>116</v>
      </c>
      <c r="G25" s="21" t="n">
        <f aca="false">G20-G24</f>
        <v>122</v>
      </c>
    </row>
    <row r="26" customFormat="false" ht="15" hidden="false" customHeight="false" outlineLevel="0" collapsed="false">
      <c r="B26" s="22" t="s">
        <v>218</v>
      </c>
      <c r="C26" s="21" t="n">
        <f aca="false">MAX(0,C25)*Inputs!$C$71</f>
        <v>23.25</v>
      </c>
      <c r="D26" s="21" t="n">
        <f aca="false">MAX(0,D25)*Inputs!$C$71</f>
        <v>25.25</v>
      </c>
      <c r="E26" s="21" t="n">
        <f aca="false">MAX(0,E25)*Inputs!$C$71</f>
        <v>27.25</v>
      </c>
      <c r="F26" s="21" t="n">
        <f aca="false">MAX(0,F25)*Inputs!$C$71</f>
        <v>29</v>
      </c>
      <c r="G26" s="21" t="n">
        <f aca="false">MAX(0,G25)*Inputs!$C$71</f>
        <v>30.5</v>
      </c>
    </row>
    <row r="27" customFormat="false" ht="15" hidden="false" customHeight="false" outlineLevel="0" collapsed="false">
      <c r="B27" s="22" t="s">
        <v>219</v>
      </c>
      <c r="C27" s="21" t="n">
        <f aca="false">Inputs!$C$72*(C22-C23)</f>
        <v>1.38461538461537</v>
      </c>
      <c r="D27" s="21" t="n">
        <f aca="false">Inputs!$C$72*(D22-D23)</f>
        <v>3.36165327210104</v>
      </c>
      <c r="E27" s="21" t="n">
        <f aca="false">Inputs!$C$72*(E22-E23)</f>
        <v>3.16677482154446</v>
      </c>
      <c r="F27" s="21" t="n">
        <f aca="false">Inputs!$C$72*(F22-F23)</f>
        <v>3.10823311748381</v>
      </c>
      <c r="G27" s="21" t="n">
        <f aca="false">Inputs!$C$72*(G22-G23)</f>
        <v>3.11858354411546</v>
      </c>
    </row>
    <row r="28" customFormat="false" ht="15" hidden="false" customHeight="false" outlineLevel="0" collapsed="false">
      <c r="B28" s="22" t="s">
        <v>220</v>
      </c>
      <c r="C28" s="21" t="n">
        <f aca="false">Inputs!$C$73</f>
        <v>40</v>
      </c>
      <c r="D28" s="21" t="n">
        <f aca="false">Inputs!$C$73</f>
        <v>40</v>
      </c>
      <c r="E28" s="21" t="n">
        <f aca="false">Inputs!$C$73</f>
        <v>40</v>
      </c>
      <c r="F28" s="21" t="n">
        <f aca="false">Inputs!$C$73</f>
        <v>40</v>
      </c>
      <c r="G28" s="21" t="n">
        <f aca="false">Inputs!$C$73</f>
        <v>40</v>
      </c>
    </row>
    <row r="29" customFormat="false" ht="15" hidden="false" customHeight="false" outlineLevel="0" collapsed="false">
      <c r="B29" s="23" t="s">
        <v>221</v>
      </c>
      <c r="C29" s="24" t="n">
        <f aca="false">C20-C28-C26-C27</f>
        <v>73.3653846153846</v>
      </c>
      <c r="D29" s="24" t="n">
        <f aca="false">D20-D28-D26-D27</f>
        <v>77.388346727899</v>
      </c>
      <c r="E29" s="24" t="n">
        <f aca="false">E20-E28-E26-E27</f>
        <v>83.5832251784555</v>
      </c>
      <c r="F29" s="24" t="n">
        <f aca="false">F20-F28-F26-F27</f>
        <v>88.8917668825162</v>
      </c>
      <c r="G29" s="24" t="n">
        <f aca="false">G20-G28-G26-G27</f>
        <v>93.3814164558845</v>
      </c>
      <c r="H29" s="25"/>
    </row>
    <row r="31" customFormat="false" ht="15" hidden="false" customHeight="false" outlineLevel="0" collapsed="false">
      <c r="B31" s="2" t="s">
        <v>223</v>
      </c>
    </row>
    <row r="32" customFormat="false" ht="15" hidden="false" customHeight="false" outlineLevel="0" collapsed="false">
      <c r="B32" s="5" t="s">
        <v>28</v>
      </c>
      <c r="C32" s="18" t="n">
        <v>1</v>
      </c>
      <c r="D32" s="18" t="n">
        <v>2</v>
      </c>
      <c r="E32" s="18" t="n">
        <v>3</v>
      </c>
      <c r="F32" s="18" t="n">
        <v>4</v>
      </c>
      <c r="G32" s="18" t="n">
        <v>5</v>
      </c>
      <c r="H32" s="7" t="s">
        <v>89</v>
      </c>
    </row>
    <row r="33" customFormat="false" ht="15" hidden="false" customHeight="false" outlineLevel="0" collapsed="false">
      <c r="B33" s="2" t="s">
        <v>213</v>
      </c>
      <c r="C33" s="19" t="n">
        <f aca="false">Inputs!C84</f>
        <v>120</v>
      </c>
      <c r="D33" s="19" t="n">
        <f aca="false">Inputs!D84</f>
        <v>124</v>
      </c>
      <c r="E33" s="19" t="n">
        <f aca="false">Inputs!E84</f>
        <v>130</v>
      </c>
      <c r="F33" s="19" t="n">
        <f aca="false">Inputs!F84</f>
        <v>136</v>
      </c>
      <c r="G33" s="19" t="n">
        <f aca="false">Inputs!G84</f>
        <v>140</v>
      </c>
    </row>
    <row r="34" customFormat="false" ht="15" hidden="false" customHeight="false" outlineLevel="0" collapsed="false">
      <c r="B34" s="8" t="s">
        <v>214</v>
      </c>
      <c r="C34" s="20" t="n">
        <f aca="false">Inputs!C87</f>
        <v>0.12</v>
      </c>
      <c r="D34" s="20" t="n">
        <f aca="false">Inputs!D87</f>
        <v>0.121</v>
      </c>
      <c r="E34" s="20" t="n">
        <f aca="false">Inputs!E87</f>
        <v>0.124</v>
      </c>
      <c r="F34" s="20" t="n">
        <f aca="false">Inputs!F87</f>
        <v>0.127</v>
      </c>
      <c r="G34" s="20" t="n">
        <f aca="false">Inputs!G87</f>
        <v>0.129</v>
      </c>
    </row>
    <row r="35" customFormat="false" ht="15" hidden="false" customHeight="false" outlineLevel="0" collapsed="false">
      <c r="B35" s="8" t="s">
        <v>215</v>
      </c>
      <c r="C35" s="21" t="n">
        <f aca="false">C33/C34</f>
        <v>1000</v>
      </c>
      <c r="D35" s="21" t="n">
        <f aca="false">D33/D34</f>
        <v>1024.79338842975</v>
      </c>
      <c r="E35" s="21" t="n">
        <f aca="false">E33/E34</f>
        <v>1048.38709677419</v>
      </c>
      <c r="F35" s="21" t="n">
        <f aca="false">F33/F34</f>
        <v>1070.86614173228</v>
      </c>
      <c r="G35" s="21" t="n">
        <f aca="false">G33/G34</f>
        <v>1085.27131782946</v>
      </c>
    </row>
    <row r="36" customFormat="false" ht="15" hidden="false" customHeight="false" outlineLevel="0" collapsed="false">
      <c r="B36" s="22" t="s">
        <v>216</v>
      </c>
      <c r="C36" s="21" t="n">
        <f aca="false">Inputs!$C$69</f>
        <v>1050</v>
      </c>
      <c r="D36" s="21" t="n">
        <f aca="false">C35</f>
        <v>1000</v>
      </c>
      <c r="E36" s="21" t="n">
        <f aca="false">D35</f>
        <v>1024.79338842975</v>
      </c>
      <c r="F36" s="21" t="n">
        <f aca="false">E35</f>
        <v>1048.38709677419</v>
      </c>
      <c r="G36" s="21" t="n">
        <f aca="false">F35</f>
        <v>1070.86614173228</v>
      </c>
    </row>
    <row r="37" customFormat="false" ht="15" hidden="false" customHeight="false" outlineLevel="0" collapsed="false">
      <c r="B37" s="22" t="s">
        <v>112</v>
      </c>
      <c r="C37" s="21" t="n">
        <f aca="false">Inputs!$C$70</f>
        <v>45</v>
      </c>
      <c r="D37" s="21" t="n">
        <f aca="false">Inputs!$C$70</f>
        <v>45</v>
      </c>
      <c r="E37" s="21" t="n">
        <f aca="false">Inputs!$C$70</f>
        <v>45</v>
      </c>
      <c r="F37" s="21" t="n">
        <f aca="false">Inputs!$C$70</f>
        <v>45</v>
      </c>
      <c r="G37" s="21" t="n">
        <f aca="false">Inputs!$C$70</f>
        <v>45</v>
      </c>
    </row>
    <row r="38" customFormat="false" ht="15" hidden="false" customHeight="false" outlineLevel="0" collapsed="false">
      <c r="B38" s="8" t="s">
        <v>217</v>
      </c>
      <c r="C38" s="21" t="n">
        <f aca="false">C33-C37</f>
        <v>75</v>
      </c>
      <c r="D38" s="21" t="n">
        <f aca="false">D33-D37</f>
        <v>79</v>
      </c>
      <c r="E38" s="21" t="n">
        <f aca="false">E33-E37</f>
        <v>85</v>
      </c>
      <c r="F38" s="21" t="n">
        <f aca="false">F33-F37</f>
        <v>91</v>
      </c>
      <c r="G38" s="21" t="n">
        <f aca="false">G33-G37</f>
        <v>95</v>
      </c>
    </row>
    <row r="39" customFormat="false" ht="15" hidden="false" customHeight="false" outlineLevel="0" collapsed="false">
      <c r="B39" s="22" t="s">
        <v>218</v>
      </c>
      <c r="C39" s="21" t="n">
        <f aca="false">MAX(0,C38)*Inputs!$C$71</f>
        <v>18.75</v>
      </c>
      <c r="D39" s="21" t="n">
        <f aca="false">MAX(0,D38)*Inputs!$C$71</f>
        <v>19.75</v>
      </c>
      <c r="E39" s="21" t="n">
        <f aca="false">MAX(0,E38)*Inputs!$C$71</f>
        <v>21.25</v>
      </c>
      <c r="F39" s="21" t="n">
        <f aca="false">MAX(0,F38)*Inputs!$C$71</f>
        <v>22.75</v>
      </c>
      <c r="G39" s="21" t="n">
        <f aca="false">MAX(0,G38)*Inputs!$C$71</f>
        <v>23.75</v>
      </c>
    </row>
    <row r="40" customFormat="false" ht="15" hidden="false" customHeight="false" outlineLevel="0" collapsed="false">
      <c r="B40" s="22" t="s">
        <v>219</v>
      </c>
      <c r="C40" s="21" t="n">
        <f aca="false">Inputs!$C$72*(C35-C36)</f>
        <v>-6</v>
      </c>
      <c r="D40" s="21" t="n">
        <f aca="false">Inputs!$C$72*(D35-D36)</f>
        <v>2.97520661157024</v>
      </c>
      <c r="E40" s="21" t="n">
        <f aca="false">Inputs!$C$72*(E35-E36)</f>
        <v>2.831245001333</v>
      </c>
      <c r="F40" s="21" t="n">
        <f aca="false">Inputs!$C$72*(F35-F36)</f>
        <v>2.69748539497078</v>
      </c>
      <c r="G40" s="21" t="n">
        <f aca="false">Inputs!$C$72*(G35-G36)</f>
        <v>1.72862113166086</v>
      </c>
    </row>
    <row r="41" customFormat="false" ht="15" hidden="false" customHeight="false" outlineLevel="0" collapsed="false">
      <c r="B41" s="22" t="s">
        <v>220</v>
      </c>
      <c r="C41" s="21" t="n">
        <f aca="false">Inputs!$C$73</f>
        <v>40</v>
      </c>
      <c r="D41" s="21" t="n">
        <f aca="false">Inputs!$C$73</f>
        <v>40</v>
      </c>
      <c r="E41" s="21" t="n">
        <f aca="false">Inputs!$C$73</f>
        <v>40</v>
      </c>
      <c r="F41" s="21" t="n">
        <f aca="false">Inputs!$C$73</f>
        <v>40</v>
      </c>
      <c r="G41" s="21" t="n">
        <f aca="false">Inputs!$C$73</f>
        <v>40</v>
      </c>
    </row>
    <row r="42" customFormat="false" ht="15" hidden="false" customHeight="false" outlineLevel="0" collapsed="false">
      <c r="B42" s="23" t="s">
        <v>221</v>
      </c>
      <c r="C42" s="24" t="n">
        <f aca="false">C33-C41-C39-C40</f>
        <v>67.25</v>
      </c>
      <c r="D42" s="24" t="n">
        <f aca="false">D33-D41-D39-D40</f>
        <v>61.2747933884298</v>
      </c>
      <c r="E42" s="24" t="n">
        <f aca="false">E33-E41-E39-E40</f>
        <v>65.918754998667</v>
      </c>
      <c r="F42" s="24" t="n">
        <f aca="false">F33-F41-F39-F40</f>
        <v>70.5525146050292</v>
      </c>
      <c r="G42" s="24" t="n">
        <f aca="false">G33-G41-G39-G40</f>
        <v>74.5213788683391</v>
      </c>
      <c r="H42" s="25"/>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44"/>
    <col collapsed="false" customWidth="true" hidden="false" outlineLevel="0" max="7" min="3" style="0" width="11"/>
    <col collapsed="false" customWidth="true" hidden="false" outlineLevel="0" max="8" min="8" style="0" width="44"/>
    <col collapsed="false" customWidth="true" hidden="false" outlineLevel="0" max="39" min="9" style="0" width="11"/>
  </cols>
  <sheetData>
    <row r="1" customFormat="false" ht="6" hidden="false" customHeight="true" outlineLevel="0" collapsed="false"/>
    <row r="2" customFormat="false" ht="15" hidden="false" customHeight="false" outlineLevel="0" collapsed="false">
      <c r="B2" s="1" t="s">
        <v>224</v>
      </c>
    </row>
    <row r="3" customFormat="false" ht="15" hidden="false" customHeight="false" outlineLevel="0" collapsed="false">
      <c r="B3" s="4" t="s">
        <v>225</v>
      </c>
    </row>
    <row r="5" customFormat="false" ht="15" hidden="false" customHeight="false" outlineLevel="0" collapsed="false">
      <c r="B5" s="2" t="s">
        <v>226</v>
      </c>
    </row>
    <row r="6" customFormat="false" ht="15" hidden="false" customHeight="false" outlineLevel="0" collapsed="false">
      <c r="B6" s="5"/>
      <c r="C6" s="18" t="n">
        <v>1</v>
      </c>
      <c r="D6" s="18" t="n">
        <v>2</v>
      </c>
      <c r="E6" s="18" t="n">
        <v>3</v>
      </c>
      <c r="F6" s="18" t="n">
        <v>4</v>
      </c>
      <c r="G6" s="18" t="n">
        <v>5</v>
      </c>
      <c r="H6" s="7" t="s">
        <v>89</v>
      </c>
    </row>
    <row r="7" customFormat="false" ht="15" hidden="false" customHeight="false" outlineLevel="0" collapsed="false">
      <c r="B7" s="8" t="s">
        <v>227</v>
      </c>
      <c r="C7" s="26" t="n">
        <v>1</v>
      </c>
      <c r="D7" s="26" t="n">
        <v>2</v>
      </c>
      <c r="E7" s="26" t="n">
        <v>3</v>
      </c>
      <c r="F7" s="26" t="n">
        <v>4</v>
      </c>
      <c r="G7" s="26" t="n">
        <v>5</v>
      </c>
    </row>
    <row r="8" customFormat="false" ht="15" hidden="false" customHeight="false" outlineLevel="0" collapsed="false">
      <c r="B8" s="8" t="s">
        <v>228</v>
      </c>
      <c r="C8" s="27" t="n">
        <f aca="false">C7-0.5</f>
        <v>0.5</v>
      </c>
      <c r="D8" s="27" t="n">
        <f aca="false">D7-0.5</f>
        <v>1.5</v>
      </c>
      <c r="E8" s="27" t="n">
        <f aca="false">E7-0.5</f>
        <v>2.5</v>
      </c>
      <c r="F8" s="27" t="n">
        <f aca="false">F7-0.5</f>
        <v>3.5</v>
      </c>
      <c r="G8" s="27" t="n">
        <f aca="false">G7-0.5</f>
        <v>4.5</v>
      </c>
    </row>
    <row r="9" customFormat="false" ht="15" hidden="false" customHeight="false" outlineLevel="0" collapsed="false">
      <c r="B9" s="8" t="s">
        <v>229</v>
      </c>
      <c r="C9" s="28" t="n">
        <f aca="false">1/(1+Inputs!$C$74)^C8</f>
        <v>0.949157995752499</v>
      </c>
      <c r="D9" s="28" t="n">
        <f aca="false">1/(1+Inputs!$C$74)^D8</f>
        <v>0.85509729347072</v>
      </c>
      <c r="E9" s="28" t="n">
        <f aca="false">1/(1+Inputs!$C$74)^E8</f>
        <v>0.770357922045693</v>
      </c>
      <c r="F9" s="28" t="n">
        <f aca="false">1/(1+Inputs!$C$74)^F8</f>
        <v>0.694016145987111</v>
      </c>
      <c r="G9" s="28" t="n">
        <f aca="false">1/(1+Inputs!$C$74)^G8</f>
        <v>0.62523977115956</v>
      </c>
    </row>
    <row r="11" customFormat="false" ht="15" hidden="false" customHeight="false" outlineLevel="0" collapsed="false">
      <c r="B11" s="2" t="s">
        <v>212</v>
      </c>
    </row>
    <row r="12" customFormat="false" ht="15" hidden="false" customHeight="false" outlineLevel="0" collapsed="false">
      <c r="B12" s="5" t="s">
        <v>28</v>
      </c>
      <c r="C12" s="18" t="n">
        <v>1</v>
      </c>
      <c r="D12" s="18" t="n">
        <v>2</v>
      </c>
      <c r="E12" s="18" t="n">
        <v>3</v>
      </c>
      <c r="F12" s="18" t="n">
        <v>4</v>
      </c>
      <c r="G12" s="18" t="n">
        <v>5</v>
      </c>
      <c r="H12" s="7" t="s">
        <v>89</v>
      </c>
    </row>
    <row r="13" customFormat="false" ht="15" hidden="false" customHeight="false" outlineLevel="0" collapsed="false">
      <c r="B13" s="8" t="s">
        <v>221</v>
      </c>
      <c r="C13" s="21" t="n">
        <f aca="false">Cases!C16</f>
        <v>76.4166666666667</v>
      </c>
      <c r="D13" s="21" t="n">
        <f aca="false">Cases!D16</f>
        <v>94.1238738738739</v>
      </c>
      <c r="E13" s="21" t="n">
        <f aca="false">Cases!E16</f>
        <v>107.986529523154</v>
      </c>
      <c r="F13" s="21" t="n">
        <f aca="false">Cases!F16</f>
        <v>118.361818825195</v>
      </c>
      <c r="G13" s="21" t="n">
        <f aca="false">Cases!G16</f>
        <v>126.275745257453</v>
      </c>
    </row>
    <row r="14" customFormat="false" ht="15" hidden="false" customHeight="false" outlineLevel="0" collapsed="false">
      <c r="B14" s="8" t="s">
        <v>230</v>
      </c>
      <c r="C14" s="21" t="n">
        <f aca="false">C13*C9</f>
        <v>72.5314901754202</v>
      </c>
      <c r="D14" s="21" t="n">
        <f aca="false">D13*D9</f>
        <v>80.4850698005289</v>
      </c>
      <c r="E14" s="21" t="n">
        <f aca="false">E13*E9</f>
        <v>83.1882784923827</v>
      </c>
      <c r="F14" s="21" t="n">
        <f aca="false">F13*F9</f>
        <v>82.1450133330863</v>
      </c>
      <c r="G14" s="21" t="n">
        <f aca="false">G13*G9</f>
        <v>78.9526180677725</v>
      </c>
    </row>
    <row r="15" customFormat="false" ht="15" hidden="false" customHeight="false" outlineLevel="0" collapsed="false">
      <c r="B15" s="8" t="s">
        <v>231</v>
      </c>
      <c r="C15" s="21" t="n">
        <f aca="false">SUM($C$14:$G$14)</f>
        <v>397.30246986919</v>
      </c>
    </row>
    <row r="16" customFormat="false" ht="15" hidden="false" customHeight="false" outlineLevel="0" collapsed="false">
      <c r="B16" s="8" t="s">
        <v>232</v>
      </c>
      <c r="C16" s="21" t="n">
        <f aca="false">G13*(1+Inputs!$C$75)/(Inputs!$C$74-Inputs!$C$75)</f>
        <v>1431.1251129178</v>
      </c>
    </row>
    <row r="17" customFormat="false" ht="15" hidden="false" customHeight="false" outlineLevel="0" collapsed="false">
      <c r="B17" s="8" t="s">
        <v>233</v>
      </c>
      <c r="C17" s="21" t="n">
        <f aca="false">$C$16*G9</f>
        <v>894.796338101422</v>
      </c>
    </row>
    <row r="18" customFormat="false" ht="15" hidden="false" customHeight="false" outlineLevel="0" collapsed="false">
      <c r="B18" s="23" t="s">
        <v>234</v>
      </c>
      <c r="C18" s="24" t="n">
        <f aca="false">$C$15+$C$17</f>
        <v>1292.09880797061</v>
      </c>
    </row>
    <row r="19" customFormat="false" ht="15" hidden="false" customHeight="false" outlineLevel="0" collapsed="false">
      <c r="B19" s="8" t="s">
        <v>235</v>
      </c>
      <c r="C19" s="20" t="n">
        <f aca="false">$C$17/$C$18</f>
        <v>0.692513863941103</v>
      </c>
    </row>
    <row r="20" customFormat="false" ht="15" hidden="false" customHeight="false" outlineLevel="0" collapsed="false">
      <c r="B20" s="8" t="s">
        <v>236</v>
      </c>
      <c r="C20" s="29" t="n">
        <f aca="false">$C$16/Inputs!G82</f>
        <v>6.68750052765325</v>
      </c>
    </row>
    <row r="22" customFormat="false" ht="15" hidden="false" customHeight="false" outlineLevel="0" collapsed="false">
      <c r="B22" s="2" t="s">
        <v>222</v>
      </c>
    </row>
    <row r="23" customFormat="false" ht="15" hidden="false" customHeight="false" outlineLevel="0" collapsed="false">
      <c r="B23" s="5" t="s">
        <v>28</v>
      </c>
      <c r="C23" s="18" t="n">
        <v>1</v>
      </c>
      <c r="D23" s="18" t="n">
        <v>2</v>
      </c>
      <c r="E23" s="18" t="n">
        <v>3</v>
      </c>
      <c r="F23" s="18" t="n">
        <v>4</v>
      </c>
      <c r="G23" s="18" t="n">
        <v>5</v>
      </c>
      <c r="H23" s="7" t="s">
        <v>89</v>
      </c>
    </row>
    <row r="24" customFormat="false" ht="15" hidden="false" customHeight="false" outlineLevel="0" collapsed="false">
      <c r="B24" s="8" t="s">
        <v>221</v>
      </c>
      <c r="C24" s="21" t="n">
        <f aca="false">Cases!C29</f>
        <v>73.3653846153846</v>
      </c>
      <c r="D24" s="21" t="n">
        <f aca="false">Cases!D29</f>
        <v>77.388346727899</v>
      </c>
      <c r="E24" s="21" t="n">
        <f aca="false">Cases!E29</f>
        <v>83.5832251784555</v>
      </c>
      <c r="F24" s="21" t="n">
        <f aca="false">Cases!F29</f>
        <v>88.8917668825162</v>
      </c>
      <c r="G24" s="21" t="n">
        <f aca="false">Cases!G29</f>
        <v>93.3814164558845</v>
      </c>
    </row>
    <row r="25" customFormat="false" ht="15" hidden="false" customHeight="false" outlineLevel="0" collapsed="false">
      <c r="B25" s="8" t="s">
        <v>230</v>
      </c>
      <c r="C25" s="21" t="n">
        <f aca="false">C24*C9</f>
        <v>69.6353414191497</v>
      </c>
      <c r="D25" s="21" t="n">
        <f aca="false">D24*D9</f>
        <v>66.1745658332</v>
      </c>
      <c r="E25" s="21" t="n">
        <f aca="false">E24*E9</f>
        <v>64.3889996663523</v>
      </c>
      <c r="F25" s="21" t="n">
        <f aca="false">F24*F9</f>
        <v>61.6923214617886</v>
      </c>
      <c r="G25" s="21" t="n">
        <f aca="false">G24*G9</f>
        <v>58.3857754554328</v>
      </c>
    </row>
    <row r="26" customFormat="false" ht="15" hidden="false" customHeight="false" outlineLevel="0" collapsed="false">
      <c r="B26" s="8" t="s">
        <v>231</v>
      </c>
      <c r="C26" s="21" t="n">
        <f aca="false">SUM($C$25:$G$25)</f>
        <v>320.277003835923</v>
      </c>
    </row>
    <row r="27" customFormat="false" ht="15" hidden="false" customHeight="false" outlineLevel="0" collapsed="false">
      <c r="B27" s="8" t="s">
        <v>232</v>
      </c>
      <c r="C27" s="21" t="n">
        <f aca="false">G24*(1+Inputs!$C$75)/(Inputs!$C$74-Inputs!$C$75)</f>
        <v>1058.32271983336</v>
      </c>
    </row>
    <row r="28" customFormat="false" ht="15" hidden="false" customHeight="false" outlineLevel="0" collapsed="false">
      <c r="B28" s="8" t="s">
        <v>233</v>
      </c>
      <c r="C28" s="21" t="n">
        <f aca="false">$C$27*G9</f>
        <v>661.705455161572</v>
      </c>
    </row>
    <row r="29" customFormat="false" ht="15" hidden="false" customHeight="false" outlineLevel="0" collapsed="false">
      <c r="B29" s="23" t="s">
        <v>234</v>
      </c>
      <c r="C29" s="24" t="n">
        <f aca="false">$C$26+$C$28</f>
        <v>981.982458997495</v>
      </c>
    </row>
    <row r="30" customFormat="false" ht="15" hidden="false" customHeight="false" outlineLevel="0" collapsed="false">
      <c r="B30" s="8" t="s">
        <v>235</v>
      </c>
      <c r="C30" s="20" t="n">
        <f aca="false">$C$28/$C$29</f>
        <v>0.673846512326815</v>
      </c>
    </row>
    <row r="31" customFormat="false" ht="15" hidden="false" customHeight="false" outlineLevel="0" collapsed="false">
      <c r="B31" s="8" t="s">
        <v>236</v>
      </c>
      <c r="C31" s="29" t="n">
        <f aca="false">$C$27/Inputs!G83</f>
        <v>6.33726179540933</v>
      </c>
    </row>
    <row r="33" customFormat="false" ht="15" hidden="false" customHeight="false" outlineLevel="0" collapsed="false">
      <c r="B33" s="2" t="s">
        <v>223</v>
      </c>
    </row>
    <row r="34" customFormat="false" ht="15" hidden="false" customHeight="false" outlineLevel="0" collapsed="false">
      <c r="B34" s="5" t="s">
        <v>28</v>
      </c>
      <c r="C34" s="18" t="n">
        <v>1</v>
      </c>
      <c r="D34" s="18" t="n">
        <v>2</v>
      </c>
      <c r="E34" s="18" t="n">
        <v>3</v>
      </c>
      <c r="F34" s="18" t="n">
        <v>4</v>
      </c>
      <c r="G34" s="18" t="n">
        <v>5</v>
      </c>
      <c r="H34" s="7" t="s">
        <v>89</v>
      </c>
    </row>
    <row r="35" customFormat="false" ht="15" hidden="false" customHeight="false" outlineLevel="0" collapsed="false">
      <c r="B35" s="8" t="s">
        <v>221</v>
      </c>
      <c r="C35" s="21" t="n">
        <f aca="false">Cases!C42</f>
        <v>67.25</v>
      </c>
      <c r="D35" s="21" t="n">
        <f aca="false">Cases!D42</f>
        <v>61.2747933884298</v>
      </c>
      <c r="E35" s="21" t="n">
        <f aca="false">Cases!E42</f>
        <v>65.918754998667</v>
      </c>
      <c r="F35" s="21" t="n">
        <f aca="false">Cases!F42</f>
        <v>70.5525146050292</v>
      </c>
      <c r="G35" s="21" t="n">
        <f aca="false">Cases!G42</f>
        <v>74.5213788683391</v>
      </c>
    </row>
    <row r="36" customFormat="false" ht="15" hidden="false" customHeight="false" outlineLevel="0" collapsed="false">
      <c r="B36" s="8" t="s">
        <v>230</v>
      </c>
      <c r="C36" s="21" t="n">
        <f aca="false">C35*C9</f>
        <v>63.8308752143556</v>
      </c>
      <c r="D36" s="21" t="n">
        <f aca="false">D35*D9</f>
        <v>52.3959099844238</v>
      </c>
      <c r="E36" s="21" t="n">
        <f aca="false">E35*E9</f>
        <v>50.7810351246123</v>
      </c>
      <c r="F36" s="21" t="n">
        <f aca="false">F35*F9</f>
        <v>48.9645842758817</v>
      </c>
      <c r="G36" s="21" t="n">
        <f aca="false">G35*G9</f>
        <v>46.5937298701352</v>
      </c>
    </row>
    <row r="37" customFormat="false" ht="15" hidden="false" customHeight="false" outlineLevel="0" collapsed="false">
      <c r="B37" s="8" t="s">
        <v>231</v>
      </c>
      <c r="C37" s="21" t="n">
        <f aca="false">SUM($C$36:$G$36)</f>
        <v>262.566134469409</v>
      </c>
    </row>
    <row r="38" customFormat="false" ht="15" hidden="false" customHeight="false" outlineLevel="0" collapsed="false">
      <c r="B38" s="8" t="s">
        <v>232</v>
      </c>
      <c r="C38" s="21" t="n">
        <f aca="false">G35*(1+Inputs!$C$75)/(Inputs!$C$74-Inputs!$C$75)</f>
        <v>844.57562717451</v>
      </c>
    </row>
    <row r="39" customFormat="false" ht="15" hidden="false" customHeight="false" outlineLevel="0" collapsed="false">
      <c r="B39" s="8" t="s">
        <v>233</v>
      </c>
      <c r="C39" s="21" t="n">
        <f aca="false">$C$38*G9</f>
        <v>528.062271861532</v>
      </c>
    </row>
    <row r="40" customFormat="false" ht="15" hidden="false" customHeight="false" outlineLevel="0" collapsed="false">
      <c r="B40" s="23" t="s">
        <v>234</v>
      </c>
      <c r="C40" s="24" t="n">
        <f aca="false">$C$37+$C$39</f>
        <v>790.628406330941</v>
      </c>
    </row>
    <row r="41" customFormat="false" ht="15" hidden="false" customHeight="false" outlineLevel="0" collapsed="false">
      <c r="B41" s="8" t="s">
        <v>235</v>
      </c>
      <c r="C41" s="20" t="n">
        <f aca="false">$C$39/$C$40</f>
        <v>0.66790197219463</v>
      </c>
    </row>
    <row r="42" customFormat="false" ht="15" hidden="false" customHeight="false" outlineLevel="0" collapsed="false">
      <c r="B42" s="8" t="s">
        <v>236</v>
      </c>
      <c r="C42" s="29" t="n">
        <f aca="false">$C$38/Inputs!G84</f>
        <v>6.0326830512465</v>
      </c>
    </row>
    <row r="44" customFormat="false" ht="15" hidden="false" customHeight="false" outlineLevel="0" collapsed="false">
      <c r="B44" s="2" t="s">
        <v>237</v>
      </c>
    </row>
    <row r="45" customFormat="false" ht="15" hidden="false" customHeight="false" outlineLevel="0" collapsed="false">
      <c r="B45" s="5" t="s">
        <v>238</v>
      </c>
      <c r="C45" s="6" t="s">
        <v>239</v>
      </c>
      <c r="D45" s="6" t="s">
        <v>240</v>
      </c>
      <c r="E45" s="6" t="s">
        <v>241</v>
      </c>
      <c r="F45" s="6"/>
      <c r="G45" s="7" t="s">
        <v>89</v>
      </c>
    </row>
    <row r="46" customFormat="false" ht="15" hidden="false" customHeight="false" outlineLevel="0" collapsed="false">
      <c r="B46" s="8" t="s">
        <v>117</v>
      </c>
      <c r="C46" s="30" t="n">
        <f aca="false">Inputs!C91</f>
        <v>0.01</v>
      </c>
      <c r="D46" s="30" t="n">
        <f aca="false">Inputs!D91</f>
        <v>0.02</v>
      </c>
      <c r="E46" s="30" t="n">
        <f aca="false">Inputs!E91</f>
        <v>0.03</v>
      </c>
    </row>
    <row r="47" customFormat="false" ht="15" hidden="false" customHeight="false" outlineLevel="0" collapsed="false">
      <c r="B47" s="31" t="n">
        <f aca="false">Inputs!C90</f>
        <v>0.1</v>
      </c>
      <c r="C47" s="21" t="n">
        <f aca="false">$C$24/(1+$B47)^$C$8+$D$24/(1+$B47)^$D$8+$E$24/(1+$B47)^$E$8+$F$24/(1+$B47)^$F$8+$G$24/(1+$B47)^$G$8+$G$24*(1+C$46)/($B47-C$46)/(1+$B47)^$G$8</f>
        <v>1009.83496165268</v>
      </c>
      <c r="D47" s="21" t="n">
        <f aca="false">$C$24/(1+$B47)^$C$8+$D$24/(1+$B47)^$D$8+$E$24/(1+$B47)^$E$8+$F$24/(1+$B47)^$F$8+$G$24/(1+$B47)^$G$8+$G$24*(1+D$46)/($B47-D$46)/(1+$B47)^$G$8</f>
        <v>1102.74305823988</v>
      </c>
      <c r="E47" s="21" t="n">
        <f aca="false">$C$24/(1+$B47)^$C$8+$D$24/(1+$B47)^$D$8+$E$24/(1+$B47)^$E$8+$F$24/(1+$B47)^$F$8+$G$24/(1+$B47)^$G$8+$G$24*(1+E$46)/($B47-E$46)/(1+$B47)^$G$8</f>
        <v>1222.19632528057</v>
      </c>
    </row>
    <row r="48" customFormat="false" ht="15" hidden="false" customHeight="false" outlineLevel="0" collapsed="false">
      <c r="B48" s="31" t="n">
        <f aca="false">Inputs!D90</f>
        <v>0.11</v>
      </c>
      <c r="C48" s="21" t="n">
        <f aca="false">$C$24/(1+$B48)^$C$8+$D$24/(1+$B48)^$D$8+$E$24/(1+$B48)^$E$8+$F$24/(1+$B48)^$F$8+$G$24/(1+$B48)^$G$8+$G$24*(1+C$46)/($B48-C$46)/(1+$B48)^$G$8</f>
        <v>909.973335935794</v>
      </c>
      <c r="D48" s="21" t="n">
        <f aca="false">$C$24/(1+$B48)^$C$8+$D$24/(1+$B48)^$D$8+$E$24/(1+$B48)^$E$8+$F$24/(1+$B48)^$F$8+$G$24/(1+$B48)^$G$8+$G$24*(1+D$46)/($B48-D$46)/(1+$B48)^$G$8</f>
        <v>981.982458997495</v>
      </c>
      <c r="E48" s="21" t="n">
        <f aca="false">$C$24/(1+$B48)^$C$8+$D$24/(1+$B48)^$D$8+$E$24/(1+$B48)^$E$8+$F$24/(1+$B48)^$F$8+$G$24/(1+$B48)^$G$8+$G$24*(1+E$46)/($B48-E$46)/(1+$B48)^$G$8</f>
        <v>1071.99386282462</v>
      </c>
    </row>
    <row r="49" customFormat="false" ht="15" hidden="false" customHeight="false" outlineLevel="0" collapsed="false">
      <c r="B49" s="31" t="n">
        <f aca="false">Inputs!E90</f>
        <v>0.12</v>
      </c>
      <c r="C49" s="21" t="n">
        <f aca="false">$C$24/(1+$B49)^$C$8+$D$24/(1+$B49)^$D$8+$E$24/(1+$B49)^$E$8+$F$24/(1+$B49)^$F$8+$G$24/(1+$B49)^$G$8+$G$24*(1+C$46)/($B49-C$46)/(1+$B49)^$G$8</f>
        <v>828.319962404414</v>
      </c>
      <c r="D49" s="21" t="n">
        <f aca="false">$C$24/(1+$B49)^$C$8+$D$24/(1+$B49)^$D$8+$E$24/(1+$B49)^$E$8+$F$24/(1+$B49)^$F$8+$G$24/(1+$B49)^$G$8+$G$24*(1+D$46)/($B49-D$46)/(1+$B49)^$G$8</f>
        <v>885.415832117704</v>
      </c>
      <c r="E49" s="21" t="n">
        <f aca="false">$C$24/(1+$B49)^$C$8+$D$24/(1+$B49)^$D$8+$E$24/(1+$B49)^$E$8+$F$24/(1+$B49)^$F$8+$G$24/(1+$B49)^$G$8+$G$24*(1+E$46)/($B49-E$46)/(1+$B49)^$G$8</f>
        <v>955.199672878393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48"/>
    <col collapsed="false" customWidth="true" hidden="false" outlineLevel="0" max="5" min="3" style="0" width="11"/>
    <col collapsed="false" customWidth="true" hidden="false" outlineLevel="0" max="6" min="6" style="0" width="44"/>
    <col collapsed="false" customWidth="true" hidden="false" outlineLevel="0" max="39" min="7" style="0" width="11"/>
  </cols>
  <sheetData>
    <row r="1" customFormat="false" ht="6" hidden="false" customHeight="true" outlineLevel="0" collapsed="false"/>
    <row r="2" customFormat="false" ht="15" hidden="false" customHeight="false" outlineLevel="0" collapsed="false">
      <c r="B2" s="1" t="s">
        <v>242</v>
      </c>
    </row>
    <row r="3" customFormat="false" ht="15" hidden="false" customHeight="false" outlineLevel="0" collapsed="false">
      <c r="B3" s="4" t="s">
        <v>243</v>
      </c>
    </row>
    <row r="5" customFormat="false" ht="15" hidden="false" customHeight="false" outlineLevel="0" collapsed="false">
      <c r="B5" s="5" t="s">
        <v>28</v>
      </c>
      <c r="C5" s="6" t="s">
        <v>244</v>
      </c>
      <c r="D5" s="6" t="s">
        <v>245</v>
      </c>
      <c r="E5" s="6" t="s">
        <v>246</v>
      </c>
      <c r="F5" s="7" t="s">
        <v>89</v>
      </c>
    </row>
    <row r="6" customFormat="false" ht="15" hidden="false" customHeight="false" outlineLevel="0" collapsed="false">
      <c r="B6" s="8" t="s">
        <v>247</v>
      </c>
      <c r="C6" s="21" t="n">
        <f aca="false">Inputs!C82</f>
        <v>150</v>
      </c>
      <c r="D6" s="21" t="n">
        <f aca="false">Inputs!C83</f>
        <v>138</v>
      </c>
      <c r="E6" s="21" t="n">
        <f aca="false">Inputs!C84</f>
        <v>120</v>
      </c>
    </row>
    <row r="7" customFormat="false" ht="15" hidden="false" customHeight="false" outlineLevel="0" collapsed="false">
      <c r="B7" s="8" t="s">
        <v>248</v>
      </c>
      <c r="C7" s="21" t="n">
        <f aca="false">C6*Inputs!$C$77</f>
        <v>900</v>
      </c>
      <c r="D7" s="21" t="n">
        <f aca="false">D6*Inputs!$C$77</f>
        <v>828</v>
      </c>
      <c r="E7" s="21" t="n">
        <f aca="false">E6*Inputs!$C$77</f>
        <v>720</v>
      </c>
    </row>
    <row r="8" customFormat="false" ht="15" hidden="false" customHeight="false" outlineLevel="0" collapsed="false">
      <c r="B8" s="2" t="s">
        <v>249</v>
      </c>
      <c r="C8" s="19" t="n">
        <f aca="false">C6*Inputs!$C$76</f>
        <v>1050</v>
      </c>
      <c r="D8" s="19" t="n">
        <f aca="false">D6*Inputs!$C$76</f>
        <v>966</v>
      </c>
      <c r="E8" s="19" t="n">
        <f aca="false">E6*Inputs!$C$76</f>
        <v>840</v>
      </c>
    </row>
    <row r="9" customFormat="false" ht="15" hidden="false" customHeight="false" outlineLevel="0" collapsed="false">
      <c r="B9" s="8" t="s">
        <v>250</v>
      </c>
      <c r="C9" s="21" t="n">
        <f aca="false">C6*Inputs!$C$78</f>
        <v>1200</v>
      </c>
      <c r="D9" s="21" t="n">
        <f aca="false">D6*Inputs!$C$78</f>
        <v>1104</v>
      </c>
      <c r="E9" s="21" t="n">
        <f aca="false">E6*Inputs!$C$78</f>
        <v>960</v>
      </c>
    </row>
    <row r="10" customFormat="false" ht="15" hidden="false" customHeight="false" outlineLevel="0" collapsed="false">
      <c r="B10" s="2" t="s">
        <v>251</v>
      </c>
      <c r="C10" s="19" t="n">
        <f aca="false">DCF!$C$18</f>
        <v>1292.09880797061</v>
      </c>
      <c r="D10" s="19" t="n">
        <f aca="false">DCF!$C$29</f>
        <v>981.982458997495</v>
      </c>
      <c r="E10" s="19" t="n">
        <f aca="false">DCF!$C$40</f>
        <v>790.628406330941</v>
      </c>
    </row>
    <row r="11" customFormat="false" ht="15" hidden="false" customHeight="false" outlineLevel="0" collapsed="false">
      <c r="B11" s="8" t="s">
        <v>252</v>
      </c>
      <c r="C11" s="21" t="n">
        <f aca="false">(C10+C8)/2</f>
        <v>1171.04940398531</v>
      </c>
      <c r="D11" s="21" t="n">
        <f aca="false">(D10+D8)/2</f>
        <v>973.991229498747</v>
      </c>
      <c r="E11" s="21" t="n">
        <f aca="false">(E10+E8)/2</f>
        <v>815.31420316547</v>
      </c>
    </row>
    <row r="12" customFormat="false" ht="15" hidden="false" customHeight="false" outlineLevel="0" collapsed="false">
      <c r="B12" s="23" t="s">
        <v>253</v>
      </c>
      <c r="C12" s="24" t="n">
        <f aca="false">ROUND(C11/Inputs!$C$79,0)*Inputs!$C$79</f>
        <v>1170</v>
      </c>
      <c r="D12" s="24" t="n">
        <f aca="false">ROUND(D11/Inputs!$C$79,0)*Inputs!$C$79</f>
        <v>975</v>
      </c>
      <c r="E12" s="24" t="n">
        <f aca="false">ROUND(E11/Inputs!$C$79,0)*Inputs!$C$79</f>
        <v>815</v>
      </c>
      <c r="F12" s="32" t="s">
        <v>254</v>
      </c>
    </row>
    <row r="14" customFormat="false" ht="15" hidden="false" customHeight="false" outlineLevel="0" collapsed="false">
      <c r="B14" s="5" t="s">
        <v>255</v>
      </c>
      <c r="C14" s="6" t="s">
        <v>21</v>
      </c>
      <c r="D14" s="6"/>
      <c r="E14" s="6"/>
      <c r="F14" s="7" t="s">
        <v>89</v>
      </c>
    </row>
    <row r="15" customFormat="false" ht="15" hidden="false" customHeight="false" outlineLevel="0" collapsed="false">
      <c r="B15" s="8" t="s">
        <v>256</v>
      </c>
      <c r="C15" s="21" t="n">
        <f aca="false">C12</f>
        <v>1170</v>
      </c>
    </row>
    <row r="16" customFormat="false" ht="15" hidden="false" customHeight="false" outlineLevel="0" collapsed="false">
      <c r="B16" s="2" t="s">
        <v>257</v>
      </c>
      <c r="C16" s="19" t="n">
        <f aca="false">D12</f>
        <v>975</v>
      </c>
    </row>
    <row r="17" customFormat="false" ht="15" hidden="false" customHeight="false" outlineLevel="0" collapsed="false">
      <c r="B17" s="8" t="s">
        <v>258</v>
      </c>
      <c r="C17" s="21" t="n">
        <f aca="false">E12</f>
        <v>815</v>
      </c>
    </row>
    <row r="18" customFormat="false" ht="15" hidden="false" customHeight="false" outlineLevel="0" collapsed="false">
      <c r="B18" s="8" t="s">
        <v>259</v>
      </c>
      <c r="C18" s="21" t="n">
        <f aca="false">$C$15-$C$17</f>
        <v>355</v>
      </c>
      <c r="F18" s="4" t="s">
        <v>260</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P18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60"/>
    <col collapsed="false" customWidth="true" hidden="false" outlineLevel="0" max="17" min="3" style="0" width="12"/>
    <col collapsed="false" customWidth="true" hidden="false" outlineLevel="0" max="39" min="18" style="0" width="11"/>
  </cols>
  <sheetData>
    <row r="1" customFormat="false" ht="6" hidden="false" customHeight="true" outlineLevel="0" collapsed="false"/>
    <row r="2" customFormat="false" ht="15" hidden="false" customHeight="false" outlineLevel="0" collapsed="false">
      <c r="B2" s="1" t="s">
        <v>261</v>
      </c>
    </row>
    <row r="3" customFormat="false" ht="15" hidden="false" customHeight="false" outlineLevel="0" collapsed="false">
      <c r="B3" s="4" t="s">
        <v>262</v>
      </c>
    </row>
    <row r="5" customFormat="false" ht="15" hidden="false" customHeight="false" outlineLevel="0" collapsed="false">
      <c r="B5" s="2" t="s">
        <v>263</v>
      </c>
    </row>
    <row r="6" customFormat="false" ht="15" hidden="false" customHeight="false" outlineLevel="0" collapsed="false">
      <c r="B6" s="5" t="s">
        <v>264</v>
      </c>
      <c r="C6" s="6" t="s">
        <v>21</v>
      </c>
      <c r="D6" s="7" t="s">
        <v>89</v>
      </c>
    </row>
    <row r="7" customFormat="false" ht="15" hidden="false" customHeight="false" outlineLevel="0" collapsed="false">
      <c r="B7" s="22" t="s">
        <v>265</v>
      </c>
      <c r="C7" s="21" t="n">
        <f aca="false">DIP!$C$56</f>
        <v>65</v>
      </c>
    </row>
    <row r="8" customFormat="false" ht="15" hidden="false" customHeight="false" outlineLevel="0" collapsed="false">
      <c r="B8" s="22" t="s">
        <v>266</v>
      </c>
      <c r="C8" s="33" t="n">
        <f aca="false">DIP!$C$111</f>
        <v>1.395</v>
      </c>
    </row>
    <row r="9" customFormat="false" ht="15" hidden="false" customHeight="false" outlineLevel="0" collapsed="false">
      <c r="B9" s="22" t="s">
        <v>267</v>
      </c>
      <c r="C9" s="21" t="n">
        <f aca="false">DIP!$C$113</f>
        <v>14</v>
      </c>
    </row>
    <row r="10" customFormat="false" ht="15" hidden="false" customHeight="false" outlineLevel="0" collapsed="false">
      <c r="B10" s="25" t="s">
        <v>268</v>
      </c>
      <c r="C10" s="34" t="n">
        <f aca="false">SUM($C$7:$C$9)</f>
        <v>80.395</v>
      </c>
    </row>
    <row r="11" customFormat="false" ht="15" hidden="false" customHeight="false" outlineLevel="0" collapsed="false">
      <c r="B11" s="22" t="s">
        <v>139</v>
      </c>
      <c r="C11" s="21" t="n">
        <f aca="false">Inputs!$C$99</f>
        <v>7</v>
      </c>
    </row>
    <row r="12" customFormat="false" ht="15" hidden="false" customHeight="false" outlineLevel="0" collapsed="false">
      <c r="B12" s="22" t="s">
        <v>269</v>
      </c>
      <c r="C12" s="21" t="n">
        <f aca="false">Inputs!$C$100</f>
        <v>5</v>
      </c>
    </row>
    <row r="13" customFormat="false" ht="15" hidden="false" customHeight="false" outlineLevel="0" collapsed="false">
      <c r="B13" s="25" t="s">
        <v>270</v>
      </c>
      <c r="C13" s="35" t="n">
        <f aca="false">$C$11+$C$12</f>
        <v>12</v>
      </c>
    </row>
    <row r="14" customFormat="false" ht="15" hidden="false" customHeight="false" outlineLevel="0" collapsed="false">
      <c r="B14" s="23" t="s">
        <v>271</v>
      </c>
      <c r="C14" s="36" t="n">
        <f aca="false">$C$10+$C$13</f>
        <v>92.395</v>
      </c>
    </row>
    <row r="15" customFormat="false" ht="15" hidden="false" customHeight="false" outlineLevel="0" collapsed="false">
      <c r="B15" s="8" t="s">
        <v>272</v>
      </c>
      <c r="C15" s="37" t="n">
        <f aca="false">DIP!$C$110</f>
        <v>22.5442307692307</v>
      </c>
    </row>
    <row r="17" customFormat="false" ht="15" hidden="false" customHeight="false" outlineLevel="0" collapsed="false">
      <c r="B17" s="2" t="s">
        <v>273</v>
      </c>
    </row>
    <row r="18" customFormat="false" ht="15" hidden="false" customHeight="false" outlineLevel="0" collapsed="false">
      <c r="B18" s="5" t="s">
        <v>264</v>
      </c>
      <c r="C18" s="6" t="s">
        <v>21</v>
      </c>
      <c r="D18" s="7" t="s">
        <v>89</v>
      </c>
    </row>
    <row r="19" customFormat="false" ht="15" hidden="false" customHeight="false" outlineLevel="0" collapsed="false">
      <c r="B19" s="8" t="s">
        <v>274</v>
      </c>
      <c r="C19" s="38" t="n">
        <f aca="false">Inputs!$C$7+Inputs!$C$19</f>
        <v>0.083</v>
      </c>
    </row>
    <row r="20" customFormat="false" ht="15" hidden="false" customHeight="false" outlineLevel="0" collapsed="false">
      <c r="B20" s="8" t="s">
        <v>275</v>
      </c>
      <c r="C20" s="38" t="n">
        <f aca="false">Inputs!$C$7+Inputs!$C$13</f>
        <v>0.0805</v>
      </c>
    </row>
    <row r="21" customFormat="false" ht="15" hidden="false" customHeight="false" outlineLevel="0" collapsed="false">
      <c r="B21" s="8" t="s">
        <v>276</v>
      </c>
      <c r="C21" s="26" t="n">
        <f aca="false">MATCH(1,Inputs!$C$63:$O$63,0)</f>
        <v>6</v>
      </c>
    </row>
    <row r="22" customFormat="false" ht="15" hidden="false" customHeight="false" outlineLevel="0" collapsed="false">
      <c r="B22" s="8" t="s">
        <v>277</v>
      </c>
      <c r="C22" s="26" t="n">
        <f aca="false">SUMPRODUCT(MAX((COLUMN(Inputs!$C$64:$O$64)-COLUMN(Inputs!$C$64)+1)*Inputs!$C$64:$O$64))</f>
        <v>12</v>
      </c>
      <c r="D22" s="4" t="s">
        <v>278</v>
      </c>
    </row>
    <row r="23" customFormat="false" ht="15" hidden="false" customHeight="false" outlineLevel="0" collapsed="false">
      <c r="B23" s="22" t="s">
        <v>279</v>
      </c>
      <c r="C23" s="33" t="n">
        <f aca="false">Inputs!$C$18*$C$19*(Inputs!$C$95-$C$21)/Inputs!$C$32</f>
        <v>10.0557692307692</v>
      </c>
    </row>
    <row r="24" customFormat="false" ht="15" hidden="false" customHeight="false" outlineLevel="0" collapsed="false">
      <c r="B24" s="22" t="s">
        <v>280</v>
      </c>
      <c r="C24" s="33" t="n">
        <f aca="false">Inputs!$C$12*$C$20*(Inputs!$C$95-$C$22)/Inputs!$C$32</f>
        <v>0.0774038461538461</v>
      </c>
    </row>
    <row r="25" customFormat="false" ht="15" hidden="false" customHeight="false" outlineLevel="0" collapsed="false">
      <c r="B25" s="8" t="s">
        <v>281</v>
      </c>
      <c r="C25" s="37" t="n">
        <f aca="false">$C$23+$C$24</f>
        <v>10.1331730769231</v>
      </c>
    </row>
    <row r="26" customFormat="false" ht="15" hidden="false" customHeight="false" outlineLevel="0" collapsed="false">
      <c r="B26" s="2" t="s">
        <v>282</v>
      </c>
      <c r="C26" s="39" t="n">
        <f aca="false">Inputs!$C$12+Inputs!$C$18+$C$25</f>
        <v>960.133173076923</v>
      </c>
    </row>
    <row r="27" customFormat="false" ht="15" hidden="false" customHeight="false" outlineLevel="0" collapsed="false">
      <c r="B27" s="8" t="s">
        <v>283</v>
      </c>
      <c r="C27" s="26" t="n">
        <f aca="false">MATCH(1,Inputs!$C$65:$O$65,0)</f>
        <v>11</v>
      </c>
    </row>
    <row r="28" customFormat="false" ht="15" hidden="false" customHeight="false" outlineLevel="0" collapsed="false">
      <c r="B28" s="22" t="s">
        <v>284</v>
      </c>
      <c r="C28" s="21" t="n">
        <f aca="false">Inputs!$C$22*Inputs!$C$23/Inputs!$C$37</f>
        <v>14.5</v>
      </c>
    </row>
    <row r="29" customFormat="false" ht="15" hidden="false" customHeight="false" outlineLevel="0" collapsed="false">
      <c r="B29" s="22" t="s">
        <v>285</v>
      </c>
      <c r="C29" s="37" t="n">
        <f aca="false">Inputs!$C$22*Inputs!$C$23*(Inputs!$C$95-$C$27)/Inputs!$C$32</f>
        <v>1.11538461538462</v>
      </c>
    </row>
    <row r="30" customFormat="false" ht="15" hidden="false" customHeight="false" outlineLevel="0" collapsed="false">
      <c r="B30" s="8" t="s">
        <v>286</v>
      </c>
      <c r="C30" s="37" t="n">
        <f aca="false">Inputs!$C$22+$C$28+$C$29</f>
        <v>415.615384615385</v>
      </c>
    </row>
    <row r="31" customFormat="false" ht="15" hidden="false" customHeight="false" outlineLevel="0" collapsed="false">
      <c r="B31" s="22" t="s">
        <v>287</v>
      </c>
      <c r="C31" s="21" t="n">
        <f aca="false">Inputs!$C$96-Inputs!$C$112</f>
        <v>54</v>
      </c>
    </row>
    <row r="32" customFormat="false" ht="15" hidden="false" customHeight="false" outlineLevel="0" collapsed="false">
      <c r="B32" s="8" t="s">
        <v>288</v>
      </c>
      <c r="C32" s="21" t="n">
        <f aca="false">$C$31+Inputs!$C$97+Inputs!$C$98</f>
        <v>87</v>
      </c>
    </row>
    <row r="33" customFormat="false" ht="15" hidden="false" customHeight="false" outlineLevel="0" collapsed="false">
      <c r="B33" s="2" t="s">
        <v>289</v>
      </c>
      <c r="C33" s="39" t="n">
        <f aca="false">$C$30+$C$32</f>
        <v>502.615384615385</v>
      </c>
    </row>
    <row r="34" customFormat="false" ht="15" hidden="false" customHeight="false" outlineLevel="0" collapsed="false">
      <c r="B34" s="8" t="s">
        <v>290</v>
      </c>
      <c r="C34" s="20" t="n">
        <f aca="false">Inputs!$C$101</f>
        <v>0.08</v>
      </c>
    </row>
    <row r="36" customFormat="false" ht="15" hidden="false" customHeight="false" outlineLevel="0" collapsed="false">
      <c r="B36" s="2" t="s">
        <v>291</v>
      </c>
    </row>
    <row r="37" customFormat="false" ht="15" hidden="false" customHeight="false" outlineLevel="0" collapsed="false">
      <c r="B37" s="5" t="s">
        <v>255</v>
      </c>
      <c r="C37" s="6" t="s">
        <v>21</v>
      </c>
      <c r="D37" s="7" t="s">
        <v>89</v>
      </c>
    </row>
    <row r="38" customFormat="false" ht="15" hidden="false" customHeight="false" outlineLevel="0" collapsed="false">
      <c r="B38" s="22" t="s">
        <v>292</v>
      </c>
      <c r="C38" s="21" t="n">
        <f aca="false">($C$26+$C$10-$C$15)/(1-$C$34)</f>
        <v>1106.50428511706</v>
      </c>
    </row>
    <row r="39" customFormat="false" ht="15" hidden="false" customHeight="false" outlineLevel="0" collapsed="false">
      <c r="B39" s="2" t="s">
        <v>293</v>
      </c>
      <c r="C39" s="19" t="n">
        <f aca="false">IF($C$34*$C$38&gt;=$C$13,$C$38,$C$26+$C$10+$C$13-$C$15)</f>
        <v>1106.50428511706</v>
      </c>
      <c r="D39" s="4" t="s">
        <v>294</v>
      </c>
    </row>
    <row r="40" customFormat="false" ht="15" hidden="false" customHeight="false" outlineLevel="0" collapsed="false">
      <c r="B40" s="2" t="s">
        <v>295</v>
      </c>
      <c r="C40" s="19" t="n">
        <f aca="false">MAX($C$39,$C$14+$C$26+$C$33-$C$15)</f>
        <v>1532.59932692308</v>
      </c>
      <c r="D40" s="4" t="s">
        <v>296</v>
      </c>
    </row>
    <row r="41" customFormat="false" ht="15" hidden="false" customHeight="false" outlineLevel="0" collapsed="false">
      <c r="B41" s="8" t="s">
        <v>297</v>
      </c>
      <c r="C41" s="21" t="n">
        <f aca="false">Multiples!$C$15-$C$39</f>
        <v>63.4957148829431</v>
      </c>
    </row>
    <row r="42" customFormat="false" ht="15" hidden="false" customHeight="false" outlineLevel="0" collapsed="false">
      <c r="B42" s="2" t="s">
        <v>298</v>
      </c>
      <c r="C42" s="30" t="n">
        <f aca="false">1-($C$26+$C$10-$C$15)/Multiples!$C$15</f>
        <v>0.12992825443787</v>
      </c>
      <c r="D42" s="4" t="s">
        <v>299</v>
      </c>
    </row>
    <row r="43" customFormat="false" ht="15" hidden="false" customHeight="false" outlineLevel="0" collapsed="false">
      <c r="B43" s="8" t="s">
        <v>300</v>
      </c>
      <c r="C43" s="26" t="n">
        <f aca="false">IF($C$42*Multiples!$C$15&gt;=$C$13,1,0)</f>
        <v>1</v>
      </c>
      <c r="D43" s="4" t="s">
        <v>301</v>
      </c>
    </row>
    <row r="44" customFormat="false" ht="15" hidden="false" customHeight="false" outlineLevel="0" collapsed="false">
      <c r="B44" s="8" t="s">
        <v>302</v>
      </c>
      <c r="C44" s="8" t="str">
        <f aca="false">J73</f>
        <v>First lien</v>
      </c>
    </row>
    <row r="45" customFormat="false" ht="15" hidden="false" customHeight="false" outlineLevel="0" collapsed="false">
      <c r="B45" s="8" t="s">
        <v>303</v>
      </c>
      <c r="C45" s="8" t="str">
        <f aca="false">K73</f>
        <v>GUC</v>
      </c>
    </row>
    <row r="46" customFormat="false" ht="15" hidden="false" customHeight="false" outlineLevel="0" collapsed="false">
      <c r="B46" s="8" t="s">
        <v>304</v>
      </c>
      <c r="C46" s="8" t="str">
        <f aca="false">L73</f>
        <v>First lien</v>
      </c>
    </row>
    <row r="48" customFormat="false" ht="15" hidden="false" customHeight="false" outlineLevel="0" collapsed="false">
      <c r="B48" s="2" t="s">
        <v>305</v>
      </c>
    </row>
    <row r="49" customFormat="false" ht="15" hidden="false" customHeight="false" outlineLevel="0" collapsed="false">
      <c r="B49" s="5" t="s">
        <v>28</v>
      </c>
      <c r="C49" s="6" t="s">
        <v>306</v>
      </c>
      <c r="D49" s="6" t="s">
        <v>307</v>
      </c>
      <c r="E49" s="6" t="s">
        <v>308</v>
      </c>
      <c r="F49" s="6" t="s">
        <v>309</v>
      </c>
      <c r="G49" s="6" t="s">
        <v>310</v>
      </c>
      <c r="H49" s="6" t="s">
        <v>311</v>
      </c>
      <c r="I49" s="6" t="s">
        <v>312</v>
      </c>
      <c r="J49" s="6" t="s">
        <v>313</v>
      </c>
      <c r="K49" s="6" t="s">
        <v>314</v>
      </c>
      <c r="L49" s="6" t="s">
        <v>246</v>
      </c>
      <c r="M49" s="6" t="s">
        <v>315</v>
      </c>
      <c r="N49" s="6" t="s">
        <v>316</v>
      </c>
      <c r="O49" s="6" t="s">
        <v>317</v>
      </c>
      <c r="P49" s="6" t="s">
        <v>318</v>
      </c>
    </row>
    <row r="50" customFormat="false" ht="15" hidden="false" customHeight="false" outlineLevel="0" collapsed="false">
      <c r="B50" s="2" t="s">
        <v>319</v>
      </c>
      <c r="C50" s="19" t="n">
        <f aca="false">Inputs!C104</f>
        <v>700</v>
      </c>
      <c r="D50" s="19" t="n">
        <f aca="false">Inputs!D104</f>
        <v>800</v>
      </c>
      <c r="E50" s="19" t="n">
        <f aca="false">Inputs!E104</f>
        <v>900</v>
      </c>
      <c r="F50" s="19" t="n">
        <f aca="false">Inputs!F104</f>
        <v>1000</v>
      </c>
      <c r="G50" s="19" t="n">
        <f aca="false">Inputs!G104</f>
        <v>1100</v>
      </c>
      <c r="H50" s="19" t="n">
        <f aca="false">Inputs!H104</f>
        <v>1200</v>
      </c>
      <c r="I50" s="19" t="n">
        <f aca="false">Inputs!I104</f>
        <v>1300</v>
      </c>
      <c r="J50" s="19" t="n">
        <f aca="false">Multiples!$C$16</f>
        <v>975</v>
      </c>
      <c r="K50" s="19" t="n">
        <f aca="false">Multiples!$C$15</f>
        <v>1170</v>
      </c>
      <c r="L50" s="19" t="n">
        <f aca="false">Multiples!$C$17</f>
        <v>815</v>
      </c>
      <c r="M50" s="19" t="n">
        <f aca="false">$C$39</f>
        <v>1106.50428511706</v>
      </c>
      <c r="N50" s="19" t="n">
        <f aca="false">$C$39-0.1</f>
        <v>1106.40428511706</v>
      </c>
      <c r="O50" s="19" t="n">
        <f aca="false">$C$40</f>
        <v>1532.59932692308</v>
      </c>
      <c r="P50" s="19" t="n">
        <f aca="false">$C$40-0.1</f>
        <v>1532.49932692308</v>
      </c>
    </row>
    <row r="51" customFormat="false" ht="15" hidden="false" customHeight="false" outlineLevel="0" collapsed="false">
      <c r="B51" s="8" t="s">
        <v>290</v>
      </c>
      <c r="C51" s="20" t="n">
        <f aca="false">$C$34</f>
        <v>0.08</v>
      </c>
      <c r="D51" s="20" t="n">
        <f aca="false">$C$34</f>
        <v>0.08</v>
      </c>
      <c r="E51" s="20" t="n">
        <f aca="false">$C$34</f>
        <v>0.08</v>
      </c>
      <c r="F51" s="20" t="n">
        <f aca="false">$C$34</f>
        <v>0.08</v>
      </c>
      <c r="G51" s="20" t="n">
        <f aca="false">$C$34</f>
        <v>0.08</v>
      </c>
      <c r="H51" s="20" t="n">
        <f aca="false">$C$34</f>
        <v>0.08</v>
      </c>
      <c r="I51" s="20" t="n">
        <f aca="false">$C$34</f>
        <v>0.08</v>
      </c>
      <c r="J51" s="20" t="n">
        <f aca="false">$C$34</f>
        <v>0.08</v>
      </c>
      <c r="K51" s="20" t="n">
        <f aca="false">$C$34</f>
        <v>0.08</v>
      </c>
      <c r="L51" s="20" t="n">
        <f aca="false">$C$34</f>
        <v>0.08</v>
      </c>
      <c r="M51" s="20" t="n">
        <f aca="false">$C$34</f>
        <v>0.08</v>
      </c>
      <c r="N51" s="20" t="n">
        <f aca="false">$C$34</f>
        <v>0.08</v>
      </c>
      <c r="O51" s="20" t="n">
        <f aca="false">$C$34</f>
        <v>0.08</v>
      </c>
      <c r="P51" s="20" t="n">
        <f aca="false">$C$34</f>
        <v>0.08</v>
      </c>
    </row>
    <row r="52" customFormat="false" ht="15" hidden="false" customHeight="false" outlineLevel="0" collapsed="false">
      <c r="B52" s="8" t="s">
        <v>320</v>
      </c>
      <c r="C52" s="21" t="n">
        <f aca="false">$C$15</f>
        <v>22.5442307692307</v>
      </c>
      <c r="D52" s="21" t="n">
        <f aca="false">$C$15</f>
        <v>22.5442307692307</v>
      </c>
      <c r="E52" s="21" t="n">
        <f aca="false">$C$15</f>
        <v>22.5442307692307</v>
      </c>
      <c r="F52" s="21" t="n">
        <f aca="false">$C$15</f>
        <v>22.5442307692307</v>
      </c>
      <c r="G52" s="21" t="n">
        <f aca="false">$C$15</f>
        <v>22.5442307692307</v>
      </c>
      <c r="H52" s="21" t="n">
        <f aca="false">$C$15</f>
        <v>22.5442307692307</v>
      </c>
      <c r="I52" s="21" t="n">
        <f aca="false">$C$15</f>
        <v>22.5442307692307</v>
      </c>
      <c r="J52" s="21" t="n">
        <f aca="false">$C$15</f>
        <v>22.5442307692307</v>
      </c>
      <c r="K52" s="21" t="n">
        <f aca="false">$C$15</f>
        <v>22.5442307692307</v>
      </c>
      <c r="L52" s="21" t="n">
        <f aca="false">$C$15</f>
        <v>22.5442307692307</v>
      </c>
      <c r="M52" s="21" t="n">
        <f aca="false">$C$15</f>
        <v>22.5442307692307</v>
      </c>
      <c r="N52" s="21" t="n">
        <f aca="false">$C$15</f>
        <v>22.5442307692307</v>
      </c>
      <c r="O52" s="21" t="n">
        <f aca="false">$C$15</f>
        <v>22.5442307692307</v>
      </c>
      <c r="P52" s="21" t="n">
        <f aca="false">$C$15</f>
        <v>22.5442307692307</v>
      </c>
    </row>
    <row r="53" customFormat="false" ht="15" hidden="false" customHeight="false" outlineLevel="0" collapsed="false">
      <c r="B53" s="8" t="s">
        <v>321</v>
      </c>
      <c r="C53" s="21" t="n">
        <f aca="false">MAX(0,C50+C52-$C$14)</f>
        <v>630.149230769231</v>
      </c>
      <c r="D53" s="21" t="n">
        <f aca="false">MAX(0,D50+D52-$C$14)</f>
        <v>730.149230769231</v>
      </c>
      <c r="E53" s="21" t="n">
        <f aca="false">MAX(0,E50+E52-$C$14)</f>
        <v>830.149230769231</v>
      </c>
      <c r="F53" s="21" t="n">
        <f aca="false">MAX(0,F50+F52-$C$14)</f>
        <v>930.149230769231</v>
      </c>
      <c r="G53" s="21" t="n">
        <f aca="false">MAX(0,G50+G52-$C$14)</f>
        <v>1030.14923076923</v>
      </c>
      <c r="H53" s="21" t="n">
        <f aca="false">MAX(0,H50+H52-$C$14)</f>
        <v>1130.14923076923</v>
      </c>
      <c r="I53" s="21" t="n">
        <f aca="false">MAX(0,I50+I52-$C$14)</f>
        <v>1230.14923076923</v>
      </c>
      <c r="J53" s="21" t="n">
        <f aca="false">MAX(0,J50+J52-$C$14)</f>
        <v>905.149230769231</v>
      </c>
      <c r="K53" s="21" t="n">
        <f aca="false">MAX(0,K50+K52-$C$14)</f>
        <v>1100.14923076923</v>
      </c>
      <c r="L53" s="21" t="n">
        <f aca="false">MAX(0,L50+L52-$C$14)</f>
        <v>745.149230769231</v>
      </c>
      <c r="M53" s="21" t="n">
        <f aca="false">MAX(0,M50+M52-$C$14)</f>
        <v>1036.65351588629</v>
      </c>
      <c r="N53" s="21" t="n">
        <f aca="false">MAX(0,N50+N52-$C$14)</f>
        <v>1036.55351588629</v>
      </c>
      <c r="O53" s="21" t="n">
        <f aca="false">MAX(0,O50+O52-$C$14)</f>
        <v>1462.74855769231</v>
      </c>
      <c r="P53" s="21" t="n">
        <f aca="false">MAX(0,P50+P52-$C$14)</f>
        <v>1462.64855769231</v>
      </c>
    </row>
    <row r="54" customFormat="false" ht="15" hidden="false" customHeight="false" outlineLevel="0" collapsed="false">
      <c r="B54" s="8" t="s">
        <v>322</v>
      </c>
      <c r="C54" s="21" t="n">
        <f aca="false">(1-C51)*C50+C52</f>
        <v>666.544230769231</v>
      </c>
      <c r="D54" s="21" t="n">
        <f aca="false">(1-D51)*D50+D52</f>
        <v>758.544230769231</v>
      </c>
      <c r="E54" s="21" t="n">
        <f aca="false">(1-E51)*E50+E52</f>
        <v>850.544230769231</v>
      </c>
      <c r="F54" s="21" t="n">
        <f aca="false">(1-F51)*F50+F52</f>
        <v>942.544230769231</v>
      </c>
      <c r="G54" s="21" t="n">
        <f aca="false">(1-G51)*G50+G52</f>
        <v>1034.54423076923</v>
      </c>
      <c r="H54" s="21" t="n">
        <f aca="false">(1-H51)*H50+H52</f>
        <v>1126.54423076923</v>
      </c>
      <c r="I54" s="21" t="n">
        <f aca="false">(1-I51)*I50+I52</f>
        <v>1218.54423076923</v>
      </c>
      <c r="J54" s="21" t="n">
        <f aca="false">(1-J51)*J50+J52</f>
        <v>919.544230769231</v>
      </c>
      <c r="K54" s="21" t="n">
        <f aca="false">(1-K51)*K50+K52</f>
        <v>1098.94423076923</v>
      </c>
      <c r="L54" s="21" t="n">
        <f aca="false">(1-L51)*L50+L52</f>
        <v>772.344230769231</v>
      </c>
      <c r="M54" s="21" t="n">
        <f aca="false">(1-M51)*M50+M52</f>
        <v>1040.52817307692</v>
      </c>
      <c r="N54" s="21" t="n">
        <f aca="false">(1-N51)*N50+N52</f>
        <v>1040.43617307692</v>
      </c>
      <c r="O54" s="21" t="n">
        <f aca="false">(1-O51)*O50+O52</f>
        <v>1432.53561153846</v>
      </c>
      <c r="P54" s="21" t="n">
        <f aca="false">(1-P51)*P50+P52</f>
        <v>1432.44361153846</v>
      </c>
    </row>
    <row r="55" customFormat="false" ht="15" hidden="false" customHeight="false" outlineLevel="0" collapsed="false">
      <c r="B55" s="8" t="s">
        <v>323</v>
      </c>
      <c r="C55" s="21" t="n">
        <f aca="false">C51*C50</f>
        <v>56</v>
      </c>
      <c r="D55" s="21" t="n">
        <f aca="false">D51*D50</f>
        <v>64</v>
      </c>
      <c r="E55" s="21" t="n">
        <f aca="false">E51*E50</f>
        <v>72</v>
      </c>
      <c r="F55" s="21" t="n">
        <f aca="false">F51*F50</f>
        <v>80</v>
      </c>
      <c r="G55" s="21" t="n">
        <f aca="false">G51*G50</f>
        <v>88</v>
      </c>
      <c r="H55" s="21" t="n">
        <f aca="false">H51*H50</f>
        <v>96</v>
      </c>
      <c r="I55" s="21" t="n">
        <f aca="false">I51*I50</f>
        <v>104</v>
      </c>
      <c r="J55" s="21" t="n">
        <f aca="false">J51*J50</f>
        <v>78</v>
      </c>
      <c r="K55" s="21" t="n">
        <f aca="false">K51*K50</f>
        <v>93.6</v>
      </c>
      <c r="L55" s="21" t="n">
        <f aca="false">L51*L50</f>
        <v>65.2</v>
      </c>
      <c r="M55" s="21" t="n">
        <f aca="false">M51*M50</f>
        <v>88.5203428093646</v>
      </c>
      <c r="N55" s="21" t="n">
        <f aca="false">N51*N50</f>
        <v>88.5123428093646</v>
      </c>
      <c r="O55" s="21" t="n">
        <f aca="false">O51*O50</f>
        <v>122.607946153846</v>
      </c>
      <c r="P55" s="21" t="n">
        <f aca="false">P51*P50</f>
        <v>122.599946153846</v>
      </c>
    </row>
    <row r="56" customFormat="false" ht="15" hidden="false" customHeight="false" outlineLevel="0" collapsed="false">
      <c r="B56" s="22" t="s">
        <v>324</v>
      </c>
      <c r="C56" s="21" t="n">
        <f aca="false">MIN(C55,$C$13)</f>
        <v>12</v>
      </c>
      <c r="D56" s="21" t="n">
        <f aca="false">MIN(D55,$C$13)</f>
        <v>12</v>
      </c>
      <c r="E56" s="21" t="n">
        <f aca="false">MIN(E55,$C$13)</f>
        <v>12</v>
      </c>
      <c r="F56" s="21" t="n">
        <f aca="false">MIN(F55,$C$13)</f>
        <v>12</v>
      </c>
      <c r="G56" s="21" t="n">
        <f aca="false">MIN(G55,$C$13)</f>
        <v>12</v>
      </c>
      <c r="H56" s="21" t="n">
        <f aca="false">MIN(H55,$C$13)</f>
        <v>12</v>
      </c>
      <c r="I56" s="21" t="n">
        <f aca="false">MIN(I55,$C$13)</f>
        <v>12</v>
      </c>
      <c r="J56" s="21" t="n">
        <f aca="false">MIN(J55,$C$13)</f>
        <v>12</v>
      </c>
      <c r="K56" s="21" t="n">
        <f aca="false">MIN(K55,$C$13)</f>
        <v>12</v>
      </c>
      <c r="L56" s="21" t="n">
        <f aca="false">MIN(L55,$C$13)</f>
        <v>12</v>
      </c>
      <c r="M56" s="21" t="n">
        <f aca="false">MIN(M55,$C$13)</f>
        <v>12</v>
      </c>
      <c r="N56" s="21" t="n">
        <f aca="false">MIN(N55,$C$13)</f>
        <v>12</v>
      </c>
      <c r="O56" s="21" t="n">
        <f aca="false">MIN(O55,$C$13)</f>
        <v>12</v>
      </c>
      <c r="P56" s="21" t="n">
        <f aca="false">MIN(P55,$C$13)</f>
        <v>12</v>
      </c>
    </row>
    <row r="57" customFormat="false" ht="15" hidden="false" customHeight="false" outlineLevel="0" collapsed="false">
      <c r="B57" s="22" t="s">
        <v>325</v>
      </c>
      <c r="C57" s="21" t="n">
        <f aca="false">$C$10+$C$13-C56</f>
        <v>80.395</v>
      </c>
      <c r="D57" s="21" t="n">
        <f aca="false">$C$10+$C$13-D56</f>
        <v>80.395</v>
      </c>
      <c r="E57" s="21" t="n">
        <f aca="false">$C$10+$C$13-E56</f>
        <v>80.395</v>
      </c>
      <c r="F57" s="21" t="n">
        <f aca="false">$C$10+$C$13-F56</f>
        <v>80.395</v>
      </c>
      <c r="G57" s="21" t="n">
        <f aca="false">$C$10+$C$13-G56</f>
        <v>80.395</v>
      </c>
      <c r="H57" s="21" t="n">
        <f aca="false">$C$10+$C$13-H56</f>
        <v>80.395</v>
      </c>
      <c r="I57" s="21" t="n">
        <f aca="false">$C$10+$C$13-I56</f>
        <v>80.395</v>
      </c>
      <c r="J57" s="21" t="n">
        <f aca="false">$C$10+$C$13-J56</f>
        <v>80.395</v>
      </c>
      <c r="K57" s="21" t="n">
        <f aca="false">$C$10+$C$13-K56</f>
        <v>80.395</v>
      </c>
      <c r="L57" s="21" t="n">
        <f aca="false">$C$10+$C$13-L56</f>
        <v>80.395</v>
      </c>
      <c r="M57" s="21" t="n">
        <f aca="false">$C$10+$C$13-M56</f>
        <v>80.395</v>
      </c>
      <c r="N57" s="21" t="n">
        <f aca="false">$C$10+$C$13-N56</f>
        <v>80.395</v>
      </c>
      <c r="O57" s="21" t="n">
        <f aca="false">$C$10+$C$13-O56</f>
        <v>80.395</v>
      </c>
      <c r="P57" s="21" t="n">
        <f aca="false">$C$10+$C$13-P56</f>
        <v>80.395</v>
      </c>
    </row>
    <row r="58" customFormat="false" ht="15" hidden="false" customHeight="false" outlineLevel="0" collapsed="false">
      <c r="B58" s="22" t="s">
        <v>326</v>
      </c>
      <c r="C58" s="21" t="n">
        <f aca="false">MAX(0,C57-C54)</f>
        <v>0</v>
      </c>
      <c r="D58" s="21" t="n">
        <f aca="false">MAX(0,D57-D54)</f>
        <v>0</v>
      </c>
      <c r="E58" s="21" t="n">
        <f aca="false">MAX(0,E57-E54)</f>
        <v>0</v>
      </c>
      <c r="F58" s="21" t="n">
        <f aca="false">MAX(0,F57-F54)</f>
        <v>0</v>
      </c>
      <c r="G58" s="21" t="n">
        <f aca="false">MAX(0,G57-G54)</f>
        <v>0</v>
      </c>
      <c r="H58" s="21" t="n">
        <f aca="false">MAX(0,H57-H54)</f>
        <v>0</v>
      </c>
      <c r="I58" s="21" t="n">
        <f aca="false">MAX(0,I57-I54)</f>
        <v>0</v>
      </c>
      <c r="J58" s="21" t="n">
        <f aca="false">MAX(0,J57-J54)</f>
        <v>0</v>
      </c>
      <c r="K58" s="21" t="n">
        <f aca="false">MAX(0,K57-K54)</f>
        <v>0</v>
      </c>
      <c r="L58" s="21" t="n">
        <f aca="false">MAX(0,L57-L54)</f>
        <v>0</v>
      </c>
      <c r="M58" s="21" t="n">
        <f aca="false">MAX(0,M57-M54)</f>
        <v>0</v>
      </c>
      <c r="N58" s="21" t="n">
        <f aca="false">MAX(0,N57-N54)</f>
        <v>0</v>
      </c>
      <c r="O58" s="21" t="n">
        <f aca="false">MAX(0,O57-O54)</f>
        <v>0</v>
      </c>
      <c r="P58" s="21" t="n">
        <f aca="false">MAX(0,P57-P54)</f>
        <v>0</v>
      </c>
    </row>
    <row r="59" customFormat="false" ht="15" hidden="false" customHeight="false" outlineLevel="0" collapsed="false">
      <c r="B59" s="22" t="s">
        <v>327</v>
      </c>
      <c r="C59" s="21" t="n">
        <f aca="false">MAX(0,C55-C56-C58)</f>
        <v>44</v>
      </c>
      <c r="D59" s="21" t="n">
        <f aca="false">MAX(0,D55-D56-D58)</f>
        <v>52</v>
      </c>
      <c r="E59" s="21" t="n">
        <f aca="false">MAX(0,E55-E56-E58)</f>
        <v>60</v>
      </c>
      <c r="F59" s="21" t="n">
        <f aca="false">MAX(0,F55-F56-F58)</f>
        <v>68</v>
      </c>
      <c r="G59" s="21" t="n">
        <f aca="false">MAX(0,G55-G56-G58)</f>
        <v>76</v>
      </c>
      <c r="H59" s="21" t="n">
        <f aca="false">MAX(0,H55-H56-H58)</f>
        <v>84</v>
      </c>
      <c r="I59" s="21" t="n">
        <f aca="false">MAX(0,I55-I56-I58)</f>
        <v>92</v>
      </c>
      <c r="J59" s="21" t="n">
        <f aca="false">MAX(0,J55-J56-J58)</f>
        <v>66</v>
      </c>
      <c r="K59" s="21" t="n">
        <f aca="false">MAX(0,K55-K56-K58)</f>
        <v>81.6</v>
      </c>
      <c r="L59" s="21" t="n">
        <f aca="false">MAX(0,L55-L56-L58)</f>
        <v>53.2</v>
      </c>
      <c r="M59" s="21" t="n">
        <f aca="false">MAX(0,M55-M56-M58)</f>
        <v>76.5203428093646</v>
      </c>
      <c r="N59" s="21" t="n">
        <f aca="false">MAX(0,N55-N56-N58)</f>
        <v>76.5123428093646</v>
      </c>
      <c r="O59" s="21" t="n">
        <f aca="false">MAX(0,O55-O56-O58)</f>
        <v>110.607946153846</v>
      </c>
      <c r="P59" s="21" t="n">
        <f aca="false">MAX(0,P55-P56-P58)</f>
        <v>110.599946153846</v>
      </c>
    </row>
    <row r="60" customFormat="false" ht="15" hidden="false" customHeight="false" outlineLevel="0" collapsed="false">
      <c r="B60" s="22" t="s">
        <v>328</v>
      </c>
      <c r="C60" s="21" t="n">
        <f aca="false">MAX(0,C54-C57)</f>
        <v>586.149230769231</v>
      </c>
      <c r="D60" s="21" t="n">
        <f aca="false">MAX(0,D54-D57)</f>
        <v>678.149230769231</v>
      </c>
      <c r="E60" s="21" t="n">
        <f aca="false">MAX(0,E54-E57)</f>
        <v>770.149230769231</v>
      </c>
      <c r="F60" s="21" t="n">
        <f aca="false">MAX(0,F54-F57)</f>
        <v>862.149230769231</v>
      </c>
      <c r="G60" s="21" t="n">
        <f aca="false">MAX(0,G54-G57)</f>
        <v>954.149230769231</v>
      </c>
      <c r="H60" s="21" t="n">
        <f aca="false">MAX(0,H54-H57)</f>
        <v>1046.14923076923</v>
      </c>
      <c r="I60" s="21" t="n">
        <f aca="false">MAX(0,I54-I57)</f>
        <v>1138.14923076923</v>
      </c>
      <c r="J60" s="21" t="n">
        <f aca="false">MAX(0,J54-J57)</f>
        <v>839.149230769231</v>
      </c>
      <c r="K60" s="21" t="n">
        <f aca="false">MAX(0,K54-K57)</f>
        <v>1018.54923076923</v>
      </c>
      <c r="L60" s="21" t="n">
        <f aca="false">MAX(0,L54-L57)</f>
        <v>691.949230769231</v>
      </c>
      <c r="M60" s="21" t="n">
        <f aca="false">MAX(0,M54-M57)</f>
        <v>960.133173076923</v>
      </c>
      <c r="N60" s="21" t="n">
        <f aca="false">MAX(0,N54-N57)</f>
        <v>960.041173076923</v>
      </c>
      <c r="O60" s="21" t="n">
        <f aca="false">MAX(0,O54-O57)</f>
        <v>1352.14061153846</v>
      </c>
      <c r="P60" s="21" t="n">
        <f aca="false">MAX(0,P54-P57)</f>
        <v>1352.04861153846</v>
      </c>
    </row>
    <row r="61" customFormat="false" ht="15" hidden="false" customHeight="false" outlineLevel="0" collapsed="false">
      <c r="B61" s="22" t="s">
        <v>329</v>
      </c>
      <c r="C61" s="21" t="n">
        <f aca="false">MIN(C60,$C$26)</f>
        <v>586.149230769231</v>
      </c>
      <c r="D61" s="21" t="n">
        <f aca="false">MIN(D60,$C$26)</f>
        <v>678.149230769231</v>
      </c>
      <c r="E61" s="21" t="n">
        <f aca="false">MIN(E60,$C$26)</f>
        <v>770.149230769231</v>
      </c>
      <c r="F61" s="21" t="n">
        <f aca="false">MIN(F60,$C$26)</f>
        <v>862.149230769231</v>
      </c>
      <c r="G61" s="21" t="n">
        <f aca="false">MIN(G60,$C$26)</f>
        <v>954.149230769231</v>
      </c>
      <c r="H61" s="21" t="n">
        <f aca="false">MIN(H60,$C$26)</f>
        <v>960.133173076923</v>
      </c>
      <c r="I61" s="21" t="n">
        <f aca="false">MIN(I60,$C$26)</f>
        <v>960.133173076923</v>
      </c>
      <c r="J61" s="21" t="n">
        <f aca="false">MIN(J60,$C$26)</f>
        <v>839.149230769231</v>
      </c>
      <c r="K61" s="21" t="n">
        <f aca="false">MIN(K60,$C$26)</f>
        <v>960.133173076923</v>
      </c>
      <c r="L61" s="21" t="n">
        <f aca="false">MIN(L60,$C$26)</f>
        <v>691.949230769231</v>
      </c>
      <c r="M61" s="21" t="n">
        <f aca="false">MIN(M60,$C$26)</f>
        <v>960.133173076923</v>
      </c>
      <c r="N61" s="21" t="n">
        <f aca="false">MIN(N60,$C$26)</f>
        <v>960.041173076923</v>
      </c>
      <c r="O61" s="21" t="n">
        <f aca="false">MIN(O60,$C$26)</f>
        <v>960.133173076923</v>
      </c>
      <c r="P61" s="21" t="n">
        <f aca="false">MIN(P60,$C$26)</f>
        <v>960.133173076923</v>
      </c>
    </row>
    <row r="62" customFormat="false" ht="15" hidden="false" customHeight="false" outlineLevel="0" collapsed="false">
      <c r="B62" s="22" t="s">
        <v>330</v>
      </c>
      <c r="C62" s="21" t="n">
        <f aca="false">C60-C61</f>
        <v>0</v>
      </c>
      <c r="D62" s="21" t="n">
        <f aca="false">D60-D61</f>
        <v>0</v>
      </c>
      <c r="E62" s="21" t="n">
        <f aca="false">E60-E61</f>
        <v>0</v>
      </c>
      <c r="F62" s="21" t="n">
        <f aca="false">F60-F61</f>
        <v>0</v>
      </c>
      <c r="G62" s="21" t="n">
        <f aca="false">G60-G61</f>
        <v>0</v>
      </c>
      <c r="H62" s="21" t="n">
        <f aca="false">H60-H61</f>
        <v>86.0160576923075</v>
      </c>
      <c r="I62" s="21" t="n">
        <f aca="false">I60-I61</f>
        <v>178.016057692308</v>
      </c>
      <c r="J62" s="21" t="n">
        <f aca="false">J60-J61</f>
        <v>0</v>
      </c>
      <c r="K62" s="21" t="n">
        <f aca="false">K60-K61</f>
        <v>58.4160576923076</v>
      </c>
      <c r="L62" s="21" t="n">
        <f aca="false">L60-L61</f>
        <v>0</v>
      </c>
      <c r="M62" s="21" t="n">
        <f aca="false">M60-M61</f>
        <v>0</v>
      </c>
      <c r="N62" s="21" t="n">
        <f aca="false">N60-N61</f>
        <v>0</v>
      </c>
      <c r="O62" s="21" t="n">
        <f aca="false">O60-O61</f>
        <v>392.007438461539</v>
      </c>
      <c r="P62" s="21" t="n">
        <f aca="false">P60-P61</f>
        <v>391.915438461539</v>
      </c>
    </row>
    <row r="63" customFormat="false" ht="15" hidden="false" customHeight="false" outlineLevel="0" collapsed="false">
      <c r="B63" s="22" t="s">
        <v>331</v>
      </c>
      <c r="C63" s="21" t="n">
        <f aca="false">$C$26-C61</f>
        <v>373.983942307692</v>
      </c>
      <c r="D63" s="21" t="n">
        <f aca="false">$C$26-D61</f>
        <v>281.983942307692</v>
      </c>
      <c r="E63" s="21" t="n">
        <f aca="false">$C$26-E61</f>
        <v>189.983942307692</v>
      </c>
      <c r="F63" s="21" t="n">
        <f aca="false">$C$26-F61</f>
        <v>97.9839423076924</v>
      </c>
      <c r="G63" s="21" t="n">
        <f aca="false">$C$26-G61</f>
        <v>5.98394230769247</v>
      </c>
      <c r="H63" s="21" t="n">
        <f aca="false">$C$26-H61</f>
        <v>0</v>
      </c>
      <c r="I63" s="21" t="n">
        <f aca="false">$C$26-I61</f>
        <v>0</v>
      </c>
      <c r="J63" s="21" t="n">
        <f aca="false">$C$26-J61</f>
        <v>120.983942307692</v>
      </c>
      <c r="K63" s="21" t="n">
        <f aca="false">$C$26-K61</f>
        <v>0</v>
      </c>
      <c r="L63" s="21" t="n">
        <f aca="false">$C$26-L61</f>
        <v>268.183942307692</v>
      </c>
      <c r="M63" s="21" t="n">
        <f aca="false">$C$26-M61</f>
        <v>0</v>
      </c>
      <c r="N63" s="21" t="n">
        <f aca="false">$C$26-N61</f>
        <v>0.0919999999999845</v>
      </c>
      <c r="O63" s="21" t="n">
        <f aca="false">$C$26-O61</f>
        <v>0</v>
      </c>
      <c r="P63" s="21" t="n">
        <f aca="false">$C$26-P61</f>
        <v>0</v>
      </c>
    </row>
    <row r="64" customFormat="false" ht="15" hidden="false" customHeight="false" outlineLevel="0" collapsed="false">
      <c r="B64" s="22" t="s">
        <v>332</v>
      </c>
      <c r="C64" s="21" t="n">
        <f aca="false">C63+$C$33</f>
        <v>876.599326923077</v>
      </c>
      <c r="D64" s="21" t="n">
        <f aca="false">D63+$C$33</f>
        <v>784.599326923077</v>
      </c>
      <c r="E64" s="21" t="n">
        <f aca="false">E63+$C$33</f>
        <v>692.599326923077</v>
      </c>
      <c r="F64" s="21" t="n">
        <f aca="false">F63+$C$33</f>
        <v>600.599326923077</v>
      </c>
      <c r="G64" s="21" t="n">
        <f aca="false">G63+$C$33</f>
        <v>508.599326923077</v>
      </c>
      <c r="H64" s="21" t="n">
        <f aca="false">H63+$C$33</f>
        <v>502.615384615385</v>
      </c>
      <c r="I64" s="21" t="n">
        <f aca="false">I63+$C$33</f>
        <v>502.615384615385</v>
      </c>
      <c r="J64" s="21" t="n">
        <f aca="false">J63+$C$33</f>
        <v>623.599326923077</v>
      </c>
      <c r="K64" s="21" t="n">
        <f aca="false">K63+$C$33</f>
        <v>502.615384615385</v>
      </c>
      <c r="L64" s="21" t="n">
        <f aca="false">L63+$C$33</f>
        <v>770.799326923077</v>
      </c>
      <c r="M64" s="21" t="n">
        <f aca="false">M63+$C$33</f>
        <v>502.615384615385</v>
      </c>
      <c r="N64" s="21" t="n">
        <f aca="false">N63+$C$33</f>
        <v>502.707384615385</v>
      </c>
      <c r="O64" s="21" t="n">
        <f aca="false">O63+$C$33</f>
        <v>502.615384615385</v>
      </c>
      <c r="P64" s="21" t="n">
        <f aca="false">P63+$C$33</f>
        <v>502.615384615385</v>
      </c>
    </row>
    <row r="65" customFormat="false" ht="15" hidden="false" customHeight="false" outlineLevel="0" collapsed="false">
      <c r="B65" s="22" t="s">
        <v>333</v>
      </c>
      <c r="C65" s="21" t="n">
        <f aca="false">C59+C62</f>
        <v>44</v>
      </c>
      <c r="D65" s="21" t="n">
        <f aca="false">D59+D62</f>
        <v>52</v>
      </c>
      <c r="E65" s="21" t="n">
        <f aca="false">E59+E62</f>
        <v>60</v>
      </c>
      <c r="F65" s="21" t="n">
        <f aca="false">F59+F62</f>
        <v>68</v>
      </c>
      <c r="G65" s="21" t="n">
        <f aca="false">G59+G62</f>
        <v>76</v>
      </c>
      <c r="H65" s="21" t="n">
        <f aca="false">H59+H62</f>
        <v>170.016057692308</v>
      </c>
      <c r="I65" s="21" t="n">
        <f aca="false">I59+I62</f>
        <v>270.016057692308</v>
      </c>
      <c r="J65" s="21" t="n">
        <f aca="false">J59+J62</f>
        <v>66</v>
      </c>
      <c r="K65" s="21" t="n">
        <f aca="false">K59+K62</f>
        <v>140.016057692308</v>
      </c>
      <c r="L65" s="21" t="n">
        <f aca="false">L59+L62</f>
        <v>53.2</v>
      </c>
      <c r="M65" s="21" t="n">
        <f aca="false">M59+M62</f>
        <v>76.5203428093646</v>
      </c>
      <c r="N65" s="21" t="n">
        <f aca="false">N59+N62</f>
        <v>76.5123428093646</v>
      </c>
      <c r="O65" s="21" t="n">
        <f aca="false">O59+O62</f>
        <v>502.615384615385</v>
      </c>
      <c r="P65" s="21" t="n">
        <f aca="false">P59+P62</f>
        <v>502.515384615385</v>
      </c>
    </row>
    <row r="66" customFormat="false" ht="15" hidden="false" customHeight="false" outlineLevel="0" collapsed="false">
      <c r="B66" s="22" t="s">
        <v>334</v>
      </c>
      <c r="C66" s="21" t="n">
        <f aca="false">MIN(C65,C64)*C63/C64</f>
        <v>18.7717386451775</v>
      </c>
      <c r="D66" s="21" t="n">
        <f aca="false">MIN(D65,D64)*D63/D64</f>
        <v>18.6887300267052</v>
      </c>
      <c r="E66" s="21" t="n">
        <f aca="false">MIN(E65,E64)*E63/E64</f>
        <v>16.4583419234647</v>
      </c>
      <c r="F66" s="21" t="n">
        <f aca="false">MIN(F65,F64)*F63/F64</f>
        <v>11.0937654743267</v>
      </c>
      <c r="G66" s="21" t="n">
        <f aca="false">MIN(G65,G64)*G63/G64</f>
        <v>0.894180529368673</v>
      </c>
      <c r="H66" s="21" t="n">
        <f aca="false">MIN(H65,H64)*H63/H64</f>
        <v>0</v>
      </c>
      <c r="I66" s="21" t="n">
        <f aca="false">MIN(I65,I64)*I63/I64</f>
        <v>0</v>
      </c>
      <c r="J66" s="21" t="n">
        <f aca="false">MIN(J65,J64)*J63/J64</f>
        <v>12.8046004021628</v>
      </c>
      <c r="K66" s="21" t="n">
        <f aca="false">MIN(K65,K64)*K63/K64</f>
        <v>0</v>
      </c>
      <c r="L66" s="21" t="n">
        <f aca="false">MIN(L65,L64)*L63/L64</f>
        <v>18.5098575367504</v>
      </c>
      <c r="M66" s="21" t="n">
        <f aca="false">MIN(M65,M64)*M63/M64</f>
        <v>0</v>
      </c>
      <c r="N66" s="21" t="n">
        <f aca="false">MIN(N65,N64)*N63/N64</f>
        <v>0.0140024510358962</v>
      </c>
      <c r="O66" s="21" t="n">
        <f aca="false">MIN(O65,O64)*O63/O64</f>
        <v>0</v>
      </c>
      <c r="P66" s="21" t="n">
        <f aca="false">MIN(P65,P64)*P63/P64</f>
        <v>0</v>
      </c>
    </row>
    <row r="67" customFormat="false" ht="15" hidden="false" customHeight="false" outlineLevel="0" collapsed="false">
      <c r="B67" s="2" t="s">
        <v>335</v>
      </c>
      <c r="C67" s="19" t="n">
        <f aca="false">C61+C66</f>
        <v>604.920969414408</v>
      </c>
      <c r="D67" s="19" t="n">
        <f aca="false">D61+D66</f>
        <v>696.837960795936</v>
      </c>
      <c r="E67" s="19" t="n">
        <f aca="false">E61+E66</f>
        <v>786.607572692696</v>
      </c>
      <c r="F67" s="19" t="n">
        <f aca="false">F61+F66</f>
        <v>873.242996243557</v>
      </c>
      <c r="G67" s="19" t="n">
        <f aca="false">G61+G66</f>
        <v>955.043411298599</v>
      </c>
      <c r="H67" s="19" t="n">
        <f aca="false">H61+H66</f>
        <v>960.133173076923</v>
      </c>
      <c r="I67" s="19" t="n">
        <f aca="false">I61+I66</f>
        <v>960.133173076923</v>
      </c>
      <c r="J67" s="19" t="n">
        <f aca="false">J61+J66</f>
        <v>851.953831171394</v>
      </c>
      <c r="K67" s="19" t="n">
        <f aca="false">K61+K66</f>
        <v>960.133173076923</v>
      </c>
      <c r="L67" s="19" t="n">
        <f aca="false">L61+L66</f>
        <v>710.459088305981</v>
      </c>
      <c r="M67" s="19" t="n">
        <f aca="false">M61+M66</f>
        <v>960.133173076923</v>
      </c>
      <c r="N67" s="19" t="n">
        <f aca="false">N61+N66</f>
        <v>960.055175527959</v>
      </c>
      <c r="O67" s="19" t="n">
        <f aca="false">O61+O66</f>
        <v>960.133173076923</v>
      </c>
      <c r="P67" s="19" t="n">
        <f aca="false">P61+P66</f>
        <v>960.133173076923</v>
      </c>
    </row>
    <row r="68" customFormat="false" ht="15" hidden="false" customHeight="false" outlineLevel="0" collapsed="false">
      <c r="B68" s="2" t="s">
        <v>336</v>
      </c>
      <c r="C68" s="30" t="n">
        <f aca="false">C67/$C$26</f>
        <v>0.630038609618943</v>
      </c>
      <c r="D68" s="30" t="n">
        <f aca="false">D67/$C$26</f>
        <v>0.725772195291191</v>
      </c>
      <c r="E68" s="30" t="n">
        <f aca="false">E67/$C$26</f>
        <v>0.819269237591143</v>
      </c>
      <c r="F68" s="30" t="n">
        <f aca="false">F67/$C$26</f>
        <v>0.909501953197898</v>
      </c>
      <c r="G68" s="30" t="n">
        <f aca="false">G67/$C$26</f>
        <v>0.994698900193176</v>
      </c>
      <c r="H68" s="30" t="n">
        <f aca="false">H67/$C$26</f>
        <v>1</v>
      </c>
      <c r="I68" s="30" t="n">
        <f aca="false">I67/$C$26</f>
        <v>1</v>
      </c>
      <c r="J68" s="30" t="n">
        <f aca="false">J67/$C$26</f>
        <v>0.887328815482076</v>
      </c>
      <c r="K68" s="30" t="n">
        <f aca="false">K67/$C$26</f>
        <v>1</v>
      </c>
      <c r="L68" s="30" t="n">
        <f aca="false">L67/$C$26</f>
        <v>0.739958901773162</v>
      </c>
      <c r="M68" s="30" t="n">
        <f aca="false">M67/$C$26</f>
        <v>1</v>
      </c>
      <c r="N68" s="30" t="n">
        <f aca="false">N67/$C$26</f>
        <v>0.999918763822404</v>
      </c>
      <c r="O68" s="30" t="n">
        <f aca="false">O67/$C$26</f>
        <v>1</v>
      </c>
      <c r="P68" s="30" t="n">
        <f aca="false">P67/$C$26</f>
        <v>1</v>
      </c>
    </row>
    <row r="69" customFormat="false" ht="15" hidden="false" customHeight="false" outlineLevel="0" collapsed="false">
      <c r="B69" s="2" t="s">
        <v>337</v>
      </c>
      <c r="C69" s="19" t="n">
        <f aca="false">MIN(C65,C64)*$C$33/C64</f>
        <v>25.2282613548226</v>
      </c>
      <c r="D69" s="19" t="n">
        <f aca="false">MIN(D65,D64)*$C$33/D64</f>
        <v>33.3112699732948</v>
      </c>
      <c r="E69" s="19" t="n">
        <f aca="false">MIN(E65,E64)*$C$33/E64</f>
        <v>43.5416580765353</v>
      </c>
      <c r="F69" s="19" t="n">
        <f aca="false">MIN(F65,F64)*$C$33/F64</f>
        <v>56.9062345256733</v>
      </c>
      <c r="G69" s="19" t="n">
        <f aca="false">MIN(G65,G64)*$C$33/G64</f>
        <v>75.1058194706313</v>
      </c>
      <c r="H69" s="19" t="n">
        <f aca="false">MIN(H65,H64)*$C$33/H64</f>
        <v>170.016057692308</v>
      </c>
      <c r="I69" s="19" t="n">
        <f aca="false">MIN(I65,I64)*$C$33/I64</f>
        <v>270.016057692308</v>
      </c>
      <c r="J69" s="19" t="n">
        <f aca="false">MIN(J65,J64)*$C$33/J64</f>
        <v>53.1953995978372</v>
      </c>
      <c r="K69" s="19" t="n">
        <f aca="false">MIN(K65,K64)*$C$33/K64</f>
        <v>140.016057692308</v>
      </c>
      <c r="L69" s="19" t="n">
        <f aca="false">MIN(L65,L64)*$C$33/L64</f>
        <v>34.6901424632496</v>
      </c>
      <c r="M69" s="19" t="n">
        <f aca="false">MIN(M65,M64)*$C$33/M64</f>
        <v>76.5203428093646</v>
      </c>
      <c r="N69" s="19" t="n">
        <f aca="false">MIN(N65,N64)*$C$33/N64</f>
        <v>76.4983403583287</v>
      </c>
      <c r="O69" s="19" t="n">
        <f aca="false">MIN(O65,O64)*$C$33/O64</f>
        <v>502.615384615385</v>
      </c>
      <c r="P69" s="19" t="n">
        <f aca="false">MIN(P65,P64)*$C$33/P64</f>
        <v>502.515384615385</v>
      </c>
    </row>
    <row r="70" customFormat="false" ht="15" hidden="false" customHeight="false" outlineLevel="0" collapsed="false">
      <c r="B70" s="2" t="s">
        <v>338</v>
      </c>
      <c r="C70" s="30" t="n">
        <f aca="false">C69/$C$33</f>
        <v>0.0501939696376941</v>
      </c>
      <c r="D70" s="30" t="n">
        <f aca="false">D69/$C$33</f>
        <v>0.0662758661850065</v>
      </c>
      <c r="E70" s="30" t="n">
        <f aca="false">E69/$C$33</f>
        <v>0.086630173705993</v>
      </c>
      <c r="F70" s="30" t="n">
        <f aca="false">F69/$C$33</f>
        <v>0.113220240103115</v>
      </c>
      <c r="G70" s="30" t="n">
        <f aca="false">G69/$C$33</f>
        <v>0.149430005068596</v>
      </c>
      <c r="H70" s="30" t="n">
        <f aca="false">H69/$C$33</f>
        <v>0.338262741046832</v>
      </c>
      <c r="I70" s="30" t="n">
        <f aca="false">I69/$C$33</f>
        <v>0.537222030915212</v>
      </c>
      <c r="J70" s="30" t="n">
        <f aca="false">J69/$C$33</f>
        <v>0.105837189282504</v>
      </c>
      <c r="K70" s="30" t="n">
        <f aca="false">K69/$C$33</f>
        <v>0.278574954086318</v>
      </c>
      <c r="L70" s="30" t="n">
        <f aca="false">L69/$C$33</f>
        <v>0.0690192610992111</v>
      </c>
      <c r="M70" s="30" t="n">
        <f aca="false">M69/$C$33</f>
        <v>0.152244330658362</v>
      </c>
      <c r="N70" s="30" t="n">
        <f aca="false">N69/$C$33</f>
        <v>0.152200554738028</v>
      </c>
      <c r="O70" s="30" t="n">
        <f aca="false">O69/$C$33</f>
        <v>1</v>
      </c>
      <c r="P70" s="30" t="n">
        <f aca="false">P69/$C$33</f>
        <v>0.999801040710132</v>
      </c>
    </row>
    <row r="71" customFormat="false" ht="15" hidden="false" customHeight="false" outlineLevel="0" collapsed="false">
      <c r="B71" s="22" t="s">
        <v>339</v>
      </c>
      <c r="C71" s="21" t="n">
        <f aca="false">C69*$C$30/$C$33</f>
        <v>20.8613859963432</v>
      </c>
      <c r="D71" s="21" t="n">
        <f aca="false">D69*$C$30/$C$33</f>
        <v>27.5452696151992</v>
      </c>
      <c r="E71" s="21" t="n">
        <f aca="false">E69*$C$30/$C$33</f>
        <v>36.0048329641139</v>
      </c>
      <c r="F71" s="21" t="n">
        <f aca="false">F69*$C$30/$C$33</f>
        <v>47.0560736367023</v>
      </c>
      <c r="G71" s="21" t="n">
        <f aca="false">G69*$C$30/$C$33</f>
        <v>62.1054090296635</v>
      </c>
      <c r="H71" s="21" t="n">
        <f aca="false">H69*$C$30/$C$33</f>
        <v>140.587199221233</v>
      </c>
      <c r="I71" s="21" t="n">
        <f aca="false">I69*$C$30/$C$33</f>
        <v>223.277741002684</v>
      </c>
      <c r="J71" s="21" t="n">
        <f aca="false">J69*$C$30/$C$33</f>
        <v>43.9875641302593</v>
      </c>
      <c r="K71" s="21" t="n">
        <f aca="false">K69*$C$30/$C$33</f>
        <v>115.780036686798</v>
      </c>
      <c r="L71" s="21" t="n">
        <f aca="false">L69*$C$30/$C$33</f>
        <v>28.6854667476183</v>
      </c>
      <c r="M71" s="21" t="n">
        <f aca="false">M69*$C$30/$C$33</f>
        <v>63.2750860420871</v>
      </c>
      <c r="N71" s="21" t="n">
        <f aca="false">N69*$C$30/$C$33</f>
        <v>63.2568920961203</v>
      </c>
      <c r="O71" s="21" t="n">
        <f aca="false">O69*$C$30/$C$33</f>
        <v>415.615384615385</v>
      </c>
      <c r="P71" s="21" t="n">
        <f aca="false">P69*$C$30/$C$33</f>
        <v>415.532694073603</v>
      </c>
    </row>
    <row r="72" customFormat="false" ht="15" hidden="false" customHeight="false" outlineLevel="0" collapsed="false">
      <c r="B72" s="8" t="s">
        <v>340</v>
      </c>
      <c r="C72" s="21" t="n">
        <f aca="false">MAX(0,C65-C66-C69)</f>
        <v>0</v>
      </c>
      <c r="D72" s="21" t="n">
        <f aca="false">MAX(0,D65-D66-D69)</f>
        <v>0</v>
      </c>
      <c r="E72" s="21" t="n">
        <f aca="false">MAX(0,E65-E66-E69)</f>
        <v>0</v>
      </c>
      <c r="F72" s="21" t="n">
        <f aca="false">MAX(0,F65-F66-F69)</f>
        <v>0</v>
      </c>
      <c r="G72" s="21" t="n">
        <f aca="false">MAX(0,G65-G66-G69)</f>
        <v>0</v>
      </c>
      <c r="H72" s="21" t="n">
        <f aca="false">MAX(0,H65-H66-H69)</f>
        <v>0</v>
      </c>
      <c r="I72" s="21" t="n">
        <f aca="false">MAX(0,I65-I66-I69)</f>
        <v>0</v>
      </c>
      <c r="J72" s="21" t="n">
        <f aca="false">MAX(0,J65-J66-J69)</f>
        <v>0</v>
      </c>
      <c r="K72" s="21" t="n">
        <f aca="false">MAX(0,K65-K66-K69)</f>
        <v>0</v>
      </c>
      <c r="L72" s="21" t="n">
        <f aca="false">MAX(0,L65-L66-L69)</f>
        <v>0</v>
      </c>
      <c r="M72" s="21" t="n">
        <f aca="false">MAX(0,M65-M66-M69)</f>
        <v>0</v>
      </c>
      <c r="N72" s="21" t="n">
        <f aca="false">MAX(0,N65-N66-N69)</f>
        <v>0</v>
      </c>
      <c r="O72" s="21" t="n">
        <f aca="false">MAX(0,O65-O66-O69)</f>
        <v>0</v>
      </c>
      <c r="P72" s="21" t="n">
        <f aca="false">MAX(0,P65-P66-P69)</f>
        <v>0</v>
      </c>
    </row>
    <row r="73" customFormat="false" ht="15" hidden="false" customHeight="false" outlineLevel="0" collapsed="false">
      <c r="B73" s="8" t="s">
        <v>341</v>
      </c>
      <c r="C73" s="40" t="str">
        <f aca="false">IF(C68&lt;1-0.000000001,"First lien",IF(C70&lt;1-0.000000001,"GUC","Equity"))</f>
        <v>First lien</v>
      </c>
      <c r="D73" s="40" t="str">
        <f aca="false">IF(D68&lt;1-0.000000001,"First lien",IF(D70&lt;1-0.000000001,"GUC","Equity"))</f>
        <v>First lien</v>
      </c>
      <c r="E73" s="40" t="str">
        <f aca="false">IF(E68&lt;1-0.000000001,"First lien",IF(E70&lt;1-0.000000001,"GUC","Equity"))</f>
        <v>First lien</v>
      </c>
      <c r="F73" s="40" t="str">
        <f aca="false">IF(F68&lt;1-0.000000001,"First lien",IF(F70&lt;1-0.000000001,"GUC","Equity"))</f>
        <v>First lien</v>
      </c>
      <c r="G73" s="40" t="str">
        <f aca="false">IF(G68&lt;1-0.000000001,"First lien",IF(G70&lt;1-0.000000001,"GUC","Equity"))</f>
        <v>First lien</v>
      </c>
      <c r="H73" s="40" t="str">
        <f aca="false">IF(H68&lt;1-0.000000001,"First lien",IF(H70&lt;1-0.000000001,"GUC","Equity"))</f>
        <v>GUC</v>
      </c>
      <c r="I73" s="40" t="str">
        <f aca="false">IF(I68&lt;1-0.000000001,"First lien",IF(I70&lt;1-0.000000001,"GUC","Equity"))</f>
        <v>GUC</v>
      </c>
      <c r="J73" s="40" t="str">
        <f aca="false">IF(J68&lt;1-0.000000001,"First lien",IF(J70&lt;1-0.000000001,"GUC","Equity"))</f>
        <v>First lien</v>
      </c>
      <c r="K73" s="40" t="str">
        <f aca="false">IF(K68&lt;1-0.000000001,"First lien",IF(K70&lt;1-0.000000001,"GUC","Equity"))</f>
        <v>GUC</v>
      </c>
      <c r="L73" s="40" t="str">
        <f aca="false">IF(L68&lt;1-0.000000001,"First lien",IF(L70&lt;1-0.000000001,"GUC","Equity"))</f>
        <v>First lien</v>
      </c>
      <c r="M73" s="40" t="str">
        <f aca="false">IF(M68&lt;1-0.000000001,"First lien",IF(M70&lt;1-0.000000001,"GUC","Equity"))</f>
        <v>GUC</v>
      </c>
      <c r="N73" s="40" t="str">
        <f aca="false">IF(N68&lt;1-0.000000001,"First lien",IF(N70&lt;1-0.000000001,"GUC","Equity"))</f>
        <v>First lien</v>
      </c>
      <c r="O73" s="40" t="str">
        <f aca="false">IF(O68&lt;1-0.000000001,"First lien",IF(O70&lt;1-0.000000001,"GUC","Equity"))</f>
        <v>Equity</v>
      </c>
      <c r="P73" s="40" t="str">
        <f aca="false">IF(P68&lt;1-0.000000001,"First lien",IF(P70&lt;1-0.000000001,"GUC","Equity"))</f>
        <v>GUC</v>
      </c>
    </row>
    <row r="74" customFormat="false" ht="15" hidden="false" customHeight="false" outlineLevel="0" collapsed="false">
      <c r="B74" s="8" t="s">
        <v>342</v>
      </c>
      <c r="C74" s="41" t="n">
        <f aca="false">C67+C69+C72-C53</f>
        <v>0</v>
      </c>
      <c r="D74" s="41" t="n">
        <f aca="false">D67+D69+D72-D53</f>
        <v>0</v>
      </c>
      <c r="E74" s="41" t="n">
        <f aca="false">E67+E69+E72-E53</f>
        <v>0</v>
      </c>
      <c r="F74" s="41" t="n">
        <f aca="false">F67+F69+F72-F53</f>
        <v>0</v>
      </c>
      <c r="G74" s="41" t="n">
        <f aca="false">G67+G69+G72-G53</f>
        <v>0</v>
      </c>
      <c r="H74" s="41" t="n">
        <f aca="false">H67+H69+H72-H53</f>
        <v>0</v>
      </c>
      <c r="I74" s="41" t="n">
        <f aca="false">I67+I69+I72-I53</f>
        <v>0</v>
      </c>
      <c r="J74" s="41" t="n">
        <f aca="false">J67+J69+J72-J53</f>
        <v>0</v>
      </c>
      <c r="K74" s="41" t="n">
        <f aca="false">K67+K69+K72-K53</f>
        <v>0</v>
      </c>
      <c r="L74" s="41" t="n">
        <f aca="false">L67+L69+L72-L53</f>
        <v>0</v>
      </c>
      <c r="M74" s="41" t="n">
        <f aca="false">M67+M69+M72-M53</f>
        <v>0</v>
      </c>
      <c r="N74" s="41" t="n">
        <f aca="false">N67+N69+N72-N53</f>
        <v>0</v>
      </c>
      <c r="O74" s="41" t="n">
        <f aca="false">O67+O69+O72-O53</f>
        <v>0</v>
      </c>
      <c r="P74" s="41" t="n">
        <f aca="false">P67+P69+P72-P53</f>
        <v>0</v>
      </c>
    </row>
    <row r="76" customFormat="false" ht="15" hidden="false" customHeight="false" outlineLevel="0" collapsed="false">
      <c r="B76" s="2" t="s">
        <v>343</v>
      </c>
    </row>
    <row r="77" customFormat="false" ht="15" hidden="false" customHeight="false" outlineLevel="0" collapsed="false">
      <c r="B77" s="5" t="s">
        <v>28</v>
      </c>
      <c r="C77" s="6" t="s">
        <v>344</v>
      </c>
      <c r="D77" s="6" t="s">
        <v>345</v>
      </c>
      <c r="E77" s="6" t="s">
        <v>346</v>
      </c>
      <c r="F77" s="6" t="s">
        <v>347</v>
      </c>
      <c r="G77" s="6" t="s">
        <v>348</v>
      </c>
    </row>
    <row r="78" customFormat="false" ht="15" hidden="false" customHeight="false" outlineLevel="0" collapsed="false">
      <c r="B78" s="2" t="s">
        <v>319</v>
      </c>
      <c r="C78" s="19" t="n">
        <f aca="false">Multiples!$C$16</f>
        <v>975</v>
      </c>
      <c r="D78" s="19" t="n">
        <f aca="false">Multiples!$C$16</f>
        <v>975</v>
      </c>
      <c r="E78" s="19" t="n">
        <f aca="false">Multiples!$C$16</f>
        <v>975</v>
      </c>
      <c r="F78" s="19" t="n">
        <f aca="false">Multiples!$C$16</f>
        <v>975</v>
      </c>
      <c r="G78" s="19" t="n">
        <f aca="false">Multiples!$C$16</f>
        <v>975</v>
      </c>
    </row>
    <row r="79" customFormat="false" ht="15" hidden="false" customHeight="false" outlineLevel="0" collapsed="false">
      <c r="B79" s="8" t="s">
        <v>290</v>
      </c>
      <c r="C79" s="20" t="n">
        <f aca="false">Inputs!C105</f>
        <v>0</v>
      </c>
      <c r="D79" s="20" t="n">
        <f aca="false">Inputs!D105</f>
        <v>0.04</v>
      </c>
      <c r="E79" s="20" t="n">
        <f aca="false">Inputs!E105</f>
        <v>0.08</v>
      </c>
      <c r="F79" s="20" t="n">
        <f aca="false">Inputs!F105</f>
        <v>0.12</v>
      </c>
      <c r="G79" s="20" t="n">
        <f aca="false">Inputs!G105</f>
        <v>0.16</v>
      </c>
    </row>
    <row r="80" customFormat="false" ht="15" hidden="false" customHeight="false" outlineLevel="0" collapsed="false">
      <c r="B80" s="8" t="s">
        <v>320</v>
      </c>
      <c r="C80" s="21" t="n">
        <f aca="false">$C$15</f>
        <v>22.5442307692307</v>
      </c>
      <c r="D80" s="21" t="n">
        <f aca="false">$C$15</f>
        <v>22.5442307692307</v>
      </c>
      <c r="E80" s="21" t="n">
        <f aca="false">$C$15</f>
        <v>22.5442307692307</v>
      </c>
      <c r="F80" s="21" t="n">
        <f aca="false">$C$15</f>
        <v>22.5442307692307</v>
      </c>
      <c r="G80" s="21" t="n">
        <f aca="false">$C$15</f>
        <v>22.5442307692307</v>
      </c>
    </row>
    <row r="81" customFormat="false" ht="15" hidden="false" customHeight="false" outlineLevel="0" collapsed="false">
      <c r="B81" s="8" t="s">
        <v>321</v>
      </c>
      <c r="C81" s="21" t="n">
        <f aca="false">MAX(0,C78+C80-$C$14)</f>
        <v>905.149230769231</v>
      </c>
      <c r="D81" s="21" t="n">
        <f aca="false">MAX(0,D78+D80-$C$14)</f>
        <v>905.149230769231</v>
      </c>
      <c r="E81" s="21" t="n">
        <f aca="false">MAX(0,E78+E80-$C$14)</f>
        <v>905.149230769231</v>
      </c>
      <c r="F81" s="21" t="n">
        <f aca="false">MAX(0,F78+F80-$C$14)</f>
        <v>905.149230769231</v>
      </c>
      <c r="G81" s="21" t="n">
        <f aca="false">MAX(0,G78+G80-$C$14)</f>
        <v>905.149230769231</v>
      </c>
    </row>
    <row r="82" customFormat="false" ht="15" hidden="false" customHeight="false" outlineLevel="0" collapsed="false">
      <c r="B82" s="8" t="s">
        <v>322</v>
      </c>
      <c r="C82" s="21" t="n">
        <f aca="false">(1-C79)*C78+C80</f>
        <v>997.544230769231</v>
      </c>
      <c r="D82" s="21" t="n">
        <f aca="false">(1-D79)*D78+D80</f>
        <v>958.544230769231</v>
      </c>
      <c r="E82" s="21" t="n">
        <f aca="false">(1-E79)*E78+E80</f>
        <v>919.544230769231</v>
      </c>
      <c r="F82" s="21" t="n">
        <f aca="false">(1-F79)*F78+F80</f>
        <v>880.544230769231</v>
      </c>
      <c r="G82" s="21" t="n">
        <f aca="false">(1-G79)*G78+G80</f>
        <v>841.544230769231</v>
      </c>
    </row>
    <row r="83" customFormat="false" ht="15" hidden="false" customHeight="false" outlineLevel="0" collapsed="false">
      <c r="B83" s="8" t="s">
        <v>323</v>
      </c>
      <c r="C83" s="21" t="n">
        <f aca="false">C79*C78</f>
        <v>0</v>
      </c>
      <c r="D83" s="21" t="n">
        <f aca="false">D79*D78</f>
        <v>39</v>
      </c>
      <c r="E83" s="21" t="n">
        <f aca="false">E79*E78</f>
        <v>78</v>
      </c>
      <c r="F83" s="21" t="n">
        <f aca="false">F79*F78</f>
        <v>117</v>
      </c>
      <c r="G83" s="21" t="n">
        <f aca="false">G79*G78</f>
        <v>156</v>
      </c>
    </row>
    <row r="84" customFormat="false" ht="15" hidden="false" customHeight="false" outlineLevel="0" collapsed="false">
      <c r="B84" s="22" t="s">
        <v>324</v>
      </c>
      <c r="C84" s="21" t="n">
        <f aca="false">MIN(C83,$C$13)</f>
        <v>0</v>
      </c>
      <c r="D84" s="21" t="n">
        <f aca="false">MIN(D83,$C$13)</f>
        <v>12</v>
      </c>
      <c r="E84" s="21" t="n">
        <f aca="false">MIN(E83,$C$13)</f>
        <v>12</v>
      </c>
      <c r="F84" s="21" t="n">
        <f aca="false">MIN(F83,$C$13)</f>
        <v>12</v>
      </c>
      <c r="G84" s="21" t="n">
        <f aca="false">MIN(G83,$C$13)</f>
        <v>12</v>
      </c>
    </row>
    <row r="85" customFormat="false" ht="15" hidden="false" customHeight="false" outlineLevel="0" collapsed="false">
      <c r="B85" s="22" t="s">
        <v>325</v>
      </c>
      <c r="C85" s="21" t="n">
        <f aca="false">$C$10+$C$13-C84</f>
        <v>92.395</v>
      </c>
      <c r="D85" s="21" t="n">
        <f aca="false">$C$10+$C$13-D84</f>
        <v>80.395</v>
      </c>
      <c r="E85" s="21" t="n">
        <f aca="false">$C$10+$C$13-E84</f>
        <v>80.395</v>
      </c>
      <c r="F85" s="21" t="n">
        <f aca="false">$C$10+$C$13-F84</f>
        <v>80.395</v>
      </c>
      <c r="G85" s="21" t="n">
        <f aca="false">$C$10+$C$13-G84</f>
        <v>80.395</v>
      </c>
    </row>
    <row r="86" customFormat="false" ht="15" hidden="false" customHeight="false" outlineLevel="0" collapsed="false">
      <c r="B86" s="22" t="s">
        <v>326</v>
      </c>
      <c r="C86" s="21" t="n">
        <f aca="false">MAX(0,C85-C82)</f>
        <v>0</v>
      </c>
      <c r="D86" s="21" t="n">
        <f aca="false">MAX(0,D85-D82)</f>
        <v>0</v>
      </c>
      <c r="E86" s="21" t="n">
        <f aca="false">MAX(0,E85-E82)</f>
        <v>0</v>
      </c>
      <c r="F86" s="21" t="n">
        <f aca="false">MAX(0,F85-F82)</f>
        <v>0</v>
      </c>
      <c r="G86" s="21" t="n">
        <f aca="false">MAX(0,G85-G82)</f>
        <v>0</v>
      </c>
    </row>
    <row r="87" customFormat="false" ht="15" hidden="false" customHeight="false" outlineLevel="0" collapsed="false">
      <c r="B87" s="22" t="s">
        <v>327</v>
      </c>
      <c r="C87" s="21" t="n">
        <f aca="false">MAX(0,C83-C84-C86)</f>
        <v>0</v>
      </c>
      <c r="D87" s="21" t="n">
        <f aca="false">MAX(0,D83-D84-D86)</f>
        <v>27</v>
      </c>
      <c r="E87" s="21" t="n">
        <f aca="false">MAX(0,E83-E84-E86)</f>
        <v>66</v>
      </c>
      <c r="F87" s="21" t="n">
        <f aca="false">MAX(0,F83-F84-F86)</f>
        <v>105</v>
      </c>
      <c r="G87" s="21" t="n">
        <f aca="false">MAX(0,G83-G84-G86)</f>
        <v>144</v>
      </c>
    </row>
    <row r="88" customFormat="false" ht="15" hidden="false" customHeight="false" outlineLevel="0" collapsed="false">
      <c r="B88" s="22" t="s">
        <v>328</v>
      </c>
      <c r="C88" s="21" t="n">
        <f aca="false">MAX(0,C82-C85)</f>
        <v>905.149230769231</v>
      </c>
      <c r="D88" s="21" t="n">
        <f aca="false">MAX(0,D82-D85)</f>
        <v>878.149230769231</v>
      </c>
      <c r="E88" s="21" t="n">
        <f aca="false">MAX(0,E82-E85)</f>
        <v>839.149230769231</v>
      </c>
      <c r="F88" s="21" t="n">
        <f aca="false">MAX(0,F82-F85)</f>
        <v>800.149230769231</v>
      </c>
      <c r="G88" s="21" t="n">
        <f aca="false">MAX(0,G82-G85)</f>
        <v>761.149230769231</v>
      </c>
    </row>
    <row r="89" customFormat="false" ht="15" hidden="false" customHeight="false" outlineLevel="0" collapsed="false">
      <c r="B89" s="22" t="s">
        <v>329</v>
      </c>
      <c r="C89" s="21" t="n">
        <f aca="false">MIN(C88,$C$26)</f>
        <v>905.149230769231</v>
      </c>
      <c r="D89" s="21" t="n">
        <f aca="false">MIN(D88,$C$26)</f>
        <v>878.149230769231</v>
      </c>
      <c r="E89" s="21" t="n">
        <f aca="false">MIN(E88,$C$26)</f>
        <v>839.149230769231</v>
      </c>
      <c r="F89" s="21" t="n">
        <f aca="false">MIN(F88,$C$26)</f>
        <v>800.149230769231</v>
      </c>
      <c r="G89" s="21" t="n">
        <f aca="false">MIN(G88,$C$26)</f>
        <v>761.149230769231</v>
      </c>
    </row>
    <row r="90" customFormat="false" ht="15" hidden="false" customHeight="false" outlineLevel="0" collapsed="false">
      <c r="B90" s="22" t="s">
        <v>330</v>
      </c>
      <c r="C90" s="21" t="n">
        <f aca="false">C88-C89</f>
        <v>0</v>
      </c>
      <c r="D90" s="21" t="n">
        <f aca="false">D88-D89</f>
        <v>0</v>
      </c>
      <c r="E90" s="21" t="n">
        <f aca="false">E88-E89</f>
        <v>0</v>
      </c>
      <c r="F90" s="21" t="n">
        <f aca="false">F88-F89</f>
        <v>0</v>
      </c>
      <c r="G90" s="21" t="n">
        <f aca="false">G88-G89</f>
        <v>0</v>
      </c>
    </row>
    <row r="91" customFormat="false" ht="15" hidden="false" customHeight="false" outlineLevel="0" collapsed="false">
      <c r="B91" s="22" t="s">
        <v>331</v>
      </c>
      <c r="C91" s="21" t="n">
        <f aca="false">$C$26-C89</f>
        <v>54.9839423076924</v>
      </c>
      <c r="D91" s="21" t="n">
        <f aca="false">$C$26-D89</f>
        <v>81.9839423076924</v>
      </c>
      <c r="E91" s="21" t="n">
        <f aca="false">$C$26-E89</f>
        <v>120.983942307692</v>
      </c>
      <c r="F91" s="21" t="n">
        <f aca="false">$C$26-F89</f>
        <v>159.983942307692</v>
      </c>
      <c r="G91" s="21" t="n">
        <f aca="false">$C$26-G89</f>
        <v>198.983942307692</v>
      </c>
    </row>
    <row r="92" customFormat="false" ht="15" hidden="false" customHeight="false" outlineLevel="0" collapsed="false">
      <c r="B92" s="22" t="s">
        <v>332</v>
      </c>
      <c r="C92" s="21" t="n">
        <f aca="false">C91+$C$33</f>
        <v>557.599326923077</v>
      </c>
      <c r="D92" s="21" t="n">
        <f aca="false">D91+$C$33</f>
        <v>584.599326923077</v>
      </c>
      <c r="E92" s="21" t="n">
        <f aca="false">E91+$C$33</f>
        <v>623.599326923077</v>
      </c>
      <c r="F92" s="21" t="n">
        <f aca="false">F91+$C$33</f>
        <v>662.599326923077</v>
      </c>
      <c r="G92" s="21" t="n">
        <f aca="false">G91+$C$33</f>
        <v>701.599326923077</v>
      </c>
    </row>
    <row r="93" customFormat="false" ht="15" hidden="false" customHeight="false" outlineLevel="0" collapsed="false">
      <c r="B93" s="22" t="s">
        <v>333</v>
      </c>
      <c r="C93" s="21" t="n">
        <f aca="false">C87+C90</f>
        <v>0</v>
      </c>
      <c r="D93" s="21" t="n">
        <f aca="false">D87+D90</f>
        <v>27</v>
      </c>
      <c r="E93" s="21" t="n">
        <f aca="false">E87+E90</f>
        <v>66</v>
      </c>
      <c r="F93" s="21" t="n">
        <f aca="false">F87+F90</f>
        <v>105</v>
      </c>
      <c r="G93" s="21" t="n">
        <f aca="false">G87+G90</f>
        <v>144</v>
      </c>
    </row>
    <row r="94" customFormat="false" ht="15" hidden="false" customHeight="false" outlineLevel="0" collapsed="false">
      <c r="B94" s="22" t="s">
        <v>334</v>
      </c>
      <c r="C94" s="21" t="n">
        <f aca="false">MIN(C93,C92)*C91/C92</f>
        <v>0</v>
      </c>
      <c r="D94" s="21" t="n">
        <f aca="false">MIN(D93,D92)*D91/D92</f>
        <v>3.78646765462144</v>
      </c>
      <c r="E94" s="21" t="n">
        <f aca="false">MIN(E93,E92)*E91/E92</f>
        <v>12.8046004021628</v>
      </c>
      <c r="F94" s="21" t="n">
        <f aca="false">MIN(F93,F92)*F91/F92</f>
        <v>25.3521445913842</v>
      </c>
      <c r="G94" s="21" t="n">
        <f aca="false">MIN(G93,G92)*G91/G92</f>
        <v>40.8405290494945</v>
      </c>
    </row>
    <row r="95" customFormat="false" ht="15" hidden="false" customHeight="false" outlineLevel="0" collapsed="false">
      <c r="B95" s="2" t="s">
        <v>335</v>
      </c>
      <c r="C95" s="19" t="n">
        <f aca="false">C89+C94</f>
        <v>905.149230769231</v>
      </c>
      <c r="D95" s="19" t="n">
        <f aca="false">D89+D94</f>
        <v>881.935698423852</v>
      </c>
      <c r="E95" s="19" t="n">
        <f aca="false">E89+E94</f>
        <v>851.953831171394</v>
      </c>
      <c r="F95" s="19" t="n">
        <f aca="false">F89+F94</f>
        <v>825.501375360615</v>
      </c>
      <c r="G95" s="19" t="n">
        <f aca="false">G89+G94</f>
        <v>801.989759818725</v>
      </c>
    </row>
    <row r="96" customFormat="false" ht="15" hidden="false" customHeight="false" outlineLevel="0" collapsed="false">
      <c r="B96" s="2" t="s">
        <v>336</v>
      </c>
      <c r="C96" s="30" t="n">
        <f aca="false">C95/$C$26</f>
        <v>0.942733004285764</v>
      </c>
      <c r="D96" s="30" t="n">
        <f aca="false">D95/$C$26</f>
        <v>0.91855559536343</v>
      </c>
      <c r="E96" s="30" t="n">
        <f aca="false">E95/$C$26</f>
        <v>0.887328815482076</v>
      </c>
      <c r="F96" s="30" t="n">
        <f aca="false">F95/$C$26</f>
        <v>0.859777995916071</v>
      </c>
      <c r="G96" s="30" t="n">
        <f aca="false">G95/$C$26</f>
        <v>0.835290126731693</v>
      </c>
    </row>
    <row r="97" customFormat="false" ht="15" hidden="false" customHeight="false" outlineLevel="0" collapsed="false">
      <c r="B97" s="2" t="s">
        <v>337</v>
      </c>
      <c r="C97" s="19" t="n">
        <f aca="false">MIN(C93,C92)*$C$33/C92</f>
        <v>0</v>
      </c>
      <c r="D97" s="19" t="n">
        <f aca="false">MIN(D93,D92)*$C$33/D92</f>
        <v>23.2135323453786</v>
      </c>
      <c r="E97" s="19" t="n">
        <f aca="false">MIN(E93,E92)*$C$33/E92</f>
        <v>53.1953995978372</v>
      </c>
      <c r="F97" s="19" t="n">
        <f aca="false">MIN(F93,F92)*$C$33/F92</f>
        <v>79.6478554086158</v>
      </c>
      <c r="G97" s="19" t="n">
        <f aca="false">MIN(G93,G92)*$C$33/G92</f>
        <v>103.159470950506</v>
      </c>
    </row>
    <row r="98" customFormat="false" ht="15" hidden="false" customHeight="false" outlineLevel="0" collapsed="false">
      <c r="B98" s="2" t="s">
        <v>338</v>
      </c>
      <c r="C98" s="30" t="n">
        <f aca="false">C97/$C$33</f>
        <v>0</v>
      </c>
      <c r="D98" s="30" t="n">
        <f aca="false">D97/$C$33</f>
        <v>0.0461854791077321</v>
      </c>
      <c r="E98" s="30" t="n">
        <f aca="false">E97/$C$33</f>
        <v>0.105837189282504</v>
      </c>
      <c r="F98" s="30" t="n">
        <f aca="false">F97/$C$33</f>
        <v>0.158466807516377</v>
      </c>
      <c r="G98" s="30" t="n">
        <f aca="false">G97/$C$33</f>
        <v>0.205245350835104</v>
      </c>
    </row>
    <row r="99" customFormat="false" ht="15" hidden="false" customHeight="false" outlineLevel="0" collapsed="false">
      <c r="B99" s="22" t="s">
        <v>339</v>
      </c>
      <c r="C99" s="21" t="n">
        <f aca="false">C97*$C$30/$C$33</f>
        <v>0</v>
      </c>
      <c r="D99" s="21" t="n">
        <f aca="false">D97*$C$30/$C$33</f>
        <v>19.1953956630059</v>
      </c>
      <c r="E99" s="21" t="n">
        <f aca="false">E97*$C$30/$C$33</f>
        <v>43.9875641302593</v>
      </c>
      <c r="F99" s="21" t="n">
        <f aca="false">F97*$C$30/$C$33</f>
        <v>65.861243154691</v>
      </c>
      <c r="G99" s="21" t="n">
        <f aca="false">G97*$C$30/$C$33</f>
        <v>85.3031254278515</v>
      </c>
    </row>
    <row r="100" customFormat="false" ht="15" hidden="false" customHeight="false" outlineLevel="0" collapsed="false">
      <c r="B100" s="8" t="s">
        <v>340</v>
      </c>
      <c r="C100" s="21" t="n">
        <f aca="false">MAX(0,C93-C94-C97)</f>
        <v>0</v>
      </c>
      <c r="D100" s="21" t="n">
        <f aca="false">MAX(0,D93-D94-D97)</f>
        <v>0</v>
      </c>
      <c r="E100" s="21" t="n">
        <f aca="false">MAX(0,E93-E94-E97)</f>
        <v>0</v>
      </c>
      <c r="F100" s="21" t="n">
        <f aca="false">MAX(0,F93-F94-F97)</f>
        <v>0</v>
      </c>
      <c r="G100" s="21" t="n">
        <f aca="false">MAX(0,G93-G94-G97)</f>
        <v>0</v>
      </c>
    </row>
    <row r="102" customFormat="false" ht="15" hidden="false" customHeight="false" outlineLevel="0" collapsed="false">
      <c r="B102" s="2" t="s">
        <v>349</v>
      </c>
    </row>
    <row r="103" customFormat="false" ht="15" hidden="false" customHeight="false" outlineLevel="0" collapsed="false">
      <c r="B103" s="5" t="s">
        <v>28</v>
      </c>
      <c r="C103" s="6" t="s">
        <v>344</v>
      </c>
      <c r="D103" s="6" t="s">
        <v>345</v>
      </c>
      <c r="E103" s="6" t="s">
        <v>346</v>
      </c>
      <c r="F103" s="6" t="s">
        <v>347</v>
      </c>
      <c r="G103" s="6" t="s">
        <v>348</v>
      </c>
      <c r="H103" s="6" t="s">
        <v>350</v>
      </c>
      <c r="I103" s="6" t="s">
        <v>351</v>
      </c>
    </row>
    <row r="104" customFormat="false" ht="15" hidden="false" customHeight="false" outlineLevel="0" collapsed="false">
      <c r="B104" s="2" t="s">
        <v>319</v>
      </c>
      <c r="C104" s="19" t="n">
        <f aca="false">Multiples!$C$15</f>
        <v>1170</v>
      </c>
      <c r="D104" s="19" t="n">
        <f aca="false">Multiples!$C$15</f>
        <v>1170</v>
      </c>
      <c r="E104" s="19" t="n">
        <f aca="false">Multiples!$C$15</f>
        <v>1170</v>
      </c>
      <c r="F104" s="19" t="n">
        <f aca="false">Multiples!$C$15</f>
        <v>1170</v>
      </c>
      <c r="G104" s="19" t="n">
        <f aca="false">Multiples!$C$15</f>
        <v>1170</v>
      </c>
      <c r="H104" s="19" t="n">
        <f aca="false">Multiples!$C$15</f>
        <v>1170</v>
      </c>
      <c r="I104" s="19" t="n">
        <f aca="false">Multiples!$C$15</f>
        <v>1170</v>
      </c>
    </row>
    <row r="105" customFormat="false" ht="15" hidden="false" customHeight="false" outlineLevel="0" collapsed="false">
      <c r="B105" s="8" t="s">
        <v>290</v>
      </c>
      <c r="C105" s="20" t="n">
        <f aca="false">Inputs!C105</f>
        <v>0</v>
      </c>
      <c r="D105" s="20" t="n">
        <f aca="false">Inputs!D105</f>
        <v>0.04</v>
      </c>
      <c r="E105" s="20" t="n">
        <f aca="false">Inputs!E105</f>
        <v>0.08</v>
      </c>
      <c r="F105" s="20" t="n">
        <f aca="false">Inputs!F105</f>
        <v>0.12</v>
      </c>
      <c r="G105" s="20" t="n">
        <f aca="false">Inputs!G105</f>
        <v>0.16</v>
      </c>
      <c r="H105" s="20" t="n">
        <f aca="false">$C$42</f>
        <v>0.12992825443787</v>
      </c>
      <c r="I105" s="20" t="n">
        <f aca="false">$C$42+0.001</f>
        <v>0.13092825443787</v>
      </c>
    </row>
    <row r="106" customFormat="false" ht="15" hidden="false" customHeight="false" outlineLevel="0" collapsed="false">
      <c r="B106" s="8" t="s">
        <v>320</v>
      </c>
      <c r="C106" s="21" t="n">
        <f aca="false">$C$15</f>
        <v>22.5442307692307</v>
      </c>
      <c r="D106" s="21" t="n">
        <f aca="false">$C$15</f>
        <v>22.5442307692307</v>
      </c>
      <c r="E106" s="21" t="n">
        <f aca="false">$C$15</f>
        <v>22.5442307692307</v>
      </c>
      <c r="F106" s="21" t="n">
        <f aca="false">$C$15</f>
        <v>22.5442307692307</v>
      </c>
      <c r="G106" s="21" t="n">
        <f aca="false">$C$15</f>
        <v>22.5442307692307</v>
      </c>
      <c r="H106" s="21" t="n">
        <f aca="false">$C$15</f>
        <v>22.5442307692307</v>
      </c>
      <c r="I106" s="21" t="n">
        <f aca="false">$C$15</f>
        <v>22.5442307692307</v>
      </c>
    </row>
    <row r="107" customFormat="false" ht="15" hidden="false" customHeight="false" outlineLevel="0" collapsed="false">
      <c r="B107" s="8" t="s">
        <v>321</v>
      </c>
      <c r="C107" s="21" t="n">
        <f aca="false">MAX(0,C104+C106-$C$14)</f>
        <v>1100.14923076923</v>
      </c>
      <c r="D107" s="21" t="n">
        <f aca="false">MAX(0,D104+D106-$C$14)</f>
        <v>1100.14923076923</v>
      </c>
      <c r="E107" s="21" t="n">
        <f aca="false">MAX(0,E104+E106-$C$14)</f>
        <v>1100.14923076923</v>
      </c>
      <c r="F107" s="21" t="n">
        <f aca="false">MAX(0,F104+F106-$C$14)</f>
        <v>1100.14923076923</v>
      </c>
      <c r="G107" s="21" t="n">
        <f aca="false">MAX(0,G104+G106-$C$14)</f>
        <v>1100.14923076923</v>
      </c>
      <c r="H107" s="21" t="n">
        <f aca="false">MAX(0,H104+H106-$C$14)</f>
        <v>1100.14923076923</v>
      </c>
      <c r="I107" s="21" t="n">
        <f aca="false">MAX(0,I104+I106-$C$14)</f>
        <v>1100.14923076923</v>
      </c>
    </row>
    <row r="108" customFormat="false" ht="15" hidden="false" customHeight="false" outlineLevel="0" collapsed="false">
      <c r="B108" s="8" t="s">
        <v>322</v>
      </c>
      <c r="C108" s="21" t="n">
        <f aca="false">(1-C105)*C104+C106</f>
        <v>1192.54423076923</v>
      </c>
      <c r="D108" s="21" t="n">
        <f aca="false">(1-D105)*D104+D106</f>
        <v>1145.74423076923</v>
      </c>
      <c r="E108" s="21" t="n">
        <f aca="false">(1-E105)*E104+E106</f>
        <v>1098.94423076923</v>
      </c>
      <c r="F108" s="21" t="n">
        <f aca="false">(1-F105)*F104+F106</f>
        <v>1052.14423076923</v>
      </c>
      <c r="G108" s="21" t="n">
        <f aca="false">(1-G105)*G104+G106</f>
        <v>1005.34423076923</v>
      </c>
      <c r="H108" s="21" t="n">
        <f aca="false">(1-H105)*H104+H106</f>
        <v>1040.52817307692</v>
      </c>
      <c r="I108" s="21" t="n">
        <f aca="false">(1-I105)*I104+I106</f>
        <v>1039.35817307692</v>
      </c>
    </row>
    <row r="109" customFormat="false" ht="15" hidden="false" customHeight="false" outlineLevel="0" collapsed="false">
      <c r="B109" s="8" t="s">
        <v>323</v>
      </c>
      <c r="C109" s="21" t="n">
        <f aca="false">C105*C104</f>
        <v>0</v>
      </c>
      <c r="D109" s="21" t="n">
        <f aca="false">D105*D104</f>
        <v>46.8</v>
      </c>
      <c r="E109" s="21" t="n">
        <f aca="false">E105*E104</f>
        <v>93.6</v>
      </c>
      <c r="F109" s="21" t="n">
        <f aca="false">F105*F104</f>
        <v>140.4</v>
      </c>
      <c r="G109" s="21" t="n">
        <f aca="false">G105*G104</f>
        <v>187.2</v>
      </c>
      <c r="H109" s="21" t="n">
        <f aca="false">H105*H104</f>
        <v>152.016057692308</v>
      </c>
      <c r="I109" s="21" t="n">
        <f aca="false">I105*I104</f>
        <v>153.186057692308</v>
      </c>
    </row>
    <row r="110" customFormat="false" ht="15" hidden="false" customHeight="false" outlineLevel="0" collapsed="false">
      <c r="B110" s="22" t="s">
        <v>324</v>
      </c>
      <c r="C110" s="21" t="n">
        <f aca="false">MIN(C109,$C$13)</f>
        <v>0</v>
      </c>
      <c r="D110" s="21" t="n">
        <f aca="false">MIN(D109,$C$13)</f>
        <v>12</v>
      </c>
      <c r="E110" s="21" t="n">
        <f aca="false">MIN(E109,$C$13)</f>
        <v>12</v>
      </c>
      <c r="F110" s="21" t="n">
        <f aca="false">MIN(F109,$C$13)</f>
        <v>12</v>
      </c>
      <c r="G110" s="21" t="n">
        <f aca="false">MIN(G109,$C$13)</f>
        <v>12</v>
      </c>
      <c r="H110" s="21" t="n">
        <f aca="false">MIN(H109,$C$13)</f>
        <v>12</v>
      </c>
      <c r="I110" s="21" t="n">
        <f aca="false">MIN(I109,$C$13)</f>
        <v>12</v>
      </c>
    </row>
    <row r="111" customFormat="false" ht="15" hidden="false" customHeight="false" outlineLevel="0" collapsed="false">
      <c r="B111" s="22" t="s">
        <v>325</v>
      </c>
      <c r="C111" s="21" t="n">
        <f aca="false">$C$10+$C$13-C110</f>
        <v>92.395</v>
      </c>
      <c r="D111" s="21" t="n">
        <f aca="false">$C$10+$C$13-D110</f>
        <v>80.395</v>
      </c>
      <c r="E111" s="21" t="n">
        <f aca="false">$C$10+$C$13-E110</f>
        <v>80.395</v>
      </c>
      <c r="F111" s="21" t="n">
        <f aca="false">$C$10+$C$13-F110</f>
        <v>80.395</v>
      </c>
      <c r="G111" s="21" t="n">
        <f aca="false">$C$10+$C$13-G110</f>
        <v>80.395</v>
      </c>
      <c r="H111" s="21" t="n">
        <f aca="false">$C$10+$C$13-H110</f>
        <v>80.395</v>
      </c>
      <c r="I111" s="21" t="n">
        <f aca="false">$C$10+$C$13-I110</f>
        <v>80.395</v>
      </c>
    </row>
    <row r="112" customFormat="false" ht="15" hidden="false" customHeight="false" outlineLevel="0" collapsed="false">
      <c r="B112" s="22" t="s">
        <v>326</v>
      </c>
      <c r="C112" s="21" t="n">
        <f aca="false">MAX(0,C111-C108)</f>
        <v>0</v>
      </c>
      <c r="D112" s="21" t="n">
        <f aca="false">MAX(0,D111-D108)</f>
        <v>0</v>
      </c>
      <c r="E112" s="21" t="n">
        <f aca="false">MAX(0,E111-E108)</f>
        <v>0</v>
      </c>
      <c r="F112" s="21" t="n">
        <f aca="false">MAX(0,F111-F108)</f>
        <v>0</v>
      </c>
      <c r="G112" s="21" t="n">
        <f aca="false">MAX(0,G111-G108)</f>
        <v>0</v>
      </c>
      <c r="H112" s="21" t="n">
        <f aca="false">MAX(0,H111-H108)</f>
        <v>0</v>
      </c>
      <c r="I112" s="21" t="n">
        <f aca="false">MAX(0,I111-I108)</f>
        <v>0</v>
      </c>
    </row>
    <row r="113" customFormat="false" ht="15" hidden="false" customHeight="false" outlineLevel="0" collapsed="false">
      <c r="B113" s="22" t="s">
        <v>327</v>
      </c>
      <c r="C113" s="21" t="n">
        <f aca="false">MAX(0,C109-C110-C112)</f>
        <v>0</v>
      </c>
      <c r="D113" s="21" t="n">
        <f aca="false">MAX(0,D109-D110-D112)</f>
        <v>34.8</v>
      </c>
      <c r="E113" s="21" t="n">
        <f aca="false">MAX(0,E109-E110-E112)</f>
        <v>81.6</v>
      </c>
      <c r="F113" s="21" t="n">
        <f aca="false">MAX(0,F109-F110-F112)</f>
        <v>128.4</v>
      </c>
      <c r="G113" s="21" t="n">
        <f aca="false">MAX(0,G109-G110-G112)</f>
        <v>175.2</v>
      </c>
      <c r="H113" s="21" t="n">
        <f aca="false">MAX(0,H109-H110-H112)</f>
        <v>140.016057692308</v>
      </c>
      <c r="I113" s="21" t="n">
        <f aca="false">MAX(0,I109-I110-I112)</f>
        <v>141.186057692308</v>
      </c>
    </row>
    <row r="114" customFormat="false" ht="15" hidden="false" customHeight="false" outlineLevel="0" collapsed="false">
      <c r="B114" s="22" t="s">
        <v>328</v>
      </c>
      <c r="C114" s="21" t="n">
        <f aca="false">MAX(0,C108-C111)</f>
        <v>1100.14923076923</v>
      </c>
      <c r="D114" s="21" t="n">
        <f aca="false">MAX(0,D108-D111)</f>
        <v>1065.34923076923</v>
      </c>
      <c r="E114" s="21" t="n">
        <f aca="false">MAX(0,E108-E111)</f>
        <v>1018.54923076923</v>
      </c>
      <c r="F114" s="21" t="n">
        <f aca="false">MAX(0,F108-F111)</f>
        <v>971.749230769231</v>
      </c>
      <c r="G114" s="21" t="n">
        <f aca="false">MAX(0,G108-G111)</f>
        <v>924.949230769231</v>
      </c>
      <c r="H114" s="21" t="n">
        <f aca="false">MAX(0,H108-H111)</f>
        <v>960.133173076923</v>
      </c>
      <c r="I114" s="21" t="n">
        <f aca="false">MAX(0,I108-I111)</f>
        <v>958.963173076923</v>
      </c>
    </row>
    <row r="115" customFormat="false" ht="15" hidden="false" customHeight="false" outlineLevel="0" collapsed="false">
      <c r="B115" s="22" t="s">
        <v>329</v>
      </c>
      <c r="C115" s="21" t="n">
        <f aca="false">MIN(C114,$C$26)</f>
        <v>960.133173076923</v>
      </c>
      <c r="D115" s="21" t="n">
        <f aca="false">MIN(D114,$C$26)</f>
        <v>960.133173076923</v>
      </c>
      <c r="E115" s="21" t="n">
        <f aca="false">MIN(E114,$C$26)</f>
        <v>960.133173076923</v>
      </c>
      <c r="F115" s="21" t="n">
        <f aca="false">MIN(F114,$C$26)</f>
        <v>960.133173076923</v>
      </c>
      <c r="G115" s="21" t="n">
        <f aca="false">MIN(G114,$C$26)</f>
        <v>924.949230769231</v>
      </c>
      <c r="H115" s="21" t="n">
        <f aca="false">MIN(H114,$C$26)</f>
        <v>960.133173076923</v>
      </c>
      <c r="I115" s="21" t="n">
        <f aca="false">MIN(I114,$C$26)</f>
        <v>958.963173076923</v>
      </c>
    </row>
    <row r="116" customFormat="false" ht="15" hidden="false" customHeight="false" outlineLevel="0" collapsed="false">
      <c r="B116" s="22" t="s">
        <v>330</v>
      </c>
      <c r="C116" s="21" t="n">
        <f aca="false">C114-C115</f>
        <v>140.016057692308</v>
      </c>
      <c r="D116" s="21" t="n">
        <f aca="false">D114-D115</f>
        <v>105.216057692308</v>
      </c>
      <c r="E116" s="21" t="n">
        <f aca="false">E114-E115</f>
        <v>58.4160576923076</v>
      </c>
      <c r="F116" s="21" t="n">
        <f aca="false">F114-F115</f>
        <v>11.6160576923074</v>
      </c>
      <c r="G116" s="21" t="n">
        <f aca="false">G114-G115</f>
        <v>0</v>
      </c>
      <c r="H116" s="21" t="n">
        <f aca="false">H114-H115</f>
        <v>0</v>
      </c>
      <c r="I116" s="21" t="n">
        <f aca="false">I114-I115</f>
        <v>0</v>
      </c>
    </row>
    <row r="117" customFormat="false" ht="15" hidden="false" customHeight="false" outlineLevel="0" collapsed="false">
      <c r="B117" s="22" t="s">
        <v>331</v>
      </c>
      <c r="C117" s="21" t="n">
        <f aca="false">$C$26-C115</f>
        <v>0</v>
      </c>
      <c r="D117" s="21" t="n">
        <f aca="false">$C$26-D115</f>
        <v>0</v>
      </c>
      <c r="E117" s="21" t="n">
        <f aca="false">$C$26-E115</f>
        <v>0</v>
      </c>
      <c r="F117" s="21" t="n">
        <f aca="false">$C$26-F115</f>
        <v>0</v>
      </c>
      <c r="G117" s="21" t="n">
        <f aca="false">$C$26-G115</f>
        <v>35.1839423076924</v>
      </c>
      <c r="H117" s="21" t="n">
        <f aca="false">$C$26-H115</f>
        <v>0</v>
      </c>
      <c r="I117" s="21" t="n">
        <f aca="false">$C$26-I115</f>
        <v>1.16999999999996</v>
      </c>
    </row>
    <row r="118" customFormat="false" ht="15" hidden="false" customHeight="false" outlineLevel="0" collapsed="false">
      <c r="B118" s="22" t="s">
        <v>332</v>
      </c>
      <c r="C118" s="21" t="n">
        <f aca="false">C117+$C$33</f>
        <v>502.615384615385</v>
      </c>
      <c r="D118" s="21" t="n">
        <f aca="false">D117+$C$33</f>
        <v>502.615384615385</v>
      </c>
      <c r="E118" s="21" t="n">
        <f aca="false">E117+$C$33</f>
        <v>502.615384615385</v>
      </c>
      <c r="F118" s="21" t="n">
        <f aca="false">F117+$C$33</f>
        <v>502.615384615385</v>
      </c>
      <c r="G118" s="21" t="n">
        <f aca="false">G117+$C$33</f>
        <v>537.799326923077</v>
      </c>
      <c r="H118" s="21" t="n">
        <f aca="false">H117+$C$33</f>
        <v>502.615384615385</v>
      </c>
      <c r="I118" s="21" t="n">
        <f aca="false">I117+$C$33</f>
        <v>503.785384615385</v>
      </c>
    </row>
    <row r="119" customFormat="false" ht="15" hidden="false" customHeight="false" outlineLevel="0" collapsed="false">
      <c r="B119" s="22" t="s">
        <v>333</v>
      </c>
      <c r="C119" s="21" t="n">
        <f aca="false">C113+C116</f>
        <v>140.016057692308</v>
      </c>
      <c r="D119" s="21" t="n">
        <f aca="false">D113+D116</f>
        <v>140.016057692308</v>
      </c>
      <c r="E119" s="21" t="n">
        <f aca="false">E113+E116</f>
        <v>140.016057692308</v>
      </c>
      <c r="F119" s="21" t="n">
        <f aca="false">F113+F116</f>
        <v>140.016057692307</v>
      </c>
      <c r="G119" s="21" t="n">
        <f aca="false">G113+G116</f>
        <v>175.2</v>
      </c>
      <c r="H119" s="21" t="n">
        <f aca="false">H113+H116</f>
        <v>140.016057692308</v>
      </c>
      <c r="I119" s="21" t="n">
        <f aca="false">I113+I116</f>
        <v>141.186057692308</v>
      </c>
    </row>
    <row r="120" customFormat="false" ht="15" hidden="false" customHeight="false" outlineLevel="0" collapsed="false">
      <c r="B120" s="22" t="s">
        <v>334</v>
      </c>
      <c r="C120" s="21" t="n">
        <f aca="false">MIN(C119,C118)*C117/C118</f>
        <v>0</v>
      </c>
      <c r="D120" s="21" t="n">
        <f aca="false">MIN(D119,D118)*D117/D118</f>
        <v>0</v>
      </c>
      <c r="E120" s="21" t="n">
        <f aca="false">MIN(E119,E118)*E117/E118</f>
        <v>0</v>
      </c>
      <c r="F120" s="21" t="n">
        <f aca="false">MIN(F119,F118)*F117/F118</f>
        <v>0</v>
      </c>
      <c r="G120" s="21" t="n">
        <f aca="false">MIN(G119,G118)*G117/G118</f>
        <v>11.4619457178856</v>
      </c>
      <c r="H120" s="21" t="n">
        <f aca="false">MIN(H119,H118)*H117/H118</f>
        <v>0</v>
      </c>
      <c r="I120" s="21" t="n">
        <f aca="false">MIN(I119,I118)*I117/I118</f>
        <v>0.327892972969247</v>
      </c>
    </row>
    <row r="121" customFormat="false" ht="15" hidden="false" customHeight="false" outlineLevel="0" collapsed="false">
      <c r="B121" s="2" t="s">
        <v>335</v>
      </c>
      <c r="C121" s="19" t="n">
        <f aca="false">C115+C120</f>
        <v>960.133173076923</v>
      </c>
      <c r="D121" s="19" t="n">
        <f aca="false">D115+D120</f>
        <v>960.133173076923</v>
      </c>
      <c r="E121" s="19" t="n">
        <f aca="false">E115+E120</f>
        <v>960.133173076923</v>
      </c>
      <c r="F121" s="19" t="n">
        <f aca="false">F115+F120</f>
        <v>960.133173076923</v>
      </c>
      <c r="G121" s="19" t="n">
        <f aca="false">G115+G120</f>
        <v>936.411176487116</v>
      </c>
      <c r="H121" s="19" t="n">
        <f aca="false">H115+H120</f>
        <v>960.133173076923</v>
      </c>
      <c r="I121" s="19" t="n">
        <f aca="false">I115+I120</f>
        <v>959.291066049892</v>
      </c>
    </row>
    <row r="122" customFormat="false" ht="15" hidden="false" customHeight="false" outlineLevel="0" collapsed="false">
      <c r="B122" s="2" t="s">
        <v>336</v>
      </c>
      <c r="C122" s="30" t="n">
        <f aca="false">C121/$C$26</f>
        <v>1</v>
      </c>
      <c r="D122" s="30" t="n">
        <f aca="false">D121/$C$26</f>
        <v>1</v>
      </c>
      <c r="E122" s="30" t="n">
        <f aca="false">E121/$C$26</f>
        <v>1</v>
      </c>
      <c r="F122" s="30" t="n">
        <f aca="false">F121/$C$26</f>
        <v>1</v>
      </c>
      <c r="G122" s="30" t="n">
        <f aca="false">G121/$C$26</f>
        <v>0.975293014286981</v>
      </c>
      <c r="H122" s="30" t="n">
        <f aca="false">H121/$C$26</f>
        <v>1</v>
      </c>
      <c r="I122" s="30" t="n">
        <f aca="false">I121/$C$26</f>
        <v>0.999122926849479</v>
      </c>
    </row>
    <row r="123" customFormat="false" ht="15" hidden="false" customHeight="false" outlineLevel="0" collapsed="false">
      <c r="B123" s="2" t="s">
        <v>337</v>
      </c>
      <c r="C123" s="19" t="n">
        <f aca="false">MIN(C119,C118)*$C$33/C118</f>
        <v>140.016057692308</v>
      </c>
      <c r="D123" s="19" t="n">
        <f aca="false">MIN(D119,D118)*$C$33/D118</f>
        <v>140.016057692308</v>
      </c>
      <c r="E123" s="19" t="n">
        <f aca="false">MIN(E119,E118)*$C$33/E118</f>
        <v>140.016057692308</v>
      </c>
      <c r="F123" s="19" t="n">
        <f aca="false">MIN(F119,F118)*$C$33/F118</f>
        <v>140.016057692307</v>
      </c>
      <c r="G123" s="19" t="n">
        <f aca="false">MIN(G119,G118)*$C$33/G118</f>
        <v>163.738054282114</v>
      </c>
      <c r="H123" s="19" t="n">
        <f aca="false">MIN(H119,H118)*$C$33/H118</f>
        <v>140.016057692308</v>
      </c>
      <c r="I123" s="19" t="n">
        <f aca="false">MIN(I119,I118)*$C$33/I118</f>
        <v>140.858164719338</v>
      </c>
    </row>
    <row r="124" customFormat="false" ht="15" hidden="false" customHeight="false" outlineLevel="0" collapsed="false">
      <c r="B124" s="2" t="s">
        <v>338</v>
      </c>
      <c r="C124" s="30" t="n">
        <f aca="false">C123/$C$33</f>
        <v>0.278574954086317</v>
      </c>
      <c r="D124" s="30" t="n">
        <f aca="false">D123/$C$33</f>
        <v>0.278574954086318</v>
      </c>
      <c r="E124" s="30" t="n">
        <f aca="false">E123/$C$33</f>
        <v>0.278574954086318</v>
      </c>
      <c r="F124" s="30" t="n">
        <f aca="false">F123/$C$33</f>
        <v>0.278574954086317</v>
      </c>
      <c r="G124" s="30" t="n">
        <f aca="false">G123/$C$33</f>
        <v>0.325772070043999</v>
      </c>
      <c r="H124" s="30" t="n">
        <f aca="false">H123/$C$33</f>
        <v>0.278574954086317</v>
      </c>
      <c r="I124" s="30" t="n">
        <f aca="false">I123/$C$33</f>
        <v>0.280250404247229</v>
      </c>
    </row>
    <row r="125" customFormat="false" ht="15" hidden="false" customHeight="false" outlineLevel="0" collapsed="false">
      <c r="B125" s="22" t="s">
        <v>339</v>
      </c>
      <c r="C125" s="21" t="n">
        <f aca="false">C123*$C$30/$C$33</f>
        <v>115.780036686798</v>
      </c>
      <c r="D125" s="21" t="n">
        <f aca="false">D123*$C$30/$C$33</f>
        <v>115.780036686798</v>
      </c>
      <c r="E125" s="21" t="n">
        <f aca="false">E123*$C$30/$C$33</f>
        <v>115.780036686798</v>
      </c>
      <c r="F125" s="21" t="n">
        <f aca="false">F123*$C$30/$C$33</f>
        <v>115.780036686798</v>
      </c>
      <c r="G125" s="21" t="n">
        <f aca="false">G123*$C$30/$C$33</f>
        <v>135.395884188287</v>
      </c>
      <c r="H125" s="21" t="n">
        <f aca="false">H123*$C$30/$C$33</f>
        <v>115.780036686798</v>
      </c>
      <c r="I125" s="21" t="n">
        <f aca="false">I123*$C$30/$C$33</f>
        <v>116.476379549829</v>
      </c>
    </row>
    <row r="126" customFormat="false" ht="15" hidden="false" customHeight="false" outlineLevel="0" collapsed="false">
      <c r="B126" s="8" t="s">
        <v>340</v>
      </c>
      <c r="C126" s="21" t="n">
        <f aca="false">MAX(0,C119-C120-C123)</f>
        <v>0</v>
      </c>
      <c r="D126" s="21" t="n">
        <f aca="false">MAX(0,D119-D120-D123)</f>
        <v>0</v>
      </c>
      <c r="E126" s="21" t="n">
        <f aca="false">MAX(0,E119-E120-E123)</f>
        <v>0</v>
      </c>
      <c r="F126" s="21" t="n">
        <f aca="false">MAX(0,F119-F120-F123)</f>
        <v>0</v>
      </c>
      <c r="G126" s="21" t="n">
        <f aca="false">MAX(0,G119-G120-G123)</f>
        <v>0</v>
      </c>
      <c r="H126" s="21" t="n">
        <f aca="false">MAX(0,H119-H120-H123)</f>
        <v>0</v>
      </c>
      <c r="I126" s="21" t="n">
        <f aca="false">MAX(0,I119-I120-I123)</f>
        <v>0</v>
      </c>
    </row>
    <row r="127" customFormat="false" ht="15" hidden="false" customHeight="false" outlineLevel="0" collapsed="false">
      <c r="B127" s="8" t="s">
        <v>341</v>
      </c>
      <c r="C127" s="40" t="str">
        <f aca="false">IF(C122&lt;1-0.000000001,"First lien",IF(C124&lt;1-0.000000001,"GUC","Equity"))</f>
        <v>GUC</v>
      </c>
      <c r="D127" s="40" t="str">
        <f aca="false">IF(D122&lt;1-0.000000001,"First lien",IF(D124&lt;1-0.000000001,"GUC","Equity"))</f>
        <v>GUC</v>
      </c>
      <c r="E127" s="40" t="str">
        <f aca="false">IF(E122&lt;1-0.000000001,"First lien",IF(E124&lt;1-0.000000001,"GUC","Equity"))</f>
        <v>GUC</v>
      </c>
      <c r="F127" s="40" t="str">
        <f aca="false">IF(F122&lt;1-0.000000001,"First lien",IF(F124&lt;1-0.000000001,"GUC","Equity"))</f>
        <v>GUC</v>
      </c>
      <c r="G127" s="40" t="str">
        <f aca="false">IF(G122&lt;1-0.000000001,"First lien",IF(G124&lt;1-0.000000001,"GUC","Equity"))</f>
        <v>First lien</v>
      </c>
      <c r="H127" s="40" t="str">
        <f aca="false">IF(H122&lt;1-0.000000001,"First lien",IF(H124&lt;1-0.000000001,"GUC","Equity"))</f>
        <v>GUC</v>
      </c>
      <c r="I127" s="40" t="str">
        <f aca="false">IF(I122&lt;1-0.000000001,"First lien",IF(I124&lt;1-0.000000001,"GUC","Equity"))</f>
        <v>First lien</v>
      </c>
    </row>
    <row r="128" customFormat="false" ht="15" hidden="false" customHeight="false" outlineLevel="0" collapsed="false">
      <c r="B128" s="8" t="s">
        <v>342</v>
      </c>
      <c r="C128" s="41" t="n">
        <f aca="false">C121+C123+C126-C107</f>
        <v>0</v>
      </c>
      <c r="D128" s="41" t="n">
        <f aca="false">D121+D123+D126-D107</f>
        <v>0</v>
      </c>
      <c r="E128" s="41" t="n">
        <f aca="false">E121+E123+E126-E107</f>
        <v>0</v>
      </c>
      <c r="F128" s="41" t="n">
        <f aca="false">F121+F123+F126-F107</f>
        <v>0</v>
      </c>
      <c r="G128" s="41" t="n">
        <f aca="false">G121+G123+G126-G107</f>
        <v>0</v>
      </c>
      <c r="H128" s="41" t="n">
        <f aca="false">H121+H123+H126-H107</f>
        <v>0</v>
      </c>
      <c r="I128" s="41" t="n">
        <f aca="false">I121+I123+I126-I107</f>
        <v>0</v>
      </c>
    </row>
    <row r="130" customFormat="false" ht="15" hidden="false" customHeight="false" outlineLevel="0" collapsed="false">
      <c r="B130" s="2" t="s">
        <v>352</v>
      </c>
    </row>
    <row r="131" customFormat="false" ht="27" hidden="false" customHeight="true" outlineLevel="0" collapsed="false">
      <c r="B131" s="42" t="s">
        <v>353</v>
      </c>
      <c r="C131" s="43" t="s">
        <v>354</v>
      </c>
      <c r="D131" s="43" t="s">
        <v>355</v>
      </c>
      <c r="E131" s="43" t="s">
        <v>356</v>
      </c>
      <c r="F131" s="43" t="s">
        <v>357</v>
      </c>
      <c r="G131" s="43"/>
      <c r="H131" s="43" t="s">
        <v>358</v>
      </c>
      <c r="I131" s="43" t="s">
        <v>359</v>
      </c>
      <c r="J131" s="43" t="s">
        <v>360</v>
      </c>
      <c r="K131" s="43" t="s">
        <v>361</v>
      </c>
    </row>
    <row r="132" customFormat="false" ht="15" hidden="false" customHeight="false" outlineLevel="0" collapsed="false">
      <c r="B132" s="44" t="n">
        <v>1</v>
      </c>
      <c r="C132" s="10" t="n">
        <v>300</v>
      </c>
      <c r="D132" s="10" t="n">
        <v>5000</v>
      </c>
      <c r="E132" s="41" t="n">
        <f aca="false">(C132+D132)/2</f>
        <v>2650</v>
      </c>
      <c r="F132" s="45" t="n">
        <f aca="false">(MIN(MAX(0,(1-$C$34)*E132+$C$15-($C$10+$C$13-MIN($C$34*E132,$C$13))),$C$26)+MIN((MAX(0,$C$34*E132-MIN($C$34*E132,$C$13)-MAX(0,$C$10+$C$13-MIN($C$34*E132,$C$13)-((1-$C$34)*E132+$C$15)))+MAX(0,(1-$C$34)*E132+$C$15-($C$10+$C$13-MIN($C$34*E132,$C$13)))-MIN(MAX(0,(1-$C$34)*E132+$C$15-($C$10+$C$13-MIN($C$34*E132,$C$13))),$C$26)),(($C$26-MIN(MAX(0,(1-$C$34)*E132+$C$15-($C$10+$C$13-MIN($C$34*E132,$C$13))),$C$26))+$C$33))*($C$26-MIN(MAX(0,(1-$C$34)*E132+$C$15-($C$10+$C$13-MIN($C$34*E132,$C$13))),$C$26))/(($C$26-MIN(MAX(0,(1-$C$34)*E132+$C$15-($C$10+$C$13-MIN($C$34*E132,$C$13))),$C$26))+$C$33))/$C$26</f>
        <v>1</v>
      </c>
      <c r="H132" s="10" t="n">
        <v>300</v>
      </c>
      <c r="I132" s="10" t="n">
        <v>5000</v>
      </c>
      <c r="J132" s="41" t="n">
        <f aca="false">(H132+I132)/2</f>
        <v>2650</v>
      </c>
      <c r="K132" s="45" t="n">
        <f aca="false">MIN((MAX(0,$C$34*J132-MIN($C$34*J132,$C$13)-MAX(0,$C$10+$C$13-MIN($C$34*J132,$C$13)-((1-$C$34)*J132+$C$15)))+MAX(0,(1-$C$34)*J132+$C$15-($C$10+$C$13-MIN($C$34*J132,$C$13)))-MIN(MAX(0,(1-$C$34)*J132+$C$15-($C$10+$C$13-MIN($C$34*J132,$C$13))),$C$26)),(($C$26-MIN(MAX(0,(1-$C$34)*J132+$C$15-($C$10+$C$13-MIN($C$34*J132,$C$13))),$C$26))+$C$33))*$C$33/(($C$26-MIN(MAX(0,(1-$C$34)*J132+$C$15-($C$10+$C$13-MIN($C$34*J132,$C$13))),$C$26))+$C$33)/$C$33</f>
        <v>1</v>
      </c>
    </row>
    <row r="133" customFormat="false" ht="15" hidden="false" customHeight="false" outlineLevel="0" collapsed="false">
      <c r="B133" s="44" t="n">
        <v>2</v>
      </c>
      <c r="C133" s="41" t="n">
        <f aca="false">IF(F132&gt;=1-0.000000000001,C132,E132)</f>
        <v>300</v>
      </c>
      <c r="D133" s="41" t="n">
        <f aca="false">IF(F132&gt;=1-0.000000000001,E132,D132)</f>
        <v>2650</v>
      </c>
      <c r="E133" s="41" t="n">
        <f aca="false">(C133+D133)/2</f>
        <v>1475</v>
      </c>
      <c r="F133" s="45" t="n">
        <f aca="false">(MIN(MAX(0,(1-$C$34)*E133+$C$15-($C$10+$C$13-MIN($C$34*E133,$C$13))),$C$26)+MIN((MAX(0,$C$34*E133-MIN($C$34*E133,$C$13)-MAX(0,$C$10+$C$13-MIN($C$34*E133,$C$13)-((1-$C$34)*E133+$C$15)))+MAX(0,(1-$C$34)*E133+$C$15-($C$10+$C$13-MIN($C$34*E133,$C$13)))-MIN(MAX(0,(1-$C$34)*E133+$C$15-($C$10+$C$13-MIN($C$34*E133,$C$13))),$C$26)),(($C$26-MIN(MAX(0,(1-$C$34)*E133+$C$15-($C$10+$C$13-MIN($C$34*E133,$C$13))),$C$26))+$C$33))*($C$26-MIN(MAX(0,(1-$C$34)*E133+$C$15-($C$10+$C$13-MIN($C$34*E133,$C$13))),$C$26))/(($C$26-MIN(MAX(0,(1-$C$34)*E133+$C$15-($C$10+$C$13-MIN($C$34*E133,$C$13))),$C$26))+$C$33))/$C$26</f>
        <v>1</v>
      </c>
      <c r="H133" s="41" t="n">
        <f aca="false">IF(K132&gt;=1-0.000000000001,H132,J132)</f>
        <v>300</v>
      </c>
      <c r="I133" s="41" t="n">
        <f aca="false">IF(K132&gt;=1-0.000000000001,J132,I132)</f>
        <v>2650</v>
      </c>
      <c r="J133" s="41" t="n">
        <f aca="false">(H133+I133)/2</f>
        <v>1475</v>
      </c>
      <c r="K133" s="45" t="n">
        <f aca="false">MIN((MAX(0,$C$34*J133-MIN($C$34*J133,$C$13)-MAX(0,$C$10+$C$13-MIN($C$34*J133,$C$13)-((1-$C$34)*J133+$C$15)))+MAX(0,(1-$C$34)*J133+$C$15-($C$10+$C$13-MIN($C$34*J133,$C$13)))-MIN(MAX(0,(1-$C$34)*J133+$C$15-($C$10+$C$13-MIN($C$34*J133,$C$13))),$C$26)),(($C$26-MIN(MAX(0,(1-$C$34)*J133+$C$15-($C$10+$C$13-MIN($C$34*J133,$C$13))),$C$26))+$C$33))*$C$33/(($C$26-MIN(MAX(0,(1-$C$34)*J133+$C$15-($C$10+$C$13-MIN($C$34*J133,$C$13))),$C$26))+$C$33)/$C$33</f>
        <v>0.885400788184879</v>
      </c>
    </row>
    <row r="134" customFormat="false" ht="15" hidden="false" customHeight="false" outlineLevel="0" collapsed="false">
      <c r="B134" s="44" t="n">
        <v>3</v>
      </c>
      <c r="C134" s="41" t="n">
        <f aca="false">IF(F133&gt;=1-0.000000000001,C133,E133)</f>
        <v>300</v>
      </c>
      <c r="D134" s="41" t="n">
        <f aca="false">IF(F133&gt;=1-0.000000000001,E133,D133)</f>
        <v>1475</v>
      </c>
      <c r="E134" s="41" t="n">
        <f aca="false">(C134+D134)/2</f>
        <v>887.5</v>
      </c>
      <c r="F134" s="45" t="n">
        <f aca="false">(MIN(MAX(0,(1-$C$34)*E134+$C$15-($C$10+$C$13-MIN($C$34*E134,$C$13))),$C$26)+MIN((MAX(0,$C$34*E134-MIN($C$34*E134,$C$13)-MAX(0,$C$10+$C$13-MIN($C$34*E134,$C$13)-((1-$C$34)*E134+$C$15)))+MAX(0,(1-$C$34)*E134+$C$15-($C$10+$C$13-MIN($C$34*E134,$C$13)))-MIN(MAX(0,(1-$C$34)*E134+$C$15-($C$10+$C$13-MIN($C$34*E134,$C$13))),$C$26)),(($C$26-MIN(MAX(0,(1-$C$34)*E134+$C$15-($C$10+$C$13-MIN($C$34*E134,$C$13))),$C$26))+$C$33))*($C$26-MIN(MAX(0,(1-$C$34)*E134+$C$15-($C$10+$C$13-MIN($C$34*E134,$C$13))),$C$26))/(($C$26-MIN(MAX(0,(1-$C$34)*E134+$C$15-($C$10+$C$13-MIN($C$34*E134,$C$13))),$C$26))+$C$33))/$C$26</f>
        <v>0.80773438370285</v>
      </c>
      <c r="H134" s="41" t="n">
        <f aca="false">IF(K133&gt;=1-0.000000000001,H133,J133)</f>
        <v>1475</v>
      </c>
      <c r="I134" s="41" t="n">
        <f aca="false">IF(K133&gt;=1-0.000000000001,J133,I133)</f>
        <v>2650</v>
      </c>
      <c r="J134" s="41" t="n">
        <f aca="false">(H134+I134)/2</f>
        <v>2062.5</v>
      </c>
      <c r="K134" s="45" t="n">
        <f aca="false">MIN((MAX(0,$C$34*J134-MIN($C$34*J134,$C$13)-MAX(0,$C$10+$C$13-MIN($C$34*J134,$C$13)-((1-$C$34)*J134+$C$15)))+MAX(0,(1-$C$34)*J134+$C$15-($C$10+$C$13-MIN($C$34*J134,$C$13)))-MIN(MAX(0,(1-$C$34)*J134+$C$15-($C$10+$C$13-MIN($C$34*J134,$C$13))),$C$26)),(($C$26-MIN(MAX(0,(1-$C$34)*J134+$C$15-($C$10+$C$13-MIN($C$34*J134,$C$13))),$C$26))+$C$33))*$C$33/(($C$26-MIN(MAX(0,(1-$C$34)*J134+$C$15-($C$10+$C$13-MIN($C$34*J134,$C$13))),$C$26))+$C$33)/$C$33</f>
        <v>1</v>
      </c>
    </row>
    <row r="135" customFormat="false" ht="15" hidden="false" customHeight="false" outlineLevel="0" collapsed="false">
      <c r="B135" s="44" t="n">
        <v>4</v>
      </c>
      <c r="C135" s="41" t="n">
        <f aca="false">IF(F134&gt;=1-0.000000000001,C134,E134)</f>
        <v>887.5</v>
      </c>
      <c r="D135" s="41" t="n">
        <f aca="false">IF(F134&gt;=1-0.000000000001,E134,D134)</f>
        <v>1475</v>
      </c>
      <c r="E135" s="41" t="n">
        <f aca="false">(C135+D135)/2</f>
        <v>1181.25</v>
      </c>
      <c r="F135" s="45" t="n">
        <f aca="false">(MIN(MAX(0,(1-$C$34)*E135+$C$15-($C$10+$C$13-MIN($C$34*E135,$C$13))),$C$26)+MIN((MAX(0,$C$34*E135-MIN($C$34*E135,$C$13)-MAX(0,$C$10+$C$13-MIN($C$34*E135,$C$13)-((1-$C$34)*E135+$C$15)))+MAX(0,(1-$C$34)*E135+$C$15-($C$10+$C$13-MIN($C$34*E135,$C$13)))-MIN(MAX(0,(1-$C$34)*E135+$C$15-($C$10+$C$13-MIN($C$34*E135,$C$13))),$C$26)),(($C$26-MIN(MAX(0,(1-$C$34)*E135+$C$15-($C$10+$C$13-MIN($C$34*E135,$C$13))),$C$26))+$C$33))*($C$26-MIN(MAX(0,(1-$C$34)*E135+$C$15-($C$10+$C$13-MIN($C$34*E135,$C$13))),$C$26))/(($C$26-MIN(MAX(0,(1-$C$34)*E135+$C$15-($C$10+$C$13-MIN($C$34*E135,$C$13))),$C$26))+$C$33))/$C$26</f>
        <v>1</v>
      </c>
      <c r="H135" s="41" t="n">
        <f aca="false">IF(K134&gt;=1-0.000000000001,H134,J134)</f>
        <v>1475</v>
      </c>
      <c r="I135" s="41" t="n">
        <f aca="false">IF(K134&gt;=1-0.000000000001,J134,I134)</f>
        <v>2062.5</v>
      </c>
      <c r="J135" s="41" t="n">
        <f aca="false">(H135+I135)/2</f>
        <v>1768.75</v>
      </c>
      <c r="K135" s="45" t="n">
        <f aca="false">MIN((MAX(0,$C$34*J135-MIN($C$34*J135,$C$13)-MAX(0,$C$10+$C$13-MIN($C$34*J135,$C$13)-((1-$C$34)*J135+$C$15)))+MAX(0,(1-$C$34)*J135+$C$15-($C$10+$C$13-MIN($C$34*J135,$C$13)))-MIN(MAX(0,(1-$C$34)*J135+$C$15-($C$10+$C$13-MIN($C$34*J135,$C$13))),$C$26)),(($C$26-MIN(MAX(0,(1-$C$34)*J135+$C$15-($C$10+$C$13-MIN($C$34*J135,$C$13))),$C$26))+$C$33))*$C$33/(($C$26-MIN(MAX(0,(1-$C$34)*J135+$C$15-($C$10+$C$13-MIN($C$34*J135,$C$13))),$C$26))+$C$33)/$C$33</f>
        <v>1</v>
      </c>
    </row>
    <row r="136" customFormat="false" ht="15" hidden="false" customHeight="false" outlineLevel="0" collapsed="false">
      <c r="B136" s="44" t="n">
        <v>5</v>
      </c>
      <c r="C136" s="41" t="n">
        <f aca="false">IF(F135&gt;=1-0.000000000001,C135,E135)</f>
        <v>887.5</v>
      </c>
      <c r="D136" s="41" t="n">
        <f aca="false">IF(F135&gt;=1-0.000000000001,E135,D135)</f>
        <v>1181.25</v>
      </c>
      <c r="E136" s="41" t="n">
        <f aca="false">(C136+D136)/2</f>
        <v>1034.375</v>
      </c>
      <c r="F136" s="45" t="n">
        <f aca="false">(MIN(MAX(0,(1-$C$34)*E136+$C$15-($C$10+$C$13-MIN($C$34*E136,$C$13))),$C$26)+MIN((MAX(0,$C$34*E136-MIN($C$34*E136,$C$13)-MAX(0,$C$10+$C$13-MIN($C$34*E136,$C$13)-((1-$C$34)*E136+$C$15)))+MAX(0,(1-$C$34)*E136+$C$15-($C$10+$C$13-MIN($C$34*E136,$C$13)))-MIN(MAX(0,(1-$C$34)*E136+$C$15-($C$10+$C$13-MIN($C$34*E136,$C$13))),$C$26)),(($C$26-MIN(MAX(0,(1-$C$34)*E136+$C$15-($C$10+$C$13-MIN($C$34*E136,$C$13))),$C$26))+$C$33))*($C$26-MIN(MAX(0,(1-$C$34)*E136+$C$15-($C$10+$C$13-MIN($C$34*E136,$C$13))),$C$26))/(($C$26-MIN(MAX(0,(1-$C$34)*E136+$C$15-($C$10+$C$13-MIN($C$34*E136,$C$13))),$C$26))+$C$33))/$C$26</f>
        <v>0.939479816166467</v>
      </c>
      <c r="H136" s="41" t="n">
        <f aca="false">IF(K135&gt;=1-0.000000000001,H135,J135)</f>
        <v>1475</v>
      </c>
      <c r="I136" s="41" t="n">
        <f aca="false">IF(K135&gt;=1-0.000000000001,J135,I135)</f>
        <v>1768.75</v>
      </c>
      <c r="J136" s="41" t="n">
        <f aca="false">(H136+I136)/2</f>
        <v>1621.875</v>
      </c>
      <c r="K136" s="45" t="n">
        <f aca="false">MIN((MAX(0,$C$34*J136-MIN($C$34*J136,$C$13)-MAX(0,$C$10+$C$13-MIN($C$34*J136,$C$13)-((1-$C$34)*J136+$C$15)))+MAX(0,(1-$C$34)*J136+$C$15-($C$10+$C$13-MIN($C$34*J136,$C$13)))-MIN(MAX(0,(1-$C$34)*J136+$C$15-($C$10+$C$13-MIN($C$34*J136,$C$13))),$C$26)),(($C$26-MIN(MAX(0,(1-$C$34)*J136+$C$15-($C$10+$C$13-MIN($C$34*J136,$C$13))),$C$26))+$C$33))*$C$33/(($C$26-MIN(MAX(0,(1-$C$34)*J136+$C$15-($C$10+$C$13-MIN($C$34*J136,$C$13))),$C$26))+$C$33)/$C$33</f>
        <v>1</v>
      </c>
    </row>
    <row r="137" customFormat="false" ht="15" hidden="false" customHeight="false" outlineLevel="0" collapsed="false">
      <c r="B137" s="44" t="n">
        <v>6</v>
      </c>
      <c r="C137" s="41" t="n">
        <f aca="false">IF(F136&gt;=1-0.000000000001,C136,E136)</f>
        <v>1034.375</v>
      </c>
      <c r="D137" s="41" t="n">
        <f aca="false">IF(F136&gt;=1-0.000000000001,E136,D136)</f>
        <v>1181.25</v>
      </c>
      <c r="E137" s="41" t="n">
        <f aca="false">(C137+D137)/2</f>
        <v>1107.8125</v>
      </c>
      <c r="F137" s="45" t="n">
        <f aca="false">(MIN(MAX(0,(1-$C$34)*E137+$C$15-($C$10+$C$13-MIN($C$34*E137,$C$13))),$C$26)+MIN((MAX(0,$C$34*E137-MIN($C$34*E137,$C$13)-MAX(0,$C$10+$C$13-MIN($C$34*E137,$C$13)-((1-$C$34)*E137+$C$15)))+MAX(0,(1-$C$34)*E137+$C$15-($C$10+$C$13-MIN($C$34*E137,$C$13)))-MIN(MAX(0,(1-$C$34)*E137+$C$15-($C$10+$C$13-MIN($C$34*E137,$C$13))),$C$26)),(($C$26-MIN(MAX(0,(1-$C$34)*E137+$C$15-($C$10+$C$13-MIN($C$34*E137,$C$13))),$C$26))+$C$33))*($C$26-MIN(MAX(0,(1-$C$34)*E137+$C$15-($C$10+$C$13-MIN($C$34*E137,$C$13))),$C$26))/(($C$26-MIN(MAX(0,(1-$C$34)*E137+$C$15-($C$10+$C$13-MIN($C$34*E137,$C$13))),$C$26))+$C$33))/$C$26</f>
        <v>1</v>
      </c>
      <c r="H137" s="41" t="n">
        <f aca="false">IF(K136&gt;=1-0.000000000001,H136,J136)</f>
        <v>1475</v>
      </c>
      <c r="I137" s="41" t="n">
        <f aca="false">IF(K136&gt;=1-0.000000000001,J136,I136)</f>
        <v>1621.875</v>
      </c>
      <c r="J137" s="41" t="n">
        <f aca="false">(H137+I137)/2</f>
        <v>1548.4375</v>
      </c>
      <c r="K137" s="45" t="n">
        <f aca="false">MIN((MAX(0,$C$34*J137-MIN($C$34*J137,$C$13)-MAX(0,$C$10+$C$13-MIN($C$34*J137,$C$13)-((1-$C$34)*J137+$C$15)))+MAX(0,(1-$C$34)*J137+$C$15-($C$10+$C$13-MIN($C$34*J137,$C$13)))-MIN(MAX(0,(1-$C$34)*J137+$C$15-($C$10+$C$13-MIN($C$34*J137,$C$13))),$C$26)),(($C$26-MIN(MAX(0,(1-$C$34)*J137+$C$15-($C$10+$C$13-MIN($C$34*J137,$C$13))),$C$26))+$C$33))*$C$33/(($C$26-MIN(MAX(0,(1-$C$34)*J137+$C$15-($C$10+$C$13-MIN($C$34*J137,$C$13))),$C$26))+$C$33)/$C$33</f>
        <v>1</v>
      </c>
    </row>
    <row r="138" customFormat="false" ht="15" hidden="false" customHeight="false" outlineLevel="0" collapsed="false">
      <c r="B138" s="44" t="n">
        <v>7</v>
      </c>
      <c r="C138" s="41" t="n">
        <f aca="false">IF(F137&gt;=1-0.000000000001,C137,E137)</f>
        <v>1034.375</v>
      </c>
      <c r="D138" s="41" t="n">
        <f aca="false">IF(F137&gt;=1-0.000000000001,E137,D137)</f>
        <v>1107.8125</v>
      </c>
      <c r="E138" s="41" t="n">
        <f aca="false">(C138+D138)/2</f>
        <v>1071.09375</v>
      </c>
      <c r="F138" s="45" t="n">
        <f aca="false">(MIN(MAX(0,(1-$C$34)*E138+$C$15-($C$10+$C$13-MIN($C$34*E138,$C$13))),$C$26)+MIN((MAX(0,$C$34*E138-MIN($C$34*E138,$C$13)-MAX(0,$C$10+$C$13-MIN($C$34*E138,$C$13)-((1-$C$34)*E138+$C$15)))+MAX(0,(1-$C$34)*E138+$C$15-($C$10+$C$13-MIN($C$34*E138,$C$13)))-MIN(MAX(0,(1-$C$34)*E138+$C$15-($C$10+$C$13-MIN($C$34*E138,$C$13))),$C$26)),(($C$26-MIN(MAX(0,(1-$C$34)*E138+$C$15-($C$10+$C$13-MIN($C$34*E138,$C$13))),$C$26))+$C$33))*($C$26-MIN(MAX(0,(1-$C$34)*E138+$C$15-($C$10+$C$13-MIN($C$34*E138,$C$13))),$C$26))/(($C$26-MIN(MAX(0,(1-$C$34)*E138+$C$15-($C$10+$C$13-MIN($C$34*E138,$C$13))),$C$26))+$C$33))/$C$26</f>
        <v>0.970741280955105</v>
      </c>
      <c r="H138" s="41" t="n">
        <f aca="false">IF(K137&gt;=1-0.000000000001,H137,J137)</f>
        <v>1475</v>
      </c>
      <c r="I138" s="41" t="n">
        <f aca="false">IF(K137&gt;=1-0.000000000001,J137,I137)</f>
        <v>1548.4375</v>
      </c>
      <c r="J138" s="41" t="n">
        <f aca="false">(H138+I138)/2</f>
        <v>1511.71875</v>
      </c>
      <c r="K138" s="45" t="n">
        <f aca="false">MIN((MAX(0,$C$34*J138-MIN($C$34*J138,$C$13)-MAX(0,$C$10+$C$13-MIN($C$34*J138,$C$13)-((1-$C$34)*J138+$C$15)))+MAX(0,(1-$C$34)*J138+$C$15-($C$10+$C$13-MIN($C$34*J138,$C$13)))-MIN(MAX(0,(1-$C$34)*J138+$C$15-($C$10+$C$13-MIN($C$34*J138,$C$13))),$C$26)),(($C$26-MIN(MAX(0,(1-$C$34)*J138+$C$15-($C$10+$C$13-MIN($C$34*J138,$C$13))),$C$26))+$C$33))*$C$33/(($C$26-MIN(MAX(0,(1-$C$34)*J138+$C$15-($C$10+$C$13-MIN($C$34*J138,$C$13))),$C$26))+$C$33)/$C$33</f>
        <v>0.958456152433425</v>
      </c>
    </row>
    <row r="139" customFormat="false" ht="15" hidden="false" customHeight="false" outlineLevel="0" collapsed="false">
      <c r="B139" s="44" t="n">
        <v>8</v>
      </c>
      <c r="C139" s="41" t="n">
        <f aca="false">IF(F138&gt;=1-0.000000000001,C138,E138)</f>
        <v>1071.09375</v>
      </c>
      <c r="D139" s="41" t="n">
        <f aca="false">IF(F138&gt;=1-0.000000000001,E138,D138)</f>
        <v>1107.8125</v>
      </c>
      <c r="E139" s="41" t="n">
        <f aca="false">(C139+D139)/2</f>
        <v>1089.453125</v>
      </c>
      <c r="F139" s="45" t="n">
        <f aca="false">(MIN(MAX(0,(1-$C$34)*E139+$C$15-($C$10+$C$13-MIN($C$34*E139,$C$13))),$C$26)+MIN((MAX(0,$C$34*E139-MIN($C$34*E139,$C$13)-MAX(0,$C$10+$C$13-MIN($C$34*E139,$C$13)-((1-$C$34)*E139+$C$15)))+MAX(0,(1-$C$34)*E139+$C$15-($C$10+$C$13-MIN($C$34*E139,$C$13)))-MIN(MAX(0,(1-$C$34)*E139+$C$15-($C$10+$C$13-MIN($C$34*E139,$C$13))),$C$26)),(($C$26-MIN(MAX(0,(1-$C$34)*E139+$C$15-($C$10+$C$13-MIN($C$34*E139,$C$13))),$C$26))+$C$33))*($C$26-MIN(MAX(0,(1-$C$34)*E139+$C$15-($C$10+$C$13-MIN($C$34*E139,$C$13))),$C$26))/(($C$26-MIN(MAX(0,(1-$C$34)*E139+$C$15-($C$10+$C$13-MIN($C$34*E139,$C$13))),$C$26))+$C$33))/$C$26</f>
        <v>0.986030719016351</v>
      </c>
      <c r="H139" s="41" t="n">
        <f aca="false">IF(K138&gt;=1-0.000000000001,H138,J138)</f>
        <v>1511.71875</v>
      </c>
      <c r="I139" s="41" t="n">
        <f aca="false">IF(K138&gt;=1-0.000000000001,J138,I138)</f>
        <v>1548.4375</v>
      </c>
      <c r="J139" s="41" t="n">
        <f aca="false">(H139+I139)/2</f>
        <v>1530.078125</v>
      </c>
      <c r="K139" s="45" t="n">
        <f aca="false">MIN((MAX(0,$C$34*J139-MIN($C$34*J139,$C$13)-MAX(0,$C$10+$C$13-MIN($C$34*J139,$C$13)-((1-$C$34)*J139+$C$15)))+MAX(0,(1-$C$34)*J139+$C$15-($C$10+$C$13-MIN($C$34*J139,$C$13)))-MIN(MAX(0,(1-$C$34)*J139+$C$15-($C$10+$C$13-MIN($C$34*J139,$C$13))),$C$26)),(($C$26-MIN(MAX(0,(1-$C$34)*J139+$C$15-($C$10+$C$13-MIN($C$34*J139,$C$13))),$C$26))+$C$33))*$C$33/(($C$26-MIN(MAX(0,(1-$C$34)*J139+$C$15-($C$10+$C$13-MIN($C$34*J139,$C$13))),$C$26))+$C$33)/$C$33</f>
        <v>0.994983834557698</v>
      </c>
    </row>
    <row r="140" customFormat="false" ht="15" hidden="false" customHeight="false" outlineLevel="0" collapsed="false">
      <c r="B140" s="44" t="n">
        <v>9</v>
      </c>
      <c r="C140" s="41" t="n">
        <f aca="false">IF(F139&gt;=1-0.000000000001,C139,E139)</f>
        <v>1089.453125</v>
      </c>
      <c r="D140" s="41" t="n">
        <f aca="false">IF(F139&gt;=1-0.000000000001,E139,D139)</f>
        <v>1107.8125</v>
      </c>
      <c r="E140" s="41" t="n">
        <f aca="false">(C140+D140)/2</f>
        <v>1098.6328125</v>
      </c>
      <c r="F140" s="45" t="n">
        <f aca="false">(MIN(MAX(0,(1-$C$34)*E140+$C$15-($C$10+$C$13-MIN($C$34*E140,$C$13))),$C$26)+MIN((MAX(0,$C$34*E140-MIN($C$34*E140,$C$13)-MAX(0,$C$10+$C$13-MIN($C$34*E140,$C$13)-((1-$C$34)*E140+$C$15)))+MAX(0,(1-$C$34)*E140+$C$15-($C$10+$C$13-MIN($C$34*E140,$C$13)))-MIN(MAX(0,(1-$C$34)*E140+$C$15-($C$10+$C$13-MIN($C$34*E140,$C$13))),$C$26)),(($C$26-MIN(MAX(0,(1-$C$34)*E140+$C$15-($C$10+$C$13-MIN($C$34*E140,$C$13))),$C$26))+$C$33))*($C$26-MIN(MAX(0,(1-$C$34)*E140+$C$15-($C$10+$C$13-MIN($C$34*E140,$C$13))),$C$26))/(($C$26-MIN(MAX(0,(1-$C$34)*E140+$C$15-($C$10+$C$13-MIN($C$34*E140,$C$13))),$C$26))+$C$33))/$C$26</f>
        <v>0.993580221319371</v>
      </c>
      <c r="H140" s="41" t="n">
        <f aca="false">IF(K139&gt;=1-0.000000000001,H139,J139)</f>
        <v>1530.078125</v>
      </c>
      <c r="I140" s="41" t="n">
        <f aca="false">IF(K139&gt;=1-0.000000000001,J139,I139)</f>
        <v>1548.4375</v>
      </c>
      <c r="J140" s="41" t="n">
        <f aca="false">(H140+I140)/2</f>
        <v>1539.2578125</v>
      </c>
      <c r="K140" s="45" t="n">
        <f aca="false">MIN((MAX(0,$C$34*J140-MIN($C$34*J140,$C$13)-MAX(0,$C$10+$C$13-MIN($C$34*J140,$C$13)-((1-$C$34)*J140+$C$15)))+MAX(0,(1-$C$34)*J140+$C$15-($C$10+$C$13-MIN($C$34*J140,$C$13)))-MIN(MAX(0,(1-$C$34)*J140+$C$15-($C$10+$C$13-MIN($C$34*J140,$C$13))),$C$26)),(($C$26-MIN(MAX(0,(1-$C$34)*J140+$C$15-($C$10+$C$13-MIN($C$34*J140,$C$13))),$C$26))+$C$33))*$C$33/(($C$26-MIN(MAX(0,(1-$C$34)*J140+$C$15-($C$10+$C$13-MIN($C$34*J140,$C$13))),$C$26))+$C$33)/$C$33</f>
        <v>1</v>
      </c>
    </row>
    <row r="141" customFormat="false" ht="15" hidden="false" customHeight="false" outlineLevel="0" collapsed="false">
      <c r="B141" s="44" t="n">
        <v>10</v>
      </c>
      <c r="C141" s="41" t="n">
        <f aca="false">IF(F140&gt;=1-0.000000000001,C140,E140)</f>
        <v>1098.6328125</v>
      </c>
      <c r="D141" s="41" t="n">
        <f aca="false">IF(F140&gt;=1-0.000000000001,E140,D140)</f>
        <v>1107.8125</v>
      </c>
      <c r="E141" s="41" t="n">
        <f aca="false">(C141+D141)/2</f>
        <v>1103.22265625</v>
      </c>
      <c r="F141" s="45" t="n">
        <f aca="false">(MIN(MAX(0,(1-$C$34)*E141+$C$15-($C$10+$C$13-MIN($C$34*E141,$C$13))),$C$26)+MIN((MAX(0,$C$34*E141-MIN($C$34*E141,$C$13)-MAX(0,$C$10+$C$13-MIN($C$34*E141,$C$13)-((1-$C$34)*E141+$C$15)))+MAX(0,(1-$C$34)*E141+$C$15-($C$10+$C$13-MIN($C$34*E141,$C$13)))-MIN(MAX(0,(1-$C$34)*E141+$C$15-($C$10+$C$13-MIN($C$34*E141,$C$13))),$C$26)),(($C$26-MIN(MAX(0,(1-$C$34)*E141+$C$15-($C$10+$C$13-MIN($C$34*E141,$C$13))),$C$26))+$C$33))*($C$26-MIN(MAX(0,(1-$C$34)*E141+$C$15-($C$10+$C$13-MIN($C$34*E141,$C$13))),$C$26))/(($C$26-MIN(MAX(0,(1-$C$34)*E141+$C$15-($C$10+$C$13-MIN($C$34*E141,$C$13))),$C$26))+$C$33))/$C$26</f>
        <v>0.997329776734081</v>
      </c>
      <c r="H141" s="41" t="n">
        <f aca="false">IF(K140&gt;=1-0.000000000001,H140,J140)</f>
        <v>1530.078125</v>
      </c>
      <c r="I141" s="41" t="n">
        <f aca="false">IF(K140&gt;=1-0.000000000001,J140,I140)</f>
        <v>1539.2578125</v>
      </c>
      <c r="J141" s="41" t="n">
        <f aca="false">(H141+I141)/2</f>
        <v>1534.66796875</v>
      </c>
      <c r="K141" s="45" t="n">
        <f aca="false">MIN((MAX(0,$C$34*J141-MIN($C$34*J141,$C$13)-MAX(0,$C$10+$C$13-MIN($C$34*J141,$C$13)-((1-$C$34)*J141+$C$15)))+MAX(0,(1-$C$34)*J141+$C$15-($C$10+$C$13-MIN($C$34*J141,$C$13)))-MIN(MAX(0,(1-$C$34)*J141+$C$15-($C$10+$C$13-MIN($C$34*J141,$C$13))),$C$26)),(($C$26-MIN(MAX(0,(1-$C$34)*J141+$C$15-($C$10+$C$13-MIN($C$34*J141,$C$13))),$C$26))+$C$33))*$C$33/(($C$26-MIN(MAX(0,(1-$C$34)*J141+$C$15-($C$10+$C$13-MIN($C$34*J141,$C$13))),$C$26))+$C$33)/$C$33</f>
        <v>1</v>
      </c>
    </row>
    <row r="142" customFormat="false" ht="15" hidden="false" customHeight="false" outlineLevel="0" collapsed="false">
      <c r="B142" s="44" t="n">
        <v>11</v>
      </c>
      <c r="C142" s="41" t="n">
        <f aca="false">IF(F141&gt;=1-0.000000000001,C141,E141)</f>
        <v>1103.22265625</v>
      </c>
      <c r="D142" s="41" t="n">
        <f aca="false">IF(F141&gt;=1-0.000000000001,E141,D141)</f>
        <v>1107.8125</v>
      </c>
      <c r="E142" s="41" t="n">
        <f aca="false">(C142+D142)/2</f>
        <v>1105.517578125</v>
      </c>
      <c r="F142" s="45" t="n">
        <f aca="false">(MIN(MAX(0,(1-$C$34)*E142+$C$15-($C$10+$C$13-MIN($C$34*E142,$C$13))),$C$26)+MIN((MAX(0,$C$34*E142-MIN($C$34*E142,$C$13)-MAX(0,$C$10+$C$13-MIN($C$34*E142,$C$13)-((1-$C$34)*E142+$C$15)))+MAX(0,(1-$C$34)*E142+$C$15-($C$10+$C$13-MIN($C$34*E142,$C$13)))-MIN(MAX(0,(1-$C$34)*E142+$C$15-($C$10+$C$13-MIN($C$34*E142,$C$13))),$C$26)),(($C$26-MIN(MAX(0,(1-$C$34)*E142+$C$15-($C$10+$C$13-MIN($C$34*E142,$C$13))),$C$26))+$C$33))*($C$26-MIN(MAX(0,(1-$C$34)*E142+$C$15-($C$10+$C$13-MIN($C$34*E142,$C$13))),$C$26))/(($C$26-MIN(MAX(0,(1-$C$34)*E142+$C$15-($C$10+$C$13-MIN($C$34*E142,$C$13))),$C$26))+$C$33))/$C$26</f>
        <v>0.999198070622355</v>
      </c>
      <c r="H142" s="41" t="n">
        <f aca="false">IF(K141&gt;=1-0.000000000001,H141,J141)</f>
        <v>1530.078125</v>
      </c>
      <c r="I142" s="41" t="n">
        <f aca="false">IF(K141&gt;=1-0.000000000001,J141,I141)</f>
        <v>1534.66796875</v>
      </c>
      <c r="J142" s="41" t="n">
        <f aca="false">(H142+I142)/2</f>
        <v>1532.373046875</v>
      </c>
      <c r="K142" s="45" t="n">
        <f aca="false">MIN((MAX(0,$C$34*J142-MIN($C$34*J142,$C$13)-MAX(0,$C$10+$C$13-MIN($C$34*J142,$C$13)-((1-$C$34)*J142+$C$15)))+MAX(0,(1-$C$34)*J142+$C$15-($C$10+$C$13-MIN($C$34*J142,$C$13)))-MIN(MAX(0,(1-$C$34)*J142+$C$15-($C$10+$C$13-MIN($C$34*J142,$C$13))),$C$26)),(($C$26-MIN(MAX(0,(1-$C$34)*J142+$C$15-($C$10+$C$13-MIN($C$34*J142,$C$13))),$C$26))+$C$33))*$C$33/(($C$26-MIN(MAX(0,(1-$C$34)*J142+$C$15-($C$10+$C$13-MIN($C$34*J142,$C$13))),$C$26))+$C$33)/$C$33</f>
        <v>0.999549794823232</v>
      </c>
    </row>
    <row r="143" customFormat="false" ht="15" hidden="false" customHeight="false" outlineLevel="0" collapsed="false">
      <c r="B143" s="44" t="n">
        <v>12</v>
      </c>
      <c r="C143" s="41" t="n">
        <f aca="false">IF(F142&gt;=1-0.000000000001,C142,E142)</f>
        <v>1105.517578125</v>
      </c>
      <c r="D143" s="41" t="n">
        <f aca="false">IF(F142&gt;=1-0.000000000001,E142,D142)</f>
        <v>1107.8125</v>
      </c>
      <c r="E143" s="41" t="n">
        <f aca="false">(C143+D143)/2</f>
        <v>1106.6650390625</v>
      </c>
      <c r="F143" s="45" t="n">
        <f aca="false">(MIN(MAX(0,(1-$C$34)*E143+$C$15-($C$10+$C$13-MIN($C$34*E143,$C$13))),$C$26)+MIN((MAX(0,$C$34*E143-MIN($C$34*E143,$C$13)-MAX(0,$C$10+$C$13-MIN($C$34*E143,$C$13)-((1-$C$34)*E143+$C$15)))+MAX(0,(1-$C$34)*E143+$C$15-($C$10+$C$13-MIN($C$34*E143,$C$13)))-MIN(MAX(0,(1-$C$34)*E143+$C$15-($C$10+$C$13-MIN($C$34*E143,$C$13))),$C$26)),(($C$26-MIN(MAX(0,(1-$C$34)*E143+$C$15-($C$10+$C$13-MIN($C$34*E143,$C$13))),$C$26))+$C$33))*($C$26-MIN(MAX(0,(1-$C$34)*E143+$C$15-($C$10+$C$13-MIN($C$34*E143,$C$13))),$C$26))/(($C$26-MIN(MAX(0,(1-$C$34)*E143+$C$15-($C$10+$C$13-MIN($C$34*E143,$C$13))),$C$26))+$C$33))/$C$26</f>
        <v>1</v>
      </c>
      <c r="H143" s="41" t="n">
        <f aca="false">IF(K142&gt;=1-0.000000000001,H142,J142)</f>
        <v>1532.373046875</v>
      </c>
      <c r="I143" s="41" t="n">
        <f aca="false">IF(K142&gt;=1-0.000000000001,J142,I142)</f>
        <v>1534.66796875</v>
      </c>
      <c r="J143" s="41" t="n">
        <f aca="false">(H143+I143)/2</f>
        <v>1533.5205078125</v>
      </c>
      <c r="K143" s="45" t="n">
        <f aca="false">MIN((MAX(0,$C$34*J143-MIN($C$34*J143,$C$13)-MAX(0,$C$10+$C$13-MIN($C$34*J143,$C$13)-((1-$C$34)*J143+$C$15)))+MAX(0,(1-$C$34)*J143+$C$15-($C$10+$C$13-MIN($C$34*J143,$C$13)))-MIN(MAX(0,(1-$C$34)*J143+$C$15-($C$10+$C$13-MIN($C$34*J143,$C$13))),$C$26)),(($C$26-MIN(MAX(0,(1-$C$34)*J143+$C$15-($C$10+$C$13-MIN($C$34*J143,$C$13))),$C$26))+$C$33))*$C$33/(($C$26-MIN(MAX(0,(1-$C$34)*J143+$C$15-($C$10+$C$13-MIN($C$34*J143,$C$13))),$C$26))+$C$33)/$C$33</f>
        <v>1</v>
      </c>
    </row>
    <row r="144" customFormat="false" ht="15" hidden="false" customHeight="false" outlineLevel="0" collapsed="false">
      <c r="B144" s="44" t="n">
        <v>13</v>
      </c>
      <c r="C144" s="41" t="n">
        <f aca="false">IF(F143&gt;=1-0.000000000001,C143,E143)</f>
        <v>1105.517578125</v>
      </c>
      <c r="D144" s="41" t="n">
        <f aca="false">IF(F143&gt;=1-0.000000000001,E143,D143)</f>
        <v>1106.6650390625</v>
      </c>
      <c r="E144" s="41" t="n">
        <f aca="false">(C144+D144)/2</f>
        <v>1106.09130859375</v>
      </c>
      <c r="F144" s="45" t="n">
        <f aca="false">(MIN(MAX(0,(1-$C$34)*E144+$C$15-($C$10+$C$13-MIN($C$34*E144,$C$13))),$C$26)+MIN((MAX(0,$C$34*E144-MIN($C$34*E144,$C$13)-MAX(0,$C$10+$C$13-MIN($C$34*E144,$C$13)-((1-$C$34)*E144+$C$15)))+MAX(0,(1-$C$34)*E144+$C$15-($C$10+$C$13-MIN($C$34*E144,$C$13)))-MIN(MAX(0,(1-$C$34)*E144+$C$15-($C$10+$C$13-MIN($C$34*E144,$C$13))),$C$26)),(($C$26-MIN(MAX(0,(1-$C$34)*E144+$C$15-($C$10+$C$13-MIN($C$34*E144,$C$13))),$C$26))+$C$33))*($C$26-MIN(MAX(0,(1-$C$34)*E144+$C$15-($C$10+$C$13-MIN($C$34*E144,$C$13))),$C$26))/(($C$26-MIN(MAX(0,(1-$C$34)*E144+$C$15-($C$10+$C$13-MIN($C$34*E144,$C$13))),$C$26))+$C$33))/$C$26</f>
        <v>0.999664459482887</v>
      </c>
      <c r="H144" s="41" t="n">
        <f aca="false">IF(K143&gt;=1-0.000000000001,H143,J143)</f>
        <v>1532.373046875</v>
      </c>
      <c r="I144" s="41" t="n">
        <f aca="false">IF(K143&gt;=1-0.000000000001,J143,I143)</f>
        <v>1533.5205078125</v>
      </c>
      <c r="J144" s="41" t="n">
        <f aca="false">(H144+I144)/2</f>
        <v>1532.94677734375</v>
      </c>
      <c r="K144" s="45" t="n">
        <f aca="false">MIN((MAX(0,$C$34*J144-MIN($C$34*J144,$C$13)-MAX(0,$C$10+$C$13-MIN($C$34*J144,$C$13)-((1-$C$34)*J144+$C$15)))+MAX(0,(1-$C$34)*J144+$C$15-($C$10+$C$13-MIN($C$34*J144,$C$13)))-MIN(MAX(0,(1-$C$34)*J144+$C$15-($C$10+$C$13-MIN($C$34*J144,$C$13))),$C$26)),(($C$26-MIN(MAX(0,(1-$C$34)*J144+$C$15-($C$10+$C$13-MIN($C$34*J144,$C$13))),$C$26))+$C$33))*$C$33/(($C$26-MIN(MAX(0,(1-$C$34)*J144+$C$15-($C$10+$C$13-MIN($C$34*J144,$C$13))),$C$26))+$C$33)/$C$33</f>
        <v>1</v>
      </c>
    </row>
    <row r="145" customFormat="false" ht="15" hidden="false" customHeight="false" outlineLevel="0" collapsed="false">
      <c r="B145" s="44" t="n">
        <v>14</v>
      </c>
      <c r="C145" s="41" t="n">
        <f aca="false">IF(F144&gt;=1-0.000000000001,C144,E144)</f>
        <v>1106.09130859375</v>
      </c>
      <c r="D145" s="41" t="n">
        <f aca="false">IF(F144&gt;=1-0.000000000001,E144,D144)</f>
        <v>1106.6650390625</v>
      </c>
      <c r="E145" s="41" t="n">
        <f aca="false">(C145+D145)/2</f>
        <v>1106.37817382813</v>
      </c>
      <c r="F145" s="45" t="n">
        <f aca="false">(MIN(MAX(0,(1-$C$34)*E145+$C$15-($C$10+$C$13-MIN($C$34*E145,$C$13))),$C$26)+MIN((MAX(0,$C$34*E145-MIN($C$34*E145,$C$13)-MAX(0,$C$10+$C$13-MIN($C$34*E145,$C$13)-((1-$C$34)*E145+$C$15)))+MAX(0,(1-$C$34)*E145+$C$15-($C$10+$C$13-MIN($C$34*E145,$C$13)))-MIN(MAX(0,(1-$C$34)*E145+$C$15-($C$10+$C$13-MIN($C$34*E145,$C$13))),$C$26)),(($C$26-MIN(MAX(0,(1-$C$34)*E145+$C$15-($C$10+$C$13-MIN($C$34*E145,$C$13))),$C$26))+$C$33))*($C$26-MIN(MAX(0,(1-$C$34)*E145+$C$15-($C$10+$C$13-MIN($C$34*E145,$C$13))),$C$26))/(($C$26-MIN(MAX(0,(1-$C$34)*E145+$C$15-($C$10+$C$13-MIN($C$34*E145,$C$13))),$C$26))+$C$33))/$C$26</f>
        <v>0.999897550628418</v>
      </c>
      <c r="H145" s="41" t="n">
        <f aca="false">IF(K144&gt;=1-0.000000000001,H144,J144)</f>
        <v>1532.373046875</v>
      </c>
      <c r="I145" s="41" t="n">
        <f aca="false">IF(K144&gt;=1-0.000000000001,J144,I144)</f>
        <v>1532.94677734375</v>
      </c>
      <c r="J145" s="41" t="n">
        <f aca="false">(H145+I145)/2</f>
        <v>1532.65991210938</v>
      </c>
      <c r="K145" s="45" t="n">
        <f aca="false">MIN((MAX(0,$C$34*J145-MIN($C$34*J145,$C$13)-MAX(0,$C$10+$C$13-MIN($C$34*J145,$C$13)-((1-$C$34)*J145+$C$15)))+MAX(0,(1-$C$34)*J145+$C$15-($C$10+$C$13-MIN($C$34*J145,$C$13)))-MIN(MAX(0,(1-$C$34)*J145+$C$15-($C$10+$C$13-MIN($C$34*J145,$C$13))),$C$26)),(($C$26-MIN(MAX(0,(1-$C$34)*J145+$C$15-($C$10+$C$13-MIN($C$34*J145,$C$13))),$C$26))+$C$33))*$C$33/(($C$26-MIN(MAX(0,(1-$C$34)*J145+$C$15-($C$10+$C$13-MIN($C$34*J145,$C$13))),$C$26))+$C$33)/$C$33</f>
        <v>1</v>
      </c>
    </row>
    <row r="146" customFormat="false" ht="15" hidden="false" customHeight="false" outlineLevel="0" collapsed="false">
      <c r="B146" s="44" t="n">
        <v>15</v>
      </c>
      <c r="C146" s="41" t="n">
        <f aca="false">IF(F145&gt;=1-0.000000000001,C145,E145)</f>
        <v>1106.37817382813</v>
      </c>
      <c r="D146" s="41" t="n">
        <f aca="false">IF(F145&gt;=1-0.000000000001,E145,D145)</f>
        <v>1106.6650390625</v>
      </c>
      <c r="E146" s="41" t="n">
        <f aca="false">(C146+D146)/2</f>
        <v>1106.52160644531</v>
      </c>
      <c r="F146" s="45" t="n">
        <f aca="false">(MIN(MAX(0,(1-$C$34)*E146+$C$15-($C$10+$C$13-MIN($C$34*E146,$C$13))),$C$26)+MIN((MAX(0,$C$34*E146-MIN($C$34*E146,$C$13)-MAX(0,$C$10+$C$13-MIN($C$34*E146,$C$13)-((1-$C$34)*E146+$C$15)))+MAX(0,(1-$C$34)*E146+$C$15-($C$10+$C$13-MIN($C$34*E146,$C$13)))-MIN(MAX(0,(1-$C$34)*E146+$C$15-($C$10+$C$13-MIN($C$34*E146,$C$13))),$C$26)),(($C$26-MIN(MAX(0,(1-$C$34)*E146+$C$15-($C$10+$C$13-MIN($C$34*E146,$C$13))),$C$26))+$C$33))*($C$26-MIN(MAX(0,(1-$C$34)*E146+$C$15-($C$10+$C$13-MIN($C$34*E146,$C$13))),$C$26))/(($C$26-MIN(MAX(0,(1-$C$34)*E146+$C$15-($C$10+$C$13-MIN($C$34*E146,$C$13))),$C$26))+$C$33))/$C$26</f>
        <v>1</v>
      </c>
      <c r="H146" s="41" t="n">
        <f aca="false">IF(K145&gt;=1-0.000000000001,H145,J145)</f>
        <v>1532.373046875</v>
      </c>
      <c r="I146" s="41" t="n">
        <f aca="false">IF(K145&gt;=1-0.000000000001,J145,I145)</f>
        <v>1532.65991210938</v>
      </c>
      <c r="J146" s="41" t="n">
        <f aca="false">(H146+I146)/2</f>
        <v>1532.51647949219</v>
      </c>
      <c r="K146" s="45" t="n">
        <f aca="false">MIN((MAX(0,$C$34*J146-MIN($C$34*J146,$C$13)-MAX(0,$C$10+$C$13-MIN($C$34*J146,$C$13)-((1-$C$34)*J146+$C$15)))+MAX(0,(1-$C$34)*J146+$C$15-($C$10+$C$13-MIN($C$34*J146,$C$13)))-MIN(MAX(0,(1-$C$34)*J146+$C$15-($C$10+$C$13-MIN($C$34*J146,$C$13))),$C$26)),(($C$26-MIN(MAX(0,(1-$C$34)*J146+$C$15-($C$10+$C$13-MIN($C$34*J146,$C$13))),$C$26))+$C$33))*$C$33/(($C$26-MIN(MAX(0,(1-$C$34)*J146+$C$15-($C$10+$C$13-MIN($C$34*J146,$C$13))),$C$26))+$C$33)/$C$33</f>
        <v>0.999835167339828</v>
      </c>
    </row>
    <row r="147" customFormat="false" ht="15" hidden="false" customHeight="false" outlineLevel="0" collapsed="false">
      <c r="B147" s="44" t="n">
        <v>16</v>
      </c>
      <c r="C147" s="41" t="n">
        <f aca="false">IF(F146&gt;=1-0.000000000001,C146,E146)</f>
        <v>1106.37817382813</v>
      </c>
      <c r="D147" s="41" t="n">
        <f aca="false">IF(F146&gt;=1-0.000000000001,E146,D146)</f>
        <v>1106.52160644531</v>
      </c>
      <c r="E147" s="41" t="n">
        <f aca="false">(C147+D147)/2</f>
        <v>1106.44989013672</v>
      </c>
      <c r="F147" s="45" t="n">
        <f aca="false">(MIN(MAX(0,(1-$C$34)*E147+$C$15-($C$10+$C$13-MIN($C$34*E147,$C$13))),$C$26)+MIN((MAX(0,$C$34*E147-MIN($C$34*E147,$C$13)-MAX(0,$C$10+$C$13-MIN($C$34*E147,$C$13)-((1-$C$34)*E147+$C$15)))+MAX(0,(1-$C$34)*E147+$C$15-($C$10+$C$13-MIN($C$34*E147,$C$13)))-MIN(MAX(0,(1-$C$34)*E147+$C$15-($C$10+$C$13-MIN($C$34*E147,$C$13))),$C$26)),(($C$26-MIN(MAX(0,(1-$C$34)*E147+$C$15-($C$10+$C$13-MIN($C$34*E147,$C$13))),$C$26))+$C$33))*($C$26-MIN(MAX(0,(1-$C$34)*E147+$C$15-($C$10+$C$13-MIN($C$34*E147,$C$13))),$C$26))/(($C$26-MIN(MAX(0,(1-$C$34)*E147+$C$15-($C$10+$C$13-MIN($C$34*E147,$C$13))),$C$26))+$C$33))/$C$26</f>
        <v>0.999955812637616</v>
      </c>
      <c r="H147" s="41" t="n">
        <f aca="false">IF(K146&gt;=1-0.000000000001,H146,J146)</f>
        <v>1532.51647949219</v>
      </c>
      <c r="I147" s="41" t="n">
        <f aca="false">IF(K146&gt;=1-0.000000000001,J146,I146)</f>
        <v>1532.65991210938</v>
      </c>
      <c r="J147" s="41" t="n">
        <f aca="false">(H147+I147)/2</f>
        <v>1532.58819580078</v>
      </c>
      <c r="K147" s="45" t="n">
        <f aca="false">MIN((MAX(0,$C$34*J147-MIN($C$34*J147,$C$13)-MAX(0,$C$10+$C$13-MIN($C$34*J147,$C$13)-((1-$C$34)*J147+$C$15)))+MAX(0,(1-$C$34)*J147+$C$15-($C$10+$C$13-MIN($C$34*J147,$C$13)))-MIN(MAX(0,(1-$C$34)*J147+$C$15-($C$10+$C$13-MIN($C$34*J147,$C$13))),$C$26)),(($C$26-MIN(MAX(0,(1-$C$34)*J147+$C$15-($C$10+$C$13-MIN($C$34*J147,$C$13))),$C$26))+$C$33))*$C$33/(($C$26-MIN(MAX(0,(1-$C$34)*J147+$C$15-($C$10+$C$13-MIN($C$34*J147,$C$13))),$C$26))+$C$33)/$C$33</f>
        <v>0.999977853598126</v>
      </c>
    </row>
    <row r="148" customFormat="false" ht="15" hidden="false" customHeight="false" outlineLevel="0" collapsed="false">
      <c r="B148" s="44" t="n">
        <v>17</v>
      </c>
      <c r="C148" s="41" t="n">
        <f aca="false">IF(F147&gt;=1-0.000000000001,C147,E147)</f>
        <v>1106.44989013672</v>
      </c>
      <c r="D148" s="41" t="n">
        <f aca="false">IF(F147&gt;=1-0.000000000001,E147,D147)</f>
        <v>1106.52160644531</v>
      </c>
      <c r="E148" s="41" t="n">
        <f aca="false">(C148+D148)/2</f>
        <v>1106.48574829102</v>
      </c>
      <c r="F148" s="45" t="n">
        <f aca="false">(MIN(MAX(0,(1-$C$34)*E148+$C$15-($C$10+$C$13-MIN($C$34*E148,$C$13))),$C$26)+MIN((MAX(0,$C$34*E148-MIN($C$34*E148,$C$13)-MAX(0,$C$10+$C$13-MIN($C$34*E148,$C$13)-((1-$C$34)*E148+$C$15)))+MAX(0,(1-$C$34)*E148+$C$15-($C$10+$C$13-MIN($C$34*E148,$C$13)))-MIN(MAX(0,(1-$C$34)*E148+$C$15-($C$10+$C$13-MIN($C$34*E148,$C$13))),$C$26)),(($C$26-MIN(MAX(0,(1-$C$34)*E148+$C$15-($C$10+$C$13-MIN($C$34*E148,$C$13))),$C$26))+$C$33))*($C$26-MIN(MAX(0,(1-$C$34)*E148+$C$15-($C$10+$C$13-MIN($C$34*E148,$C$13))),$C$26))/(($C$26-MIN(MAX(0,(1-$C$34)*E148+$C$15-($C$10+$C$13-MIN($C$34*E148,$C$13))),$C$26))+$C$33))/$C$26</f>
        <v>0.99998494202447</v>
      </c>
      <c r="H148" s="41" t="n">
        <f aca="false">IF(K147&gt;=1-0.000000000001,H147,J147)</f>
        <v>1532.58819580078</v>
      </c>
      <c r="I148" s="41" t="n">
        <f aca="false">IF(K147&gt;=1-0.000000000001,J147,I147)</f>
        <v>1532.65991210938</v>
      </c>
      <c r="J148" s="41" t="n">
        <f aca="false">(H148+I148)/2</f>
        <v>1532.62405395508</v>
      </c>
      <c r="K148" s="45" t="n">
        <f aca="false">MIN((MAX(0,$C$34*J148-MIN($C$34*J148,$C$13)-MAX(0,$C$10+$C$13-MIN($C$34*J148,$C$13)-((1-$C$34)*J148+$C$15)))+MAX(0,(1-$C$34)*J148+$C$15-($C$10+$C$13-MIN($C$34*J148,$C$13)))-MIN(MAX(0,(1-$C$34)*J148+$C$15-($C$10+$C$13-MIN($C$34*J148,$C$13))),$C$26)),(($C$26-MIN(MAX(0,(1-$C$34)*J148+$C$15-($C$10+$C$13-MIN($C$34*J148,$C$13))),$C$26))+$C$33))*$C$33/(($C$26-MIN(MAX(0,(1-$C$34)*J148+$C$15-($C$10+$C$13-MIN($C$34*J148,$C$13))),$C$26))+$C$33)/$C$33</f>
        <v>1</v>
      </c>
    </row>
    <row r="149" customFormat="false" ht="15" hidden="false" customHeight="false" outlineLevel="0" collapsed="false">
      <c r="B149" s="44" t="n">
        <v>18</v>
      </c>
      <c r="C149" s="41" t="n">
        <f aca="false">IF(F148&gt;=1-0.000000000001,C148,E148)</f>
        <v>1106.48574829102</v>
      </c>
      <c r="D149" s="41" t="n">
        <f aca="false">IF(F148&gt;=1-0.000000000001,E148,D148)</f>
        <v>1106.52160644531</v>
      </c>
      <c r="E149" s="41" t="n">
        <f aca="false">(C149+D149)/2</f>
        <v>1106.50367736816</v>
      </c>
      <c r="F149" s="45" t="n">
        <f aca="false">(MIN(MAX(0,(1-$C$34)*E149+$C$15-($C$10+$C$13-MIN($C$34*E149,$C$13))),$C$26)+MIN((MAX(0,$C$34*E149-MIN($C$34*E149,$C$13)-MAX(0,$C$10+$C$13-MIN($C$34*E149,$C$13)-((1-$C$34)*E149+$C$15)))+MAX(0,(1-$C$34)*E149+$C$15-($C$10+$C$13-MIN($C$34*E149,$C$13)))-MIN(MAX(0,(1-$C$34)*E149+$C$15-($C$10+$C$13-MIN($C$34*E149,$C$13))),$C$26)),(($C$26-MIN(MAX(0,(1-$C$34)*E149+$C$15-($C$10+$C$13-MIN($C$34*E149,$C$13))),$C$26))+$C$33))*($C$26-MIN(MAX(0,(1-$C$34)*E149+$C$15-($C$10+$C$13-MIN($C$34*E149,$C$13))),$C$26))/(($C$26-MIN(MAX(0,(1-$C$34)*E149+$C$15-($C$10+$C$13-MIN($C$34*E149,$C$13))),$C$26))+$C$33))/$C$26</f>
        <v>0.999999506313368</v>
      </c>
      <c r="H149" s="41" t="n">
        <f aca="false">IF(K148&gt;=1-0.000000000001,H148,J148)</f>
        <v>1532.58819580078</v>
      </c>
      <c r="I149" s="41" t="n">
        <f aca="false">IF(K148&gt;=1-0.000000000001,J148,I148)</f>
        <v>1532.62405395508</v>
      </c>
      <c r="J149" s="41" t="n">
        <f aca="false">(H149+I149)/2</f>
        <v>1532.60612487793</v>
      </c>
      <c r="K149" s="45" t="n">
        <f aca="false">MIN((MAX(0,$C$34*J149-MIN($C$34*J149,$C$13)-MAX(0,$C$10+$C$13-MIN($C$34*J149,$C$13)-((1-$C$34)*J149+$C$15)))+MAX(0,(1-$C$34)*J149+$C$15-($C$10+$C$13-MIN($C$34*J149,$C$13)))-MIN(MAX(0,(1-$C$34)*J149+$C$15-($C$10+$C$13-MIN($C$34*J149,$C$13))),$C$26)),(($C$26-MIN(MAX(0,(1-$C$34)*J149+$C$15-($C$10+$C$13-MIN($C$34*J149,$C$13))),$C$26))+$C$33))*$C$33/(($C$26-MIN(MAX(0,(1-$C$34)*J149+$C$15-($C$10+$C$13-MIN($C$34*J149,$C$13))),$C$26))+$C$33)/$C$33</f>
        <v>1</v>
      </c>
    </row>
    <row r="150" customFormat="false" ht="15" hidden="false" customHeight="false" outlineLevel="0" collapsed="false">
      <c r="B150" s="44" t="n">
        <v>19</v>
      </c>
      <c r="C150" s="41" t="n">
        <f aca="false">IF(F149&gt;=1-0.000000000001,C149,E149)</f>
        <v>1106.50367736816</v>
      </c>
      <c r="D150" s="41" t="n">
        <f aca="false">IF(F149&gt;=1-0.000000000001,E149,D149)</f>
        <v>1106.52160644531</v>
      </c>
      <c r="E150" s="41" t="n">
        <f aca="false">(C150+D150)/2</f>
        <v>1106.51264190674</v>
      </c>
      <c r="F150" s="45" t="n">
        <f aca="false">(MIN(MAX(0,(1-$C$34)*E150+$C$15-($C$10+$C$13-MIN($C$34*E150,$C$13))),$C$26)+MIN((MAX(0,$C$34*E150-MIN($C$34*E150,$C$13)-MAX(0,$C$10+$C$13-MIN($C$34*E150,$C$13)-((1-$C$34)*E150+$C$15)))+MAX(0,(1-$C$34)*E150+$C$15-($C$10+$C$13-MIN($C$34*E150,$C$13)))-MIN(MAX(0,(1-$C$34)*E150+$C$15-($C$10+$C$13-MIN($C$34*E150,$C$13))),$C$26)),(($C$26-MIN(MAX(0,(1-$C$34)*E150+$C$15-($C$10+$C$13-MIN($C$34*E150,$C$13))),$C$26))+$C$33))*($C$26-MIN(MAX(0,(1-$C$34)*E150+$C$15-($C$10+$C$13-MIN($C$34*E150,$C$13))),$C$26))/(($C$26-MIN(MAX(0,(1-$C$34)*E150+$C$15-($C$10+$C$13-MIN($C$34*E150,$C$13))),$C$26))+$C$33))/$C$26</f>
        <v>1</v>
      </c>
      <c r="H150" s="41" t="n">
        <f aca="false">IF(K149&gt;=1-0.000000000001,H149,J149)</f>
        <v>1532.58819580078</v>
      </c>
      <c r="I150" s="41" t="n">
        <f aca="false">IF(K149&gt;=1-0.000000000001,J149,I149)</f>
        <v>1532.60612487793</v>
      </c>
      <c r="J150" s="41" t="n">
        <f aca="false">(H150+I150)/2</f>
        <v>1532.59716033936</v>
      </c>
      <c r="K150" s="45" t="n">
        <f aca="false">MIN((MAX(0,$C$34*J150-MIN($C$34*J150,$C$13)-MAX(0,$C$10+$C$13-MIN($C$34*J150,$C$13)-((1-$C$34)*J150+$C$15)))+MAX(0,(1-$C$34)*J150+$C$15-($C$10+$C$13-MIN($C$34*J150,$C$13)))-MIN(MAX(0,(1-$C$34)*J150+$C$15-($C$10+$C$13-MIN($C$34*J150,$C$13))),$C$26)),(($C$26-MIN(MAX(0,(1-$C$34)*J150+$C$15-($C$10+$C$13-MIN($C$34*J150,$C$13))),$C$26))+$C$33))*$C$33/(($C$26-MIN(MAX(0,(1-$C$34)*J150+$C$15-($C$10+$C$13-MIN($C$34*J150,$C$13))),$C$26))+$C$33)/$C$33</f>
        <v>0.999995689380413</v>
      </c>
    </row>
    <row r="151" customFormat="false" ht="15" hidden="false" customHeight="false" outlineLevel="0" collapsed="false">
      <c r="B151" s="44" t="n">
        <v>20</v>
      </c>
      <c r="C151" s="41" t="n">
        <f aca="false">IF(F150&gt;=1-0.000000000001,C150,E150)</f>
        <v>1106.50367736816</v>
      </c>
      <c r="D151" s="41" t="n">
        <f aca="false">IF(F150&gt;=1-0.000000000001,E150,D150)</f>
        <v>1106.51264190674</v>
      </c>
      <c r="E151" s="41" t="n">
        <f aca="false">(C151+D151)/2</f>
        <v>1106.50815963745</v>
      </c>
      <c r="F151" s="45" t="n">
        <f aca="false">(MIN(MAX(0,(1-$C$34)*E151+$C$15-($C$10+$C$13-MIN($C$34*E151,$C$13))),$C$26)+MIN((MAX(0,$C$34*E151-MIN($C$34*E151,$C$13)-MAX(0,$C$10+$C$13-MIN($C$34*E151,$C$13)-((1-$C$34)*E151+$C$15)))+MAX(0,(1-$C$34)*E151+$C$15-($C$10+$C$13-MIN($C$34*E151,$C$13)))-MIN(MAX(0,(1-$C$34)*E151+$C$15-($C$10+$C$13-MIN($C$34*E151,$C$13))),$C$26)),(($C$26-MIN(MAX(0,(1-$C$34)*E151+$C$15-($C$10+$C$13-MIN($C$34*E151,$C$13))),$C$26))+$C$33))*($C$26-MIN(MAX(0,(1-$C$34)*E151+$C$15-($C$10+$C$13-MIN($C$34*E151,$C$13))),$C$26))/(($C$26-MIN(MAX(0,(1-$C$34)*E151+$C$15-($C$10+$C$13-MIN($C$34*E151,$C$13))),$C$26))+$C$33))/$C$26</f>
        <v>1</v>
      </c>
      <c r="H151" s="41" t="n">
        <f aca="false">IF(K150&gt;=1-0.000000000001,H150,J150)</f>
        <v>1532.59716033936</v>
      </c>
      <c r="I151" s="41" t="n">
        <f aca="false">IF(K150&gt;=1-0.000000000001,J150,I150)</f>
        <v>1532.60612487793</v>
      </c>
      <c r="J151" s="41" t="n">
        <f aca="false">(H151+I151)/2</f>
        <v>1532.60164260864</v>
      </c>
      <c r="K151" s="45" t="n">
        <f aca="false">MIN((MAX(0,$C$34*J151-MIN($C$34*J151,$C$13)-MAX(0,$C$10+$C$13-MIN($C$34*J151,$C$13)-((1-$C$34)*J151+$C$15)))+MAX(0,(1-$C$34)*J151+$C$15-($C$10+$C$13-MIN($C$34*J151,$C$13)))-MIN(MAX(0,(1-$C$34)*J151+$C$15-($C$10+$C$13-MIN($C$34*J151,$C$13))),$C$26)),(($C$26-MIN(MAX(0,(1-$C$34)*J151+$C$15-($C$10+$C$13-MIN($C$34*J151,$C$13))),$C$26))+$C$33))*$C$33/(($C$26-MIN(MAX(0,(1-$C$34)*J151+$C$15-($C$10+$C$13-MIN($C$34*J151,$C$13))),$C$26))+$C$33)/$C$33</f>
        <v>1</v>
      </c>
    </row>
    <row r="152" customFormat="false" ht="15" hidden="false" customHeight="false" outlineLevel="0" collapsed="false">
      <c r="B152" s="44" t="n">
        <v>21</v>
      </c>
      <c r="C152" s="41" t="n">
        <f aca="false">IF(F151&gt;=1-0.000000000001,C151,E151)</f>
        <v>1106.50367736816</v>
      </c>
      <c r="D152" s="41" t="n">
        <f aca="false">IF(F151&gt;=1-0.000000000001,E151,D151)</f>
        <v>1106.50815963745</v>
      </c>
      <c r="E152" s="41" t="n">
        <f aca="false">(C152+D152)/2</f>
        <v>1106.50591850281</v>
      </c>
      <c r="F152" s="45" t="n">
        <f aca="false">(MIN(MAX(0,(1-$C$34)*E152+$C$15-($C$10+$C$13-MIN($C$34*E152,$C$13))),$C$26)+MIN((MAX(0,$C$34*E152-MIN($C$34*E152,$C$13)-MAX(0,$C$10+$C$13-MIN($C$34*E152,$C$13)-((1-$C$34)*E152+$C$15)))+MAX(0,(1-$C$34)*E152+$C$15-($C$10+$C$13-MIN($C$34*E152,$C$13)))-MIN(MAX(0,(1-$C$34)*E152+$C$15-($C$10+$C$13-MIN($C$34*E152,$C$13))),$C$26)),(($C$26-MIN(MAX(0,(1-$C$34)*E152+$C$15-($C$10+$C$13-MIN($C$34*E152,$C$13))),$C$26))+$C$33))*($C$26-MIN(MAX(0,(1-$C$34)*E152+$C$15-($C$10+$C$13-MIN($C$34*E152,$C$13))),$C$26))/(($C$26-MIN(MAX(0,(1-$C$34)*E152+$C$15-($C$10+$C$13-MIN($C$34*E152,$C$13))),$C$26))+$C$33))/$C$26</f>
        <v>1</v>
      </c>
      <c r="H152" s="41" t="n">
        <f aca="false">IF(K151&gt;=1-0.000000000001,H151,J151)</f>
        <v>1532.59716033936</v>
      </c>
      <c r="I152" s="41" t="n">
        <f aca="false">IF(K151&gt;=1-0.000000000001,J151,I151)</f>
        <v>1532.60164260864</v>
      </c>
      <c r="J152" s="41" t="n">
        <f aca="false">(H152+I152)/2</f>
        <v>1532.599401474</v>
      </c>
      <c r="K152" s="45" t="n">
        <f aca="false">MIN((MAX(0,$C$34*J152-MIN($C$34*J152,$C$13)-MAX(0,$C$10+$C$13-MIN($C$34*J152,$C$13)-((1-$C$34)*J152+$C$15)))+MAX(0,(1-$C$34)*J152+$C$15-($C$10+$C$13-MIN($C$34*J152,$C$13)))-MIN(MAX(0,(1-$C$34)*J152+$C$15-($C$10+$C$13-MIN($C$34*J152,$C$13))),$C$26)),(($C$26-MIN(MAX(0,(1-$C$34)*J152+$C$15-($C$10+$C$13-MIN($C$34*J152,$C$13))),$C$26))+$C$33))*$C$33/(($C$26-MIN(MAX(0,(1-$C$34)*J152+$C$15-($C$10+$C$13-MIN($C$34*J152,$C$13))),$C$26))+$C$33)/$C$33</f>
        <v>1</v>
      </c>
    </row>
    <row r="153" customFormat="false" ht="15" hidden="false" customHeight="false" outlineLevel="0" collapsed="false">
      <c r="B153" s="44" t="n">
        <v>22</v>
      </c>
      <c r="C153" s="41" t="n">
        <f aca="false">IF(F152&gt;=1-0.000000000001,C152,E152)</f>
        <v>1106.50367736816</v>
      </c>
      <c r="D153" s="41" t="n">
        <f aca="false">IF(F152&gt;=1-0.000000000001,E152,D152)</f>
        <v>1106.50591850281</v>
      </c>
      <c r="E153" s="41" t="n">
        <f aca="false">(C153+D153)/2</f>
        <v>1106.50479793549</v>
      </c>
      <c r="F153" s="45" t="n">
        <f aca="false">(MIN(MAX(0,(1-$C$34)*E153+$C$15-($C$10+$C$13-MIN($C$34*E153,$C$13))),$C$26)+MIN((MAX(0,$C$34*E153-MIN($C$34*E153,$C$13)-MAX(0,$C$10+$C$13-MIN($C$34*E153,$C$13)-((1-$C$34)*E153+$C$15)))+MAX(0,(1-$C$34)*E153+$C$15-($C$10+$C$13-MIN($C$34*E153,$C$13)))-MIN(MAX(0,(1-$C$34)*E153+$C$15-($C$10+$C$13-MIN($C$34*E153,$C$13))),$C$26)),(($C$26-MIN(MAX(0,(1-$C$34)*E153+$C$15-($C$10+$C$13-MIN($C$34*E153,$C$13))),$C$26))+$C$33))*($C$26-MIN(MAX(0,(1-$C$34)*E153+$C$15-($C$10+$C$13-MIN($C$34*E153,$C$13))),$C$26))/(($C$26-MIN(MAX(0,(1-$C$34)*E153+$C$15-($C$10+$C$13-MIN($C$34*E153,$C$13))),$C$26))+$C$33))/$C$26</f>
        <v>1</v>
      </c>
      <c r="H153" s="41" t="n">
        <f aca="false">IF(K152&gt;=1-0.000000000001,H152,J152)</f>
        <v>1532.59716033936</v>
      </c>
      <c r="I153" s="41" t="n">
        <f aca="false">IF(K152&gt;=1-0.000000000001,J152,I152)</f>
        <v>1532.599401474</v>
      </c>
      <c r="J153" s="41" t="n">
        <f aca="false">(H153+I153)/2</f>
        <v>1532.59828090668</v>
      </c>
      <c r="K153" s="45" t="n">
        <f aca="false">MIN((MAX(0,$C$34*J153-MIN($C$34*J153,$C$13)-MAX(0,$C$10+$C$13-MIN($C$34*J153,$C$13)-((1-$C$34)*J153+$C$15)))+MAX(0,(1-$C$34)*J153+$C$15-($C$10+$C$13-MIN($C$34*J153,$C$13)))-MIN(MAX(0,(1-$C$34)*J153+$C$15-($C$10+$C$13-MIN($C$34*J153,$C$13))),$C$26)),(($C$26-MIN(MAX(0,(1-$C$34)*J153+$C$15-($C$10+$C$13-MIN($C$34*J153,$C$13))),$C$26))+$C$33))*$C$33/(($C$26-MIN(MAX(0,(1-$C$34)*J153+$C$15-($C$10+$C$13-MIN($C$34*J153,$C$13))),$C$26))+$C$33)/$C$33</f>
        <v>0.999997918853199</v>
      </c>
    </row>
    <row r="154" customFormat="false" ht="15" hidden="false" customHeight="false" outlineLevel="0" collapsed="false">
      <c r="B154" s="44" t="n">
        <v>23</v>
      </c>
      <c r="C154" s="41" t="n">
        <f aca="false">IF(F153&gt;=1-0.000000000001,C153,E153)</f>
        <v>1106.50367736816</v>
      </c>
      <c r="D154" s="41" t="n">
        <f aca="false">IF(F153&gt;=1-0.000000000001,E153,D153)</f>
        <v>1106.50479793549</v>
      </c>
      <c r="E154" s="41" t="n">
        <f aca="false">(C154+D154)/2</f>
        <v>1106.50423765183</v>
      </c>
      <c r="F154" s="45" t="n">
        <f aca="false">(MIN(MAX(0,(1-$C$34)*E154+$C$15-($C$10+$C$13-MIN($C$34*E154,$C$13))),$C$26)+MIN((MAX(0,$C$34*E154-MIN($C$34*E154,$C$13)-MAX(0,$C$10+$C$13-MIN($C$34*E154,$C$13)-((1-$C$34)*E154+$C$15)))+MAX(0,(1-$C$34)*E154+$C$15-($C$10+$C$13-MIN($C$34*E154,$C$13)))-MIN(MAX(0,(1-$C$34)*E154+$C$15-($C$10+$C$13-MIN($C$34*E154,$C$13))),$C$26)),(($C$26-MIN(MAX(0,(1-$C$34)*E154+$C$15-($C$10+$C$13-MIN($C$34*E154,$C$13))),$C$26))+$C$33))*($C$26-MIN(MAX(0,(1-$C$34)*E154+$C$15-($C$10+$C$13-MIN($C$34*E154,$C$13))),$C$26))/(($C$26-MIN(MAX(0,(1-$C$34)*E154+$C$15-($C$10+$C$13-MIN($C$34*E154,$C$13))),$C$26))+$C$33))/$C$26</f>
        <v>0.99999996144305</v>
      </c>
      <c r="H154" s="41" t="n">
        <f aca="false">IF(K153&gt;=1-0.000000000001,H153,J153)</f>
        <v>1532.59828090668</v>
      </c>
      <c r="I154" s="41" t="n">
        <f aca="false">IF(K153&gt;=1-0.000000000001,J153,I153)</f>
        <v>1532.599401474</v>
      </c>
      <c r="J154" s="41" t="n">
        <f aca="false">(H154+I154)/2</f>
        <v>1532.59884119034</v>
      </c>
      <c r="K154" s="45" t="n">
        <f aca="false">MIN((MAX(0,$C$34*J154-MIN($C$34*J154,$C$13)-MAX(0,$C$10+$C$13-MIN($C$34*J154,$C$13)-((1-$C$34)*J154+$C$15)))+MAX(0,(1-$C$34)*J154+$C$15-($C$10+$C$13-MIN($C$34*J154,$C$13)))-MIN(MAX(0,(1-$C$34)*J154+$C$15-($C$10+$C$13-MIN($C$34*J154,$C$13))),$C$26)),(($C$26-MIN(MAX(0,(1-$C$34)*J154+$C$15-($C$10+$C$13-MIN($C$34*J154,$C$13))),$C$26))+$C$33))*$C$33/(($C$26-MIN(MAX(0,(1-$C$34)*J154+$C$15-($C$10+$C$13-MIN($C$34*J154,$C$13))),$C$26))+$C$33)/$C$33</f>
        <v>0.999999033589592</v>
      </c>
    </row>
    <row r="155" customFormat="false" ht="15" hidden="false" customHeight="false" outlineLevel="0" collapsed="false">
      <c r="B155" s="44" t="n">
        <v>24</v>
      </c>
      <c r="C155" s="41" t="n">
        <f aca="false">IF(F154&gt;=1-0.000000000001,C154,E154)</f>
        <v>1106.50423765183</v>
      </c>
      <c r="D155" s="41" t="n">
        <f aca="false">IF(F154&gt;=1-0.000000000001,E154,D154)</f>
        <v>1106.50479793549</v>
      </c>
      <c r="E155" s="41" t="n">
        <f aca="false">(C155+D155)/2</f>
        <v>1106.50451779366</v>
      </c>
      <c r="F155" s="45" t="n">
        <f aca="false">(MIN(MAX(0,(1-$C$34)*E155+$C$15-($C$10+$C$13-MIN($C$34*E155,$C$13))),$C$26)+MIN((MAX(0,$C$34*E155-MIN($C$34*E155,$C$13)-MAX(0,$C$10+$C$13-MIN($C$34*E155,$C$13)-((1-$C$34)*E155+$C$15)))+MAX(0,(1-$C$34)*E155+$C$15-($C$10+$C$13-MIN($C$34*E155,$C$13)))-MIN(MAX(0,(1-$C$34)*E155+$C$15-($C$10+$C$13-MIN($C$34*E155,$C$13))),$C$26)),(($C$26-MIN(MAX(0,(1-$C$34)*E155+$C$15-($C$10+$C$13-MIN($C$34*E155,$C$13))),$C$26))+$C$33))*($C$26-MIN(MAX(0,(1-$C$34)*E155+$C$15-($C$10+$C$13-MIN($C$34*E155,$C$13))),$C$26))/(($C$26-MIN(MAX(0,(1-$C$34)*E155+$C$15-($C$10+$C$13-MIN($C$34*E155,$C$13))),$C$26))+$C$33))/$C$26</f>
        <v>1</v>
      </c>
      <c r="H155" s="41" t="n">
        <f aca="false">IF(K154&gt;=1-0.000000000001,H154,J154)</f>
        <v>1532.59884119034</v>
      </c>
      <c r="I155" s="41" t="n">
        <f aca="false">IF(K154&gt;=1-0.000000000001,J154,I154)</f>
        <v>1532.599401474</v>
      </c>
      <c r="J155" s="41" t="n">
        <f aca="false">(H155+I155)/2</f>
        <v>1532.59912133217</v>
      </c>
      <c r="K155" s="45" t="n">
        <f aca="false">MIN((MAX(0,$C$34*J155-MIN($C$34*J155,$C$13)-MAX(0,$C$10+$C$13-MIN($C$34*J155,$C$13)-((1-$C$34)*J155+$C$15)))+MAX(0,(1-$C$34)*J155+$C$15-($C$10+$C$13-MIN($C$34*J155,$C$13)))-MIN(MAX(0,(1-$C$34)*J155+$C$15-($C$10+$C$13-MIN($C$34*J155,$C$13))),$C$26)),(($C$26-MIN(MAX(0,(1-$C$34)*J155+$C$15-($C$10+$C$13-MIN($C$34*J155,$C$13))),$C$26))+$C$33))*$C$33/(($C$26-MIN(MAX(0,(1-$C$34)*J155+$C$15-($C$10+$C$13-MIN($C$34*J155,$C$13))),$C$26))+$C$33)/$C$33</f>
        <v>0.999999590957788</v>
      </c>
    </row>
    <row r="156" customFormat="false" ht="15" hidden="false" customHeight="false" outlineLevel="0" collapsed="false">
      <c r="B156" s="44" t="n">
        <v>25</v>
      </c>
      <c r="C156" s="41" t="n">
        <f aca="false">IF(F155&gt;=1-0.000000000001,C155,E155)</f>
        <v>1106.50423765183</v>
      </c>
      <c r="D156" s="41" t="n">
        <f aca="false">IF(F155&gt;=1-0.000000000001,E155,D155)</f>
        <v>1106.50451779366</v>
      </c>
      <c r="E156" s="41" t="n">
        <f aca="false">(C156+D156)/2</f>
        <v>1106.50437772274</v>
      </c>
      <c r="F156" s="45" t="n">
        <f aca="false">(MIN(MAX(0,(1-$C$34)*E156+$C$15-($C$10+$C$13-MIN($C$34*E156,$C$13))),$C$26)+MIN((MAX(0,$C$34*E156-MIN($C$34*E156,$C$13)-MAX(0,$C$10+$C$13-MIN($C$34*E156,$C$13)-((1-$C$34)*E156+$C$15)))+MAX(0,(1-$C$34)*E156+$C$15-($C$10+$C$13-MIN($C$34*E156,$C$13)))-MIN(MAX(0,(1-$C$34)*E156+$C$15-($C$10+$C$13-MIN($C$34*E156,$C$13))),$C$26)),(($C$26-MIN(MAX(0,(1-$C$34)*E156+$C$15-($C$10+$C$13-MIN($C$34*E156,$C$13))),$C$26))+$C$33))*($C$26-MIN(MAX(0,(1-$C$34)*E156+$C$15-($C$10+$C$13-MIN($C$34*E156,$C$13))),$C$26))/(($C$26-MIN(MAX(0,(1-$C$34)*E156+$C$15-($C$10+$C$13-MIN($C$34*E156,$C$13))),$C$26))+$C$33))/$C$26</f>
        <v>1</v>
      </c>
      <c r="H156" s="41" t="n">
        <f aca="false">IF(K155&gt;=1-0.000000000001,H155,J155)</f>
        <v>1532.59912133217</v>
      </c>
      <c r="I156" s="41" t="n">
        <f aca="false">IF(K155&gt;=1-0.000000000001,J155,I155)</f>
        <v>1532.599401474</v>
      </c>
      <c r="J156" s="41" t="n">
        <f aca="false">(H156+I156)/2</f>
        <v>1532.59926140308</v>
      </c>
      <c r="K156" s="45" t="n">
        <f aca="false">MIN((MAX(0,$C$34*J156-MIN($C$34*J156,$C$13)-MAX(0,$C$10+$C$13-MIN($C$34*J156,$C$13)-((1-$C$34)*J156+$C$15)))+MAX(0,(1-$C$34)*J156+$C$15-($C$10+$C$13-MIN($C$34*J156,$C$13)))-MIN(MAX(0,(1-$C$34)*J156+$C$15-($C$10+$C$13-MIN($C$34*J156,$C$13))),$C$26)),(($C$26-MIN(MAX(0,(1-$C$34)*J156+$C$15-($C$10+$C$13-MIN($C$34*J156,$C$13))),$C$26))+$C$33))*$C$33/(($C$26-MIN(MAX(0,(1-$C$34)*J156+$C$15-($C$10+$C$13-MIN($C$34*J156,$C$13))),$C$26))+$C$33)/$C$33</f>
        <v>0.999999869641887</v>
      </c>
    </row>
    <row r="157" customFormat="false" ht="15" hidden="false" customHeight="false" outlineLevel="0" collapsed="false">
      <c r="B157" s="44" t="n">
        <v>26</v>
      </c>
      <c r="C157" s="41" t="n">
        <f aca="false">IF(F156&gt;=1-0.000000000001,C156,E156)</f>
        <v>1106.50423765183</v>
      </c>
      <c r="D157" s="41" t="n">
        <f aca="false">IF(F156&gt;=1-0.000000000001,E156,D156)</f>
        <v>1106.50437772274</v>
      </c>
      <c r="E157" s="41" t="n">
        <f aca="false">(C157+D157)/2</f>
        <v>1106.50430768728</v>
      </c>
      <c r="F157" s="45" t="n">
        <f aca="false">(MIN(MAX(0,(1-$C$34)*E157+$C$15-($C$10+$C$13-MIN($C$34*E157,$C$13))),$C$26)+MIN((MAX(0,$C$34*E157-MIN($C$34*E157,$C$13)-MAX(0,$C$10+$C$13-MIN($C$34*E157,$C$13)-((1-$C$34)*E157+$C$15)))+MAX(0,(1-$C$34)*E157+$C$15-($C$10+$C$13-MIN($C$34*E157,$C$13)))-MIN(MAX(0,(1-$C$34)*E157+$C$15-($C$10+$C$13-MIN($C$34*E157,$C$13))),$C$26)),(($C$26-MIN(MAX(0,(1-$C$34)*E157+$C$15-($C$10+$C$13-MIN($C$34*E157,$C$13))),$C$26))+$C$33))*($C$26-MIN(MAX(0,(1-$C$34)*E157+$C$15-($C$10+$C$13-MIN($C$34*E157,$C$13))),$C$26))/(($C$26-MIN(MAX(0,(1-$C$34)*E157+$C$15-($C$10+$C$13-MIN($C$34*E157,$C$13))),$C$26))+$C$33))/$C$26</f>
        <v>1</v>
      </c>
      <c r="H157" s="41" t="n">
        <f aca="false">IF(K156&gt;=1-0.000000000001,H156,J156)</f>
        <v>1532.59926140308</v>
      </c>
      <c r="I157" s="41" t="n">
        <f aca="false">IF(K156&gt;=1-0.000000000001,J156,I156)</f>
        <v>1532.599401474</v>
      </c>
      <c r="J157" s="41" t="n">
        <f aca="false">(H157+I157)/2</f>
        <v>1532.59933143854</v>
      </c>
      <c r="K157" s="45" t="n">
        <f aca="false">MIN((MAX(0,$C$34*J157-MIN($C$34*J157,$C$13)-MAX(0,$C$10+$C$13-MIN($C$34*J157,$C$13)-((1-$C$34)*J157+$C$15)))+MAX(0,(1-$C$34)*J157+$C$15-($C$10+$C$13-MIN($C$34*J157,$C$13)))-MIN(MAX(0,(1-$C$34)*J157+$C$15-($C$10+$C$13-MIN($C$34*J157,$C$13))),$C$26)),(($C$26-MIN(MAX(0,(1-$C$34)*J157+$C$15-($C$10+$C$13-MIN($C$34*J157,$C$13))),$C$26))+$C$33))*$C$33/(($C$26-MIN(MAX(0,(1-$C$34)*J157+$C$15-($C$10+$C$13-MIN($C$34*J157,$C$13))),$C$26))+$C$33)/$C$33</f>
        <v>1</v>
      </c>
    </row>
    <row r="158" customFormat="false" ht="15" hidden="false" customHeight="false" outlineLevel="0" collapsed="false">
      <c r="B158" s="44" t="n">
        <v>27</v>
      </c>
      <c r="C158" s="41" t="n">
        <f aca="false">IF(F157&gt;=1-0.000000000001,C157,E157)</f>
        <v>1106.50423765183</v>
      </c>
      <c r="D158" s="41" t="n">
        <f aca="false">IF(F157&gt;=1-0.000000000001,E157,D157)</f>
        <v>1106.50430768728</v>
      </c>
      <c r="E158" s="41" t="n">
        <f aca="false">(C158+D158)/2</f>
        <v>1106.50427266955</v>
      </c>
      <c r="F158" s="45" t="n">
        <f aca="false">(MIN(MAX(0,(1-$C$34)*E158+$C$15-($C$10+$C$13-MIN($C$34*E158,$C$13))),$C$26)+MIN((MAX(0,$C$34*E158-MIN($C$34*E158,$C$13)-MAX(0,$C$10+$C$13-MIN($C$34*E158,$C$13)-((1-$C$34)*E158+$C$15)))+MAX(0,(1-$C$34)*E158+$C$15-($C$10+$C$13-MIN($C$34*E158,$C$13)))-MIN(MAX(0,(1-$C$34)*E158+$C$15-($C$10+$C$13-MIN($C$34*E158,$C$13))),$C$26)),(($C$26-MIN(MAX(0,(1-$C$34)*E158+$C$15-($C$10+$C$13-MIN($C$34*E158,$C$13))),$C$26))+$C$33))*($C$26-MIN(MAX(0,(1-$C$34)*E158+$C$15-($C$10+$C$13-MIN($C$34*E158,$C$13))),$C$26))/(($C$26-MIN(MAX(0,(1-$C$34)*E158+$C$15-($C$10+$C$13-MIN($C$34*E158,$C$13))),$C$26))+$C$33))/$C$26</f>
        <v>0.999999989888646</v>
      </c>
      <c r="H158" s="41" t="n">
        <f aca="false">IF(K157&gt;=1-0.000000000001,H157,J157)</f>
        <v>1532.59926140308</v>
      </c>
      <c r="I158" s="41" t="n">
        <f aca="false">IF(K157&gt;=1-0.000000000001,J157,I157)</f>
        <v>1532.59933143854</v>
      </c>
      <c r="J158" s="41" t="n">
        <f aca="false">(H158+I158)/2</f>
        <v>1532.59929642081</v>
      </c>
      <c r="K158" s="45" t="n">
        <f aca="false">MIN((MAX(0,$C$34*J158-MIN($C$34*J158,$C$13)-MAX(0,$C$10+$C$13-MIN($C$34*J158,$C$13)-((1-$C$34)*J158+$C$15)))+MAX(0,(1-$C$34)*J158+$C$15-($C$10+$C$13-MIN($C$34*J158,$C$13)))-MIN(MAX(0,(1-$C$34)*J158+$C$15-($C$10+$C$13-MIN($C$34*J158,$C$13))),$C$26)),(($C$26-MIN(MAX(0,(1-$C$34)*J158+$C$15-($C$10+$C$13-MIN($C$34*J158,$C$13))),$C$26))+$C$33))*$C$33/(($C$26-MIN(MAX(0,(1-$C$34)*J158+$C$15-($C$10+$C$13-MIN($C$34*J158,$C$13))),$C$26))+$C$33)/$C$33</f>
        <v>0.999999939312911</v>
      </c>
    </row>
    <row r="159" customFormat="false" ht="15" hidden="false" customHeight="false" outlineLevel="0" collapsed="false">
      <c r="B159" s="44" t="n">
        <v>28</v>
      </c>
      <c r="C159" s="41" t="n">
        <f aca="false">IF(F158&gt;=1-0.000000000001,C158,E158)</f>
        <v>1106.50427266955</v>
      </c>
      <c r="D159" s="41" t="n">
        <f aca="false">IF(F158&gt;=1-0.000000000001,E158,D158)</f>
        <v>1106.50430768728</v>
      </c>
      <c r="E159" s="41" t="n">
        <f aca="false">(C159+D159)/2</f>
        <v>1106.50429017842</v>
      </c>
      <c r="F159" s="45" t="n">
        <f aca="false">(MIN(MAX(0,(1-$C$34)*E159+$C$15-($C$10+$C$13-MIN($C$34*E159,$C$13))),$C$26)+MIN((MAX(0,$C$34*E159-MIN($C$34*E159,$C$13)-MAX(0,$C$10+$C$13-MIN($C$34*E159,$C$13)-((1-$C$34)*E159+$C$15)))+MAX(0,(1-$C$34)*E159+$C$15-($C$10+$C$13-MIN($C$34*E159,$C$13)))-MIN(MAX(0,(1-$C$34)*E159+$C$15-($C$10+$C$13-MIN($C$34*E159,$C$13))),$C$26)),(($C$26-MIN(MAX(0,(1-$C$34)*E159+$C$15-($C$10+$C$13-MIN($C$34*E159,$C$13))),$C$26))+$C$33))*($C$26-MIN(MAX(0,(1-$C$34)*E159+$C$15-($C$10+$C$13-MIN($C$34*E159,$C$13))),$C$26))/(($C$26-MIN(MAX(0,(1-$C$34)*E159+$C$15-($C$10+$C$13-MIN($C$34*E159,$C$13))),$C$26))+$C$33))/$C$26</f>
        <v>1</v>
      </c>
      <c r="H159" s="41" t="n">
        <f aca="false">IF(K158&gt;=1-0.000000000001,H158,J158)</f>
        <v>1532.59929642081</v>
      </c>
      <c r="I159" s="41" t="n">
        <f aca="false">IF(K158&gt;=1-0.000000000001,J158,I158)</f>
        <v>1532.59933143854</v>
      </c>
      <c r="J159" s="41" t="n">
        <f aca="false">(H159+I159)/2</f>
        <v>1532.59931392968</v>
      </c>
      <c r="K159" s="45" t="n">
        <f aca="false">MIN((MAX(0,$C$34*J159-MIN($C$34*J159,$C$13)-MAX(0,$C$10+$C$13-MIN($C$34*J159,$C$13)-((1-$C$34)*J159+$C$15)))+MAX(0,(1-$C$34)*J159+$C$15-($C$10+$C$13-MIN($C$34*J159,$C$13)))-MIN(MAX(0,(1-$C$34)*J159+$C$15-($C$10+$C$13-MIN($C$34*J159,$C$13))),$C$26)),(($C$26-MIN(MAX(0,(1-$C$34)*J159+$C$15-($C$10+$C$13-MIN($C$34*J159,$C$13))),$C$26))+$C$33))*$C$33/(($C$26-MIN(MAX(0,(1-$C$34)*J159+$C$15-($C$10+$C$13-MIN($C$34*J159,$C$13))),$C$26))+$C$33)/$C$33</f>
        <v>0.999999974148424</v>
      </c>
    </row>
    <row r="160" customFormat="false" ht="15" hidden="false" customHeight="false" outlineLevel="0" collapsed="false">
      <c r="B160" s="44" t="n">
        <v>29</v>
      </c>
      <c r="C160" s="41" t="n">
        <f aca="false">IF(F159&gt;=1-0.000000000001,C159,E159)</f>
        <v>1106.50427266955</v>
      </c>
      <c r="D160" s="41" t="n">
        <f aca="false">IF(F159&gt;=1-0.000000000001,E159,D159)</f>
        <v>1106.50429017842</v>
      </c>
      <c r="E160" s="41" t="n">
        <f aca="false">(C160+D160)/2</f>
        <v>1106.50428142399</v>
      </c>
      <c r="F160" s="45" t="n">
        <f aca="false">(MIN(MAX(0,(1-$C$34)*E160+$C$15-($C$10+$C$13-MIN($C$34*E160,$C$13))),$C$26)+MIN((MAX(0,$C$34*E160-MIN($C$34*E160,$C$13)-MAX(0,$C$10+$C$13-MIN($C$34*E160,$C$13)-((1-$C$34)*E160+$C$15)))+MAX(0,(1-$C$34)*E160+$C$15-($C$10+$C$13-MIN($C$34*E160,$C$13)))-MIN(MAX(0,(1-$C$34)*E160+$C$15-($C$10+$C$13-MIN($C$34*E160,$C$13))),$C$26)),(($C$26-MIN(MAX(0,(1-$C$34)*E160+$C$15-($C$10+$C$13-MIN($C$34*E160,$C$13))),$C$26))+$C$33))*($C$26-MIN(MAX(0,(1-$C$34)*E160+$C$15-($C$10+$C$13-MIN($C$34*E160,$C$13))),$C$26))/(($C$26-MIN(MAX(0,(1-$C$34)*E160+$C$15-($C$10+$C$13-MIN($C$34*E160,$C$13))),$C$26))+$C$33))/$C$26</f>
        <v>0.999999997000045</v>
      </c>
      <c r="H160" s="41" t="n">
        <f aca="false">IF(K159&gt;=1-0.000000000001,H159,J159)</f>
        <v>1532.59931392968</v>
      </c>
      <c r="I160" s="41" t="n">
        <f aca="false">IF(K159&gt;=1-0.000000000001,J159,I159)</f>
        <v>1532.59933143854</v>
      </c>
      <c r="J160" s="41" t="n">
        <f aca="false">(H160+I160)/2</f>
        <v>1532.59932268411</v>
      </c>
      <c r="K160" s="45" t="n">
        <f aca="false">MIN((MAX(0,$C$34*J160-MIN($C$34*J160,$C$13)-MAX(0,$C$10+$C$13-MIN($C$34*J160,$C$13)-((1-$C$34)*J160+$C$15)))+MAX(0,(1-$C$34)*J160+$C$15-($C$10+$C$13-MIN($C$34*J160,$C$13)))-MIN(MAX(0,(1-$C$34)*J160+$C$15-($C$10+$C$13-MIN($C$34*J160,$C$13))),$C$26)),(($C$26-MIN(MAX(0,(1-$C$34)*J160+$C$15-($C$10+$C$13-MIN($C$34*J160,$C$13))),$C$26))+$C$33))*$C$33/(($C$26-MIN(MAX(0,(1-$C$34)*J160+$C$15-($C$10+$C$13-MIN($C$34*J160,$C$13))),$C$26))+$C$33)/$C$33</f>
        <v>0.99999999156618</v>
      </c>
    </row>
    <row r="161" customFormat="false" ht="15" hidden="false" customHeight="false" outlineLevel="0" collapsed="false">
      <c r="B161" s="44" t="n">
        <v>30</v>
      </c>
      <c r="C161" s="41" t="n">
        <f aca="false">IF(F160&gt;=1-0.000000000001,C160,E160)</f>
        <v>1106.50428142399</v>
      </c>
      <c r="D161" s="41" t="n">
        <f aca="false">IF(F160&gt;=1-0.000000000001,E160,D160)</f>
        <v>1106.50429017842</v>
      </c>
      <c r="E161" s="41" t="n">
        <f aca="false">(C161+D161)/2</f>
        <v>1106.5042858012</v>
      </c>
      <c r="F161" s="45" t="n">
        <f aca="false">(MIN(MAX(0,(1-$C$34)*E161+$C$15-($C$10+$C$13-MIN($C$34*E161,$C$13))),$C$26)+MIN((MAX(0,$C$34*E161-MIN($C$34*E161,$C$13)-MAX(0,$C$10+$C$13-MIN($C$34*E161,$C$13)-((1-$C$34)*E161+$C$15)))+MAX(0,(1-$C$34)*E161+$C$15-($C$10+$C$13-MIN($C$34*E161,$C$13)))-MIN(MAX(0,(1-$C$34)*E161+$C$15-($C$10+$C$13-MIN($C$34*E161,$C$13))),$C$26)),(($C$26-MIN(MAX(0,(1-$C$34)*E161+$C$15-($C$10+$C$13-MIN($C$34*E161,$C$13))),$C$26))+$C$33))*($C$26-MIN(MAX(0,(1-$C$34)*E161+$C$15-($C$10+$C$13-MIN($C$34*E161,$C$13))),$C$26))/(($C$26-MIN(MAX(0,(1-$C$34)*E161+$C$15-($C$10+$C$13-MIN($C$34*E161,$C$13))),$C$26))+$C$33))/$C$26</f>
        <v>1</v>
      </c>
      <c r="H161" s="41" t="n">
        <f aca="false">IF(K160&gt;=1-0.000000000001,H160,J160)</f>
        <v>1532.59932268411</v>
      </c>
      <c r="I161" s="41" t="n">
        <f aca="false">IF(K160&gt;=1-0.000000000001,J160,I160)</f>
        <v>1532.59933143854</v>
      </c>
      <c r="J161" s="41" t="n">
        <f aca="false">(H161+I161)/2</f>
        <v>1532.59932706133</v>
      </c>
      <c r="K161" s="45" t="n">
        <f aca="false">MIN((MAX(0,$C$34*J161-MIN($C$34*J161,$C$13)-MAX(0,$C$10+$C$13-MIN($C$34*J161,$C$13)-((1-$C$34)*J161+$C$15)))+MAX(0,(1-$C$34)*J161+$C$15-($C$10+$C$13-MIN($C$34*J161,$C$13)))-MIN(MAX(0,(1-$C$34)*J161+$C$15-($C$10+$C$13-MIN($C$34*J161,$C$13))),$C$26)),(($C$26-MIN(MAX(0,(1-$C$34)*J161+$C$15-($C$10+$C$13-MIN($C$34*J161,$C$13))),$C$26))+$C$33))*$C$33/(($C$26-MIN(MAX(0,(1-$C$34)*J161+$C$15-($C$10+$C$13-MIN($C$34*J161,$C$13))),$C$26))+$C$33)/$C$33</f>
        <v>1</v>
      </c>
    </row>
    <row r="162" customFormat="false" ht="15" hidden="false" customHeight="false" outlineLevel="0" collapsed="false">
      <c r="B162" s="44" t="n">
        <v>31</v>
      </c>
      <c r="C162" s="41" t="n">
        <f aca="false">IF(F161&gt;=1-0.000000000001,C161,E161)</f>
        <v>1106.50428142399</v>
      </c>
      <c r="D162" s="41" t="n">
        <f aca="false">IF(F161&gt;=1-0.000000000001,E161,D161)</f>
        <v>1106.5042858012</v>
      </c>
      <c r="E162" s="41" t="n">
        <f aca="false">(C162+D162)/2</f>
        <v>1106.50428361259</v>
      </c>
      <c r="F162" s="45" t="n">
        <f aca="false">(MIN(MAX(0,(1-$C$34)*E162+$C$15-($C$10+$C$13-MIN($C$34*E162,$C$13))),$C$26)+MIN((MAX(0,$C$34*E162-MIN($C$34*E162,$C$13)-MAX(0,$C$10+$C$13-MIN($C$34*E162,$C$13)-((1-$C$34)*E162+$C$15)))+MAX(0,(1-$C$34)*E162+$C$15-($C$10+$C$13-MIN($C$34*E162,$C$13)))-MIN(MAX(0,(1-$C$34)*E162+$C$15-($C$10+$C$13-MIN($C$34*E162,$C$13))),$C$26)),(($C$26-MIN(MAX(0,(1-$C$34)*E162+$C$15-($C$10+$C$13-MIN($C$34*E162,$C$13))),$C$26))+$C$33))*($C$26-MIN(MAX(0,(1-$C$34)*E162+$C$15-($C$10+$C$13-MIN($C$34*E162,$C$13))),$C$26))/(($C$26-MIN(MAX(0,(1-$C$34)*E162+$C$15-($C$10+$C$13-MIN($C$34*E162,$C$13))),$C$26))+$C$33))/$C$26</f>
        <v>0.999999998777895</v>
      </c>
      <c r="H162" s="41" t="n">
        <f aca="false">IF(K161&gt;=1-0.000000000001,H161,J161)</f>
        <v>1532.59932268411</v>
      </c>
      <c r="I162" s="41" t="n">
        <f aca="false">IF(K161&gt;=1-0.000000000001,J161,I161)</f>
        <v>1532.59932706133</v>
      </c>
      <c r="J162" s="41" t="n">
        <f aca="false">(H162+I162)/2</f>
        <v>1532.59932487272</v>
      </c>
      <c r="K162" s="45" t="n">
        <f aca="false">MIN((MAX(0,$C$34*J162-MIN($C$34*J162,$C$13)-MAX(0,$C$10+$C$13-MIN($C$34*J162,$C$13)-((1-$C$34)*J162+$C$15)))+MAX(0,(1-$C$34)*J162+$C$15-($C$10+$C$13-MIN($C$34*J162,$C$13)))-MIN(MAX(0,(1-$C$34)*J162+$C$15-($C$10+$C$13-MIN($C$34*J162,$C$13))),$C$26)),(($C$26-MIN(MAX(0,(1-$C$34)*J162+$C$15-($C$10+$C$13-MIN($C$34*J162,$C$13))),$C$26))+$C$33))*$C$33/(($C$26-MIN(MAX(0,(1-$C$34)*J162+$C$15-($C$10+$C$13-MIN($C$34*J162,$C$13))),$C$26))+$C$33)/$C$33</f>
        <v>0.999999995920619</v>
      </c>
    </row>
    <row r="163" customFormat="false" ht="15" hidden="false" customHeight="false" outlineLevel="0" collapsed="false">
      <c r="B163" s="44" t="n">
        <v>32</v>
      </c>
      <c r="C163" s="41" t="n">
        <f aca="false">IF(F162&gt;=1-0.000000000001,C162,E162)</f>
        <v>1106.50428361259</v>
      </c>
      <c r="D163" s="41" t="n">
        <f aca="false">IF(F162&gt;=1-0.000000000001,E162,D162)</f>
        <v>1106.5042858012</v>
      </c>
      <c r="E163" s="41" t="n">
        <f aca="false">(C163+D163)/2</f>
        <v>1106.5042847069</v>
      </c>
      <c r="F163" s="45" t="n">
        <f aca="false">(MIN(MAX(0,(1-$C$34)*E163+$C$15-($C$10+$C$13-MIN($C$34*E163,$C$13))),$C$26)+MIN((MAX(0,$C$34*E163-MIN($C$34*E163,$C$13)-MAX(0,$C$10+$C$13-MIN($C$34*E163,$C$13)-((1-$C$34)*E163+$C$15)))+MAX(0,(1-$C$34)*E163+$C$15-($C$10+$C$13-MIN($C$34*E163,$C$13)))-MIN(MAX(0,(1-$C$34)*E163+$C$15-($C$10+$C$13-MIN($C$34*E163,$C$13))),$C$26)),(($C$26-MIN(MAX(0,(1-$C$34)*E163+$C$15-($C$10+$C$13-MIN($C$34*E163,$C$13))),$C$26))+$C$33))*($C$26-MIN(MAX(0,(1-$C$34)*E163+$C$15-($C$10+$C$13-MIN($C$34*E163,$C$13))),$C$26))/(($C$26-MIN(MAX(0,(1-$C$34)*E163+$C$15-($C$10+$C$13-MIN($C$34*E163,$C$13))),$C$26))+$C$33))/$C$26</f>
        <v>0.99999999966682</v>
      </c>
      <c r="H163" s="41" t="n">
        <f aca="false">IF(K162&gt;=1-0.000000000001,H162,J162)</f>
        <v>1532.59932487272</v>
      </c>
      <c r="I163" s="41" t="n">
        <f aca="false">IF(K162&gt;=1-0.000000000001,J162,I162)</f>
        <v>1532.59932706133</v>
      </c>
      <c r="J163" s="41" t="n">
        <f aca="false">(H163+I163)/2</f>
        <v>1532.59932596702</v>
      </c>
      <c r="K163" s="45" t="n">
        <f aca="false">MIN((MAX(0,$C$34*J163-MIN($C$34*J163,$C$13)-MAX(0,$C$10+$C$13-MIN($C$34*J163,$C$13)-((1-$C$34)*J163+$C$15)))+MAX(0,(1-$C$34)*J163+$C$15-($C$10+$C$13-MIN($C$34*J163,$C$13)))-MIN(MAX(0,(1-$C$34)*J163+$C$15-($C$10+$C$13-MIN($C$34*J163,$C$13))),$C$26)),(($C$26-MIN(MAX(0,(1-$C$34)*J163+$C$15-($C$10+$C$13-MIN($C$34*J163,$C$13))),$C$26))+$C$33))*$C$33/(($C$26-MIN(MAX(0,(1-$C$34)*J163+$C$15-($C$10+$C$13-MIN($C$34*J163,$C$13))),$C$26))+$C$33)/$C$33</f>
        <v>0.999999998097838</v>
      </c>
    </row>
    <row r="164" customFormat="false" ht="15" hidden="false" customHeight="false" outlineLevel="0" collapsed="false">
      <c r="B164" s="44" t="n">
        <v>33</v>
      </c>
      <c r="C164" s="41" t="n">
        <f aca="false">IF(F163&gt;=1-0.000000000001,C163,E163)</f>
        <v>1106.5042847069</v>
      </c>
      <c r="D164" s="41" t="n">
        <f aca="false">IF(F163&gt;=1-0.000000000001,E163,D163)</f>
        <v>1106.5042858012</v>
      </c>
      <c r="E164" s="41" t="n">
        <f aca="false">(C164+D164)/2</f>
        <v>1106.50428525405</v>
      </c>
      <c r="F164" s="45" t="n">
        <f aca="false">(MIN(MAX(0,(1-$C$34)*E164+$C$15-($C$10+$C$13-MIN($C$34*E164,$C$13))),$C$26)+MIN((MAX(0,$C$34*E164-MIN($C$34*E164,$C$13)-MAX(0,$C$10+$C$13-MIN($C$34*E164,$C$13)-((1-$C$34)*E164+$C$15)))+MAX(0,(1-$C$34)*E164+$C$15-($C$10+$C$13-MIN($C$34*E164,$C$13)))-MIN(MAX(0,(1-$C$34)*E164+$C$15-($C$10+$C$13-MIN($C$34*E164,$C$13))),$C$26)),(($C$26-MIN(MAX(0,(1-$C$34)*E164+$C$15-($C$10+$C$13-MIN($C$34*E164,$C$13))),$C$26))+$C$33))*($C$26-MIN(MAX(0,(1-$C$34)*E164+$C$15-($C$10+$C$13-MIN($C$34*E164,$C$13))),$C$26))/(($C$26-MIN(MAX(0,(1-$C$34)*E164+$C$15-($C$10+$C$13-MIN($C$34*E164,$C$13))),$C$26))+$C$33))/$C$26</f>
        <v>1</v>
      </c>
      <c r="H164" s="41" t="n">
        <f aca="false">IF(K163&gt;=1-0.000000000001,H163,J163)</f>
        <v>1532.59932596702</v>
      </c>
      <c r="I164" s="41" t="n">
        <f aca="false">IF(K163&gt;=1-0.000000000001,J163,I163)</f>
        <v>1532.59932706133</v>
      </c>
      <c r="J164" s="41" t="n">
        <f aca="false">(H164+I164)/2</f>
        <v>1532.59932651417</v>
      </c>
      <c r="K164" s="45" t="n">
        <f aca="false">MIN((MAX(0,$C$34*J164-MIN($C$34*J164,$C$13)-MAX(0,$C$10+$C$13-MIN($C$34*J164,$C$13)-((1-$C$34)*J164+$C$15)))+MAX(0,(1-$C$34)*J164+$C$15-($C$10+$C$13-MIN($C$34*J164,$C$13)))-MIN(MAX(0,(1-$C$34)*J164+$C$15-($C$10+$C$13-MIN($C$34*J164,$C$13))),$C$26)),(($C$26-MIN(MAX(0,(1-$C$34)*J164+$C$15-($C$10+$C$13-MIN($C$34*J164,$C$13))),$C$26))+$C$33))*$C$33/(($C$26-MIN(MAX(0,(1-$C$34)*J164+$C$15-($C$10+$C$13-MIN($C$34*J164,$C$13))),$C$26))+$C$33)/$C$33</f>
        <v>0.999999999186448</v>
      </c>
    </row>
    <row r="165" customFormat="false" ht="15" hidden="false" customHeight="false" outlineLevel="0" collapsed="false">
      <c r="B165" s="44" t="n">
        <v>34</v>
      </c>
      <c r="C165" s="41" t="n">
        <f aca="false">IF(F164&gt;=1-0.000000000001,C164,E164)</f>
        <v>1106.5042847069</v>
      </c>
      <c r="D165" s="41" t="n">
        <f aca="false">IF(F164&gt;=1-0.000000000001,E164,D164)</f>
        <v>1106.50428525405</v>
      </c>
      <c r="E165" s="41" t="n">
        <f aca="false">(C165+D165)/2</f>
        <v>1106.50428498047</v>
      </c>
      <c r="F165" s="45" t="n">
        <f aca="false">(MIN(MAX(0,(1-$C$34)*E165+$C$15-($C$10+$C$13-MIN($C$34*E165,$C$13))),$C$26)+MIN((MAX(0,$C$34*E165-MIN($C$34*E165,$C$13)-MAX(0,$C$10+$C$13-MIN($C$34*E165,$C$13)-((1-$C$34)*E165+$C$15)))+MAX(0,(1-$C$34)*E165+$C$15-($C$10+$C$13-MIN($C$34*E165,$C$13)))-MIN(MAX(0,(1-$C$34)*E165+$C$15-($C$10+$C$13-MIN($C$34*E165,$C$13))),$C$26)),(($C$26-MIN(MAX(0,(1-$C$34)*E165+$C$15-($C$10+$C$13-MIN($C$34*E165,$C$13))),$C$26))+$C$33))*($C$26-MIN(MAX(0,(1-$C$34)*E165+$C$15-($C$10+$C$13-MIN($C$34*E165,$C$13))),$C$26))/(($C$26-MIN(MAX(0,(1-$C$34)*E165+$C$15-($C$10+$C$13-MIN($C$34*E165,$C$13))),$C$26))+$C$33))/$C$26</f>
        <v>0.999999999889051</v>
      </c>
      <c r="H165" s="41" t="n">
        <f aca="false">IF(K164&gt;=1-0.000000000001,H164,J164)</f>
        <v>1532.59932651417</v>
      </c>
      <c r="I165" s="41" t="n">
        <f aca="false">IF(K164&gt;=1-0.000000000001,J164,I164)</f>
        <v>1532.59932706133</v>
      </c>
      <c r="J165" s="41" t="n">
        <f aca="false">(H165+I165)/2</f>
        <v>1532.59932678775</v>
      </c>
      <c r="K165" s="45" t="n">
        <f aca="false">MIN((MAX(0,$C$34*J165-MIN($C$34*J165,$C$13)-MAX(0,$C$10+$C$13-MIN($C$34*J165,$C$13)-((1-$C$34)*J165+$C$15)))+MAX(0,(1-$C$34)*J165+$C$15-($C$10+$C$13-MIN($C$34*J165,$C$13)))-MIN(MAX(0,(1-$C$34)*J165+$C$15-($C$10+$C$13-MIN($C$34*J165,$C$13))),$C$26)),(($C$26-MIN(MAX(0,(1-$C$34)*J165+$C$15-($C$10+$C$13-MIN($C$34*J165,$C$13))),$C$26))+$C$33))*$C$33/(($C$26-MIN(MAX(0,(1-$C$34)*J165+$C$15-($C$10+$C$13-MIN($C$34*J165,$C$13))),$C$26))+$C$33)/$C$33</f>
        <v>0.999999999730753</v>
      </c>
    </row>
    <row r="166" customFormat="false" ht="15" hidden="false" customHeight="false" outlineLevel="0" collapsed="false">
      <c r="B166" s="44" t="n">
        <v>35</v>
      </c>
      <c r="C166" s="41" t="n">
        <f aca="false">IF(F165&gt;=1-0.000000000001,C165,E165)</f>
        <v>1106.50428498047</v>
      </c>
      <c r="D166" s="41" t="n">
        <f aca="false">IF(F165&gt;=1-0.000000000001,E165,D165)</f>
        <v>1106.50428525405</v>
      </c>
      <c r="E166" s="41" t="n">
        <f aca="false">(C166+D166)/2</f>
        <v>1106.50428511726</v>
      </c>
      <c r="F166" s="45" t="n">
        <f aca="false">(MIN(MAX(0,(1-$C$34)*E166+$C$15-($C$10+$C$13-MIN($C$34*E166,$C$13))),$C$26)+MIN((MAX(0,$C$34*E166-MIN($C$34*E166,$C$13)-MAX(0,$C$10+$C$13-MIN($C$34*E166,$C$13)-((1-$C$34)*E166+$C$15)))+MAX(0,(1-$C$34)*E166+$C$15-($C$10+$C$13-MIN($C$34*E166,$C$13)))-MIN(MAX(0,(1-$C$34)*E166+$C$15-($C$10+$C$13-MIN($C$34*E166,$C$13))),$C$26)),(($C$26-MIN(MAX(0,(1-$C$34)*E166+$C$15-($C$10+$C$13-MIN($C$34*E166,$C$13))),$C$26))+$C$33))*($C$26-MIN(MAX(0,(1-$C$34)*E166+$C$15-($C$10+$C$13-MIN($C$34*E166,$C$13))),$C$26))/(($C$26-MIN(MAX(0,(1-$C$34)*E166+$C$15-($C$10+$C$13-MIN($C$34*E166,$C$13))),$C$26))+$C$33))/$C$26</f>
        <v>1</v>
      </c>
      <c r="H166" s="41" t="n">
        <f aca="false">IF(K165&gt;=1-0.000000000001,H165,J165)</f>
        <v>1532.59932678775</v>
      </c>
      <c r="I166" s="41" t="n">
        <f aca="false">IF(K165&gt;=1-0.000000000001,J165,I165)</f>
        <v>1532.59932706133</v>
      </c>
      <c r="J166" s="41" t="n">
        <f aca="false">(H166+I166)/2</f>
        <v>1532.59932692454</v>
      </c>
      <c r="K166" s="45" t="n">
        <f aca="false">MIN((MAX(0,$C$34*J166-MIN($C$34*J166,$C$13)-MAX(0,$C$10+$C$13-MIN($C$34*J166,$C$13)-((1-$C$34)*J166+$C$15)))+MAX(0,(1-$C$34)*J166+$C$15-($C$10+$C$13-MIN($C$34*J166,$C$13)))-MIN(MAX(0,(1-$C$34)*J166+$C$15-($C$10+$C$13-MIN($C$34*J166,$C$13))),$C$26)),(($C$26-MIN(MAX(0,(1-$C$34)*J166+$C$15-($C$10+$C$13-MIN($C$34*J166,$C$13))),$C$26))+$C$33))*$C$33/(($C$26-MIN(MAX(0,(1-$C$34)*J166+$C$15-($C$10+$C$13-MIN($C$34*J166,$C$13))),$C$26))+$C$33)/$C$33</f>
        <v>1</v>
      </c>
    </row>
    <row r="167" customFormat="false" ht="15" hidden="false" customHeight="false" outlineLevel="0" collapsed="false">
      <c r="B167" s="44" t="n">
        <v>36</v>
      </c>
      <c r="C167" s="41" t="n">
        <f aca="false">IF(F166&gt;=1-0.000000000001,C166,E166)</f>
        <v>1106.50428498047</v>
      </c>
      <c r="D167" s="41" t="n">
        <f aca="false">IF(F166&gt;=1-0.000000000001,E166,D166)</f>
        <v>1106.50428511726</v>
      </c>
      <c r="E167" s="41" t="n">
        <f aca="false">(C167+D167)/2</f>
        <v>1106.50428504887</v>
      </c>
      <c r="F167" s="45" t="n">
        <f aca="false">(MIN(MAX(0,(1-$C$34)*E167+$C$15-($C$10+$C$13-MIN($C$34*E167,$C$13))),$C$26)+MIN((MAX(0,$C$34*E167-MIN($C$34*E167,$C$13)-MAX(0,$C$10+$C$13-MIN($C$34*E167,$C$13)-((1-$C$34)*E167+$C$15)))+MAX(0,(1-$C$34)*E167+$C$15-($C$10+$C$13-MIN($C$34*E167,$C$13)))-MIN(MAX(0,(1-$C$34)*E167+$C$15-($C$10+$C$13-MIN($C$34*E167,$C$13))),$C$26)),(($C$26-MIN(MAX(0,(1-$C$34)*E167+$C$15-($C$10+$C$13-MIN($C$34*E167,$C$13))),$C$26))+$C$33))*($C$26-MIN(MAX(0,(1-$C$34)*E167+$C$15-($C$10+$C$13-MIN($C$34*E167,$C$13))),$C$26))/(($C$26-MIN(MAX(0,(1-$C$34)*E167+$C$15-($C$10+$C$13-MIN($C$34*E167,$C$13))),$C$26))+$C$33))/$C$26</f>
        <v>0.999999999944609</v>
      </c>
      <c r="H167" s="41" t="n">
        <f aca="false">IF(K166&gt;=1-0.000000000001,H166,J166)</f>
        <v>1532.59932678775</v>
      </c>
      <c r="I167" s="41" t="n">
        <f aca="false">IF(K166&gt;=1-0.000000000001,J166,I166)</f>
        <v>1532.59932692454</v>
      </c>
      <c r="J167" s="41" t="n">
        <f aca="false">(H167+I167)/2</f>
        <v>1532.59932685614</v>
      </c>
      <c r="K167" s="45" t="n">
        <f aca="false">MIN((MAX(0,$C$34*J167-MIN($C$34*J167,$C$13)-MAX(0,$C$10+$C$13-MIN($C$34*J167,$C$13)-((1-$C$34)*J167+$C$15)))+MAX(0,(1-$C$34)*J167+$C$15-($C$10+$C$13-MIN($C$34*J167,$C$13)))-MIN(MAX(0,(1-$C$34)*J167+$C$15-($C$10+$C$13-MIN($C$34*J167,$C$13))),$C$26)),(($C$26-MIN(MAX(0,(1-$C$34)*J167+$C$15-($C$10+$C$13-MIN($C$34*J167,$C$13))),$C$26))+$C$33))*$C$33/(($C$26-MIN(MAX(0,(1-$C$34)*J167+$C$15-($C$10+$C$13-MIN($C$34*J167,$C$13))),$C$26))+$C$33)/$C$33</f>
        <v>0.999999999866829</v>
      </c>
    </row>
    <row r="168" customFormat="false" ht="15" hidden="false" customHeight="false" outlineLevel="0" collapsed="false">
      <c r="B168" s="44" t="n">
        <v>37</v>
      </c>
      <c r="C168" s="41" t="n">
        <f aca="false">IF(F167&gt;=1-0.000000000001,C167,E167)</f>
        <v>1106.50428504887</v>
      </c>
      <c r="D168" s="41" t="n">
        <f aca="false">IF(F167&gt;=1-0.000000000001,E167,D167)</f>
        <v>1106.50428511726</v>
      </c>
      <c r="E168" s="41" t="n">
        <f aca="false">(C168+D168)/2</f>
        <v>1106.50428508307</v>
      </c>
      <c r="F168" s="45" t="n">
        <f aca="false">(MIN(MAX(0,(1-$C$34)*E168+$C$15-($C$10+$C$13-MIN($C$34*E168,$C$13))),$C$26)+MIN((MAX(0,$C$34*E168-MIN($C$34*E168,$C$13)-MAX(0,$C$10+$C$13-MIN($C$34*E168,$C$13)-((1-$C$34)*E168+$C$15)))+MAX(0,(1-$C$34)*E168+$C$15-($C$10+$C$13-MIN($C$34*E168,$C$13)))-MIN(MAX(0,(1-$C$34)*E168+$C$15-($C$10+$C$13-MIN($C$34*E168,$C$13))),$C$26)),(($C$26-MIN(MAX(0,(1-$C$34)*E168+$C$15-($C$10+$C$13-MIN($C$34*E168,$C$13))),$C$26))+$C$33))*($C$26-MIN(MAX(0,(1-$C$34)*E168+$C$15-($C$10+$C$13-MIN($C$34*E168,$C$13))),$C$26))/(($C$26-MIN(MAX(0,(1-$C$34)*E168+$C$15-($C$10+$C$13-MIN($C$34*E168,$C$13))),$C$26))+$C$33))/$C$26</f>
        <v>0.999999999972388</v>
      </c>
      <c r="H168" s="41" t="n">
        <f aca="false">IF(K167&gt;=1-0.000000000001,H167,J167)</f>
        <v>1532.59932685614</v>
      </c>
      <c r="I168" s="41" t="n">
        <f aca="false">IF(K167&gt;=1-0.000000000001,J167,I167)</f>
        <v>1532.59932692454</v>
      </c>
      <c r="J168" s="41" t="n">
        <f aca="false">(H168+I168)/2</f>
        <v>1532.59932689034</v>
      </c>
      <c r="K168" s="45" t="n">
        <f aca="false">MIN((MAX(0,$C$34*J168-MIN($C$34*J168,$C$13)-MAX(0,$C$10+$C$13-MIN($C$34*J168,$C$13)-((1-$C$34)*J168+$C$15)))+MAX(0,(1-$C$34)*J168+$C$15-($C$10+$C$13-MIN($C$34*J168,$C$13)))-MIN(MAX(0,(1-$C$34)*J168+$C$15-($C$10+$C$13-MIN($C$34*J168,$C$13))),$C$26)),(($C$26-MIN(MAX(0,(1-$C$34)*J168+$C$15-($C$10+$C$13-MIN($C$34*J168,$C$13))),$C$26))+$C$33))*$C$33/(($C$26-MIN(MAX(0,(1-$C$34)*J168+$C$15-($C$10+$C$13-MIN($C$34*J168,$C$13))),$C$26))+$C$33)/$C$33</f>
        <v>0.999999999934867</v>
      </c>
    </row>
    <row r="169" customFormat="false" ht="15" hidden="false" customHeight="false" outlineLevel="0" collapsed="false">
      <c r="B169" s="44" t="n">
        <v>38</v>
      </c>
      <c r="C169" s="41" t="n">
        <f aca="false">IF(F168&gt;=1-0.000000000001,C168,E168)</f>
        <v>1106.50428508307</v>
      </c>
      <c r="D169" s="41" t="n">
        <f aca="false">IF(F168&gt;=1-0.000000000001,E168,D168)</f>
        <v>1106.50428511726</v>
      </c>
      <c r="E169" s="41" t="n">
        <f aca="false">(C169+D169)/2</f>
        <v>1106.50428510016</v>
      </c>
      <c r="F169" s="45" t="n">
        <f aca="false">(MIN(MAX(0,(1-$C$34)*E169+$C$15-($C$10+$C$13-MIN($C$34*E169,$C$13))),$C$26)+MIN((MAX(0,$C$34*E169-MIN($C$34*E169,$C$13)-MAX(0,$C$10+$C$13-MIN($C$34*E169,$C$13)-((1-$C$34)*E169+$C$15)))+MAX(0,(1-$C$34)*E169+$C$15-($C$10+$C$13-MIN($C$34*E169,$C$13)))-MIN(MAX(0,(1-$C$34)*E169+$C$15-($C$10+$C$13-MIN($C$34*E169,$C$13))),$C$26)),(($C$26-MIN(MAX(0,(1-$C$34)*E169+$C$15-($C$10+$C$13-MIN($C$34*E169,$C$13))),$C$26))+$C$33))*($C$26-MIN(MAX(0,(1-$C$34)*E169+$C$15-($C$10+$C$13-MIN($C$34*E169,$C$13))),$C$26))/(($C$26-MIN(MAX(0,(1-$C$34)*E169+$C$15-($C$10+$C$13-MIN($C$34*E169,$C$13))),$C$26))+$C$33))/$C$26</f>
        <v>0.999999999986277</v>
      </c>
      <c r="H169" s="41" t="n">
        <f aca="false">IF(K168&gt;=1-0.000000000001,H168,J168)</f>
        <v>1532.59932689034</v>
      </c>
      <c r="I169" s="41" t="n">
        <f aca="false">IF(K168&gt;=1-0.000000000001,J168,I168)</f>
        <v>1532.59932692454</v>
      </c>
      <c r="J169" s="41" t="n">
        <f aca="false">(H169+I169)/2</f>
        <v>1532.59932690744</v>
      </c>
      <c r="K169" s="45" t="n">
        <f aca="false">MIN((MAX(0,$C$34*J169-MIN($C$34*J169,$C$13)-MAX(0,$C$10+$C$13-MIN($C$34*J169,$C$13)-((1-$C$34)*J169+$C$15)))+MAX(0,(1-$C$34)*J169+$C$15-($C$10+$C$13-MIN($C$34*J169,$C$13)))-MIN(MAX(0,(1-$C$34)*J169+$C$15-($C$10+$C$13-MIN($C$34*J169,$C$13))),$C$26)),(($C$26-MIN(MAX(0,(1-$C$34)*J169+$C$15-($C$10+$C$13-MIN($C$34*J169,$C$13))),$C$26))+$C$33))*$C$33/(($C$26-MIN(MAX(0,(1-$C$34)*J169+$C$15-($C$10+$C$13-MIN($C$34*J169,$C$13))),$C$26))+$C$33)/$C$33</f>
        <v>0.999999999968886</v>
      </c>
    </row>
    <row r="170" customFormat="false" ht="15" hidden="false" customHeight="false" outlineLevel="0" collapsed="false">
      <c r="B170" s="44" t="n">
        <v>39</v>
      </c>
      <c r="C170" s="41" t="n">
        <f aca="false">IF(F169&gt;=1-0.000000000001,C169,E169)</f>
        <v>1106.50428510016</v>
      </c>
      <c r="D170" s="41" t="n">
        <f aca="false">IF(F169&gt;=1-0.000000000001,E169,D169)</f>
        <v>1106.50428511726</v>
      </c>
      <c r="E170" s="41" t="n">
        <f aca="false">(C170+D170)/2</f>
        <v>1106.50428510871</v>
      </c>
      <c r="F170" s="45" t="n">
        <f aca="false">(MIN(MAX(0,(1-$C$34)*E170+$C$15-($C$10+$C$13-MIN($C$34*E170,$C$13))),$C$26)+MIN((MAX(0,$C$34*E170-MIN($C$34*E170,$C$13)-MAX(0,$C$10+$C$13-MIN($C$34*E170,$C$13)-((1-$C$34)*E170+$C$15)))+MAX(0,(1-$C$34)*E170+$C$15-($C$10+$C$13-MIN($C$34*E170,$C$13)))-MIN(MAX(0,(1-$C$34)*E170+$C$15-($C$10+$C$13-MIN($C$34*E170,$C$13))),$C$26)),(($C$26-MIN(MAX(0,(1-$C$34)*E170+$C$15-($C$10+$C$13-MIN($C$34*E170,$C$13))),$C$26))+$C$33))*($C$26-MIN(MAX(0,(1-$C$34)*E170+$C$15-($C$10+$C$13-MIN($C$34*E170,$C$13))),$C$26))/(($C$26-MIN(MAX(0,(1-$C$34)*E170+$C$15-($C$10+$C$13-MIN($C$34*E170,$C$13))),$C$26))+$C$33))/$C$26</f>
        <v>0.999999999993222</v>
      </c>
      <c r="H170" s="41" t="n">
        <f aca="false">IF(K169&gt;=1-0.000000000001,H169,J169)</f>
        <v>1532.59932690744</v>
      </c>
      <c r="I170" s="41" t="n">
        <f aca="false">IF(K169&gt;=1-0.000000000001,J169,I169)</f>
        <v>1532.59932692454</v>
      </c>
      <c r="J170" s="41" t="n">
        <f aca="false">(H170+I170)/2</f>
        <v>1532.59932691599</v>
      </c>
      <c r="K170" s="45" t="n">
        <f aca="false">MIN((MAX(0,$C$34*J170-MIN($C$34*J170,$C$13)-MAX(0,$C$10+$C$13-MIN($C$34*J170,$C$13)-((1-$C$34)*J170+$C$15)))+MAX(0,(1-$C$34)*J170+$C$15-($C$10+$C$13-MIN($C$34*J170,$C$13)))-MIN(MAX(0,(1-$C$34)*J170+$C$15-($C$10+$C$13-MIN($C$34*J170,$C$13))),$C$26)),(($C$26-MIN(MAX(0,(1-$C$34)*J170+$C$15-($C$10+$C$13-MIN($C$34*J170,$C$13))),$C$26))+$C$33))*$C$33/(($C$26-MIN(MAX(0,(1-$C$34)*J170+$C$15-($C$10+$C$13-MIN($C$34*J170,$C$13))),$C$26))+$C$33)/$C$33</f>
        <v>0.999999999985896</v>
      </c>
    </row>
    <row r="171" customFormat="false" ht="15" hidden="false" customHeight="false" outlineLevel="0" collapsed="false">
      <c r="B171" s="44" t="n">
        <v>40</v>
      </c>
      <c r="C171" s="41" t="n">
        <f aca="false">IF(F170&gt;=1-0.000000000001,C170,E170)</f>
        <v>1106.50428510871</v>
      </c>
      <c r="D171" s="41" t="n">
        <f aca="false">IF(F170&gt;=1-0.000000000001,E170,D170)</f>
        <v>1106.50428511726</v>
      </c>
      <c r="E171" s="41" t="n">
        <f aca="false">(C171+D171)/2</f>
        <v>1106.50428511299</v>
      </c>
      <c r="F171" s="45" t="n">
        <f aca="false">(MIN(MAX(0,(1-$C$34)*E171+$C$15-($C$10+$C$13-MIN($C$34*E171,$C$13))),$C$26)+MIN((MAX(0,$C$34*E171-MIN($C$34*E171,$C$13)-MAX(0,$C$10+$C$13-MIN($C$34*E171,$C$13)-((1-$C$34)*E171+$C$15)))+MAX(0,(1-$C$34)*E171+$C$15-($C$10+$C$13-MIN($C$34*E171,$C$13)))-MIN(MAX(0,(1-$C$34)*E171+$C$15-($C$10+$C$13-MIN($C$34*E171,$C$13))),$C$26)),(($C$26-MIN(MAX(0,(1-$C$34)*E171+$C$15-($C$10+$C$13-MIN($C$34*E171,$C$13))),$C$26))+$C$33))*($C$26-MIN(MAX(0,(1-$C$34)*E171+$C$15-($C$10+$C$13-MIN($C$34*E171,$C$13))),$C$26))/(($C$26-MIN(MAX(0,(1-$C$34)*E171+$C$15-($C$10+$C$13-MIN($C$34*E171,$C$13))),$C$26))+$C$33))/$C$26</f>
        <v>0.999999999996694</v>
      </c>
      <c r="H171" s="41" t="n">
        <f aca="false">IF(K170&gt;=1-0.000000000001,H170,J170)</f>
        <v>1532.59932691599</v>
      </c>
      <c r="I171" s="41" t="n">
        <f aca="false">IF(K170&gt;=1-0.000000000001,J170,I170)</f>
        <v>1532.59932692454</v>
      </c>
      <c r="J171" s="41" t="n">
        <f aca="false">(H171+I171)/2</f>
        <v>1532.59932692026</v>
      </c>
      <c r="K171" s="45" t="n">
        <f aca="false">MIN((MAX(0,$C$34*J171-MIN($C$34*J171,$C$13)-MAX(0,$C$10+$C$13-MIN($C$34*J171,$C$13)-((1-$C$34)*J171+$C$15)))+MAX(0,(1-$C$34)*J171+$C$15-($C$10+$C$13-MIN($C$34*J171,$C$13)))-MIN(MAX(0,(1-$C$34)*J171+$C$15-($C$10+$C$13-MIN($C$34*J171,$C$13))),$C$26)),(($C$26-MIN(MAX(0,(1-$C$34)*J171+$C$15-($C$10+$C$13-MIN($C$34*J171,$C$13))),$C$26))+$C$33))*$C$33/(($C$26-MIN(MAX(0,(1-$C$34)*J171+$C$15-($C$10+$C$13-MIN($C$34*J171,$C$13))),$C$26))+$C$33)/$C$33</f>
        <v>0.999999999994401</v>
      </c>
    </row>
    <row r="172" customFormat="false" ht="15" hidden="false" customHeight="false" outlineLevel="0" collapsed="false">
      <c r="B172" s="44" t="n">
        <v>41</v>
      </c>
      <c r="C172" s="41" t="n">
        <f aca="false">IF(F171&gt;=1-0.000000000001,C171,E171)</f>
        <v>1106.50428511299</v>
      </c>
      <c r="D172" s="41" t="n">
        <f aca="false">IF(F171&gt;=1-0.000000000001,E171,D171)</f>
        <v>1106.50428511726</v>
      </c>
      <c r="E172" s="41" t="n">
        <f aca="false">(C172+D172)/2</f>
        <v>1106.50428511512</v>
      </c>
      <c r="F172" s="45" t="n">
        <f aca="false">(MIN(MAX(0,(1-$C$34)*E172+$C$15-($C$10+$C$13-MIN($C$34*E172,$C$13))),$C$26)+MIN((MAX(0,$C$34*E172-MIN($C$34*E172,$C$13)-MAX(0,$C$10+$C$13-MIN($C$34*E172,$C$13)-((1-$C$34)*E172+$C$15)))+MAX(0,(1-$C$34)*E172+$C$15-($C$10+$C$13-MIN($C$34*E172,$C$13)))-MIN(MAX(0,(1-$C$34)*E172+$C$15-($C$10+$C$13-MIN($C$34*E172,$C$13))),$C$26)),(($C$26-MIN(MAX(0,(1-$C$34)*E172+$C$15-($C$10+$C$13-MIN($C$34*E172,$C$13))),$C$26))+$C$33))*($C$26-MIN(MAX(0,(1-$C$34)*E172+$C$15-($C$10+$C$13-MIN($C$34*E172,$C$13))),$C$26))/(($C$26-MIN(MAX(0,(1-$C$34)*E172+$C$15-($C$10+$C$13-MIN($C$34*E172,$C$13))),$C$26))+$C$33))/$C$26</f>
        <v>0.99999999999843</v>
      </c>
      <c r="H172" s="41" t="n">
        <f aca="false">IF(K171&gt;=1-0.000000000001,H171,J171)</f>
        <v>1532.59932692026</v>
      </c>
      <c r="I172" s="41" t="n">
        <f aca="false">IF(K171&gt;=1-0.000000000001,J171,I171)</f>
        <v>1532.59932692454</v>
      </c>
      <c r="J172" s="41" t="n">
        <f aca="false">(H172+I172)/2</f>
        <v>1532.5993269224</v>
      </c>
      <c r="K172" s="45" t="n">
        <f aca="false">MIN((MAX(0,$C$34*J172-MIN($C$34*J172,$C$13)-MAX(0,$C$10+$C$13-MIN($C$34*J172,$C$13)-((1-$C$34)*J172+$C$15)))+MAX(0,(1-$C$34)*J172+$C$15-($C$10+$C$13-MIN($C$34*J172,$C$13)))-MIN(MAX(0,(1-$C$34)*J172+$C$15-($C$10+$C$13-MIN($C$34*J172,$C$13))),$C$26)),(($C$26-MIN(MAX(0,(1-$C$34)*J172+$C$15-($C$10+$C$13-MIN($C$34*J172,$C$13))),$C$26))+$C$33))*$C$33/(($C$26-MIN(MAX(0,(1-$C$34)*J172+$C$15-($C$10+$C$13-MIN($C$34*J172,$C$13))),$C$26))+$C$33)/$C$33</f>
        <v>0.999999999998653</v>
      </c>
    </row>
    <row r="173" customFormat="false" ht="15" hidden="false" customHeight="false" outlineLevel="0" collapsed="false">
      <c r="B173" s="44" t="n">
        <v>42</v>
      </c>
      <c r="C173" s="41" t="n">
        <f aca="false">IF(F172&gt;=1-0.000000000001,C172,E172)</f>
        <v>1106.50428511512</v>
      </c>
      <c r="D173" s="41" t="n">
        <f aca="false">IF(F172&gt;=1-0.000000000001,E172,D172)</f>
        <v>1106.50428511726</v>
      </c>
      <c r="E173" s="41" t="n">
        <f aca="false">(C173+D173)/2</f>
        <v>1106.50428511619</v>
      </c>
      <c r="F173" s="45" t="n">
        <f aca="false">(MIN(MAX(0,(1-$C$34)*E173+$C$15-($C$10+$C$13-MIN($C$34*E173,$C$13))),$C$26)+MIN((MAX(0,$C$34*E173-MIN($C$34*E173,$C$13)-MAX(0,$C$10+$C$13-MIN($C$34*E173,$C$13)-((1-$C$34)*E173+$C$15)))+MAX(0,(1-$C$34)*E173+$C$15-($C$10+$C$13-MIN($C$34*E173,$C$13)))-MIN(MAX(0,(1-$C$34)*E173+$C$15-($C$10+$C$13-MIN($C$34*E173,$C$13))),$C$26)),(($C$26-MIN(MAX(0,(1-$C$34)*E173+$C$15-($C$10+$C$13-MIN($C$34*E173,$C$13))),$C$26))+$C$33))*($C$26-MIN(MAX(0,(1-$C$34)*E173+$C$15-($C$10+$C$13-MIN($C$34*E173,$C$13))),$C$26))/(($C$26-MIN(MAX(0,(1-$C$34)*E173+$C$15-($C$10+$C$13-MIN($C$34*E173,$C$13))),$C$26))+$C$33))/$C$26</f>
        <v>0.999999999999299</v>
      </c>
      <c r="H173" s="41" t="n">
        <f aca="false">IF(K172&gt;=1-0.000000000001,H172,J172)</f>
        <v>1532.5993269224</v>
      </c>
      <c r="I173" s="41" t="n">
        <f aca="false">IF(K172&gt;=1-0.000000000001,J172,I172)</f>
        <v>1532.59932692454</v>
      </c>
      <c r="J173" s="41" t="n">
        <f aca="false">(H173+I173)/2</f>
        <v>1532.59932692347</v>
      </c>
      <c r="K173" s="45" t="n">
        <f aca="false">MIN((MAX(0,$C$34*J173-MIN($C$34*J173,$C$13)-MAX(0,$C$10+$C$13-MIN($C$34*J173,$C$13)-((1-$C$34)*J173+$C$15)))+MAX(0,(1-$C$34)*J173+$C$15-($C$10+$C$13-MIN($C$34*J173,$C$13)))-MIN(MAX(0,(1-$C$34)*J173+$C$15-($C$10+$C$13-MIN($C$34*J173,$C$13))),$C$26)),(($C$26-MIN(MAX(0,(1-$C$34)*J173+$C$15-($C$10+$C$13-MIN($C$34*J173,$C$13))),$C$26))+$C$33))*$C$33/(($C$26-MIN(MAX(0,(1-$C$34)*J173+$C$15-($C$10+$C$13-MIN($C$34*J173,$C$13))),$C$26))+$C$33)/$C$33</f>
        <v>1</v>
      </c>
    </row>
    <row r="174" customFormat="false" ht="15" hidden="false" customHeight="false" outlineLevel="0" collapsed="false">
      <c r="B174" s="44" t="n">
        <v>43</v>
      </c>
      <c r="C174" s="41" t="n">
        <f aca="false">IF(F173&gt;=1-0.000000000001,C173,E173)</f>
        <v>1106.50428511512</v>
      </c>
      <c r="D174" s="41" t="n">
        <f aca="false">IF(F173&gt;=1-0.000000000001,E173,D173)</f>
        <v>1106.50428511619</v>
      </c>
      <c r="E174" s="41" t="n">
        <f aca="false">(C174+D174)/2</f>
        <v>1106.50428511566</v>
      </c>
      <c r="F174" s="45" t="n">
        <f aca="false">(MIN(MAX(0,(1-$C$34)*E174+$C$15-($C$10+$C$13-MIN($C$34*E174,$C$13))),$C$26)+MIN((MAX(0,$C$34*E174-MIN($C$34*E174,$C$13)-MAX(0,$C$10+$C$13-MIN($C$34*E174,$C$13)-((1-$C$34)*E174+$C$15)))+MAX(0,(1-$C$34)*E174+$C$15-($C$10+$C$13-MIN($C$34*E174,$C$13)))-MIN(MAX(0,(1-$C$34)*E174+$C$15-($C$10+$C$13-MIN($C$34*E174,$C$13))),$C$26)),(($C$26-MIN(MAX(0,(1-$C$34)*E174+$C$15-($C$10+$C$13-MIN($C$34*E174,$C$13))),$C$26))+$C$33))*($C$26-MIN(MAX(0,(1-$C$34)*E174+$C$15-($C$10+$C$13-MIN($C$34*E174,$C$13))),$C$26))/(($C$26-MIN(MAX(0,(1-$C$34)*E174+$C$15-($C$10+$C$13-MIN($C$34*E174,$C$13))),$C$26))+$C$33))/$C$26</f>
        <v>0.999999999998864</v>
      </c>
      <c r="H174" s="41" t="n">
        <f aca="false">IF(K173&gt;=1-0.000000000001,H173,J173)</f>
        <v>1532.5993269224</v>
      </c>
      <c r="I174" s="41" t="n">
        <f aca="false">IF(K173&gt;=1-0.000000000001,J173,I173)</f>
        <v>1532.59932692347</v>
      </c>
      <c r="J174" s="41" t="n">
        <f aca="false">(H174+I174)/2</f>
        <v>1532.59932692293</v>
      </c>
      <c r="K174" s="45" t="n">
        <f aca="false">MIN((MAX(0,$C$34*J174-MIN($C$34*J174,$C$13)-MAX(0,$C$10+$C$13-MIN($C$34*J174,$C$13)-((1-$C$34)*J174+$C$15)))+MAX(0,(1-$C$34)*J174+$C$15-($C$10+$C$13-MIN($C$34*J174,$C$13)))-MIN(MAX(0,(1-$C$34)*J174+$C$15-($C$10+$C$13-MIN($C$34*J174,$C$13))),$C$26)),(($C$26-MIN(MAX(0,(1-$C$34)*J174+$C$15-($C$10+$C$13-MIN($C$34*J174,$C$13))),$C$26))+$C$33))*$C$33/(($C$26-MIN(MAX(0,(1-$C$34)*J174+$C$15-($C$10+$C$13-MIN($C$34*J174,$C$13))),$C$26))+$C$33)/$C$33</f>
        <v>0.999999999999716</v>
      </c>
    </row>
    <row r="175" customFormat="false" ht="15" hidden="false" customHeight="false" outlineLevel="0" collapsed="false">
      <c r="B175" s="44" t="n">
        <v>44</v>
      </c>
      <c r="C175" s="41" t="n">
        <f aca="false">IF(F174&gt;=1-0.000000000001,C174,E174)</f>
        <v>1106.50428511566</v>
      </c>
      <c r="D175" s="41" t="n">
        <f aca="false">IF(F174&gt;=1-0.000000000001,E174,D174)</f>
        <v>1106.50428511619</v>
      </c>
      <c r="E175" s="41" t="n">
        <f aca="false">(C175+D175)/2</f>
        <v>1106.50428511593</v>
      </c>
      <c r="F175" s="45" t="n">
        <f aca="false">(MIN(MAX(0,(1-$C$34)*E175+$C$15-($C$10+$C$13-MIN($C$34*E175,$C$13))),$C$26)+MIN((MAX(0,$C$34*E175-MIN($C$34*E175,$C$13)-MAX(0,$C$10+$C$13-MIN($C$34*E175,$C$13)-((1-$C$34)*E175+$C$15)))+MAX(0,(1-$C$34)*E175+$C$15-($C$10+$C$13-MIN($C$34*E175,$C$13)))-MIN(MAX(0,(1-$C$34)*E175+$C$15-($C$10+$C$13-MIN($C$34*E175,$C$13))),$C$26)),(($C$26-MIN(MAX(0,(1-$C$34)*E175+$C$15-($C$10+$C$13-MIN($C$34*E175,$C$13))),$C$26))+$C$33))*($C$26-MIN(MAX(0,(1-$C$34)*E175+$C$15-($C$10+$C$13-MIN($C$34*E175,$C$13))),$C$26))/(($C$26-MIN(MAX(0,(1-$C$34)*E175+$C$15-($C$10+$C$13-MIN($C$34*E175,$C$13))),$C$26))+$C$33))/$C$26</f>
        <v>0.999999999999081</v>
      </c>
      <c r="H175" s="41" t="n">
        <f aca="false">IF(K174&gt;=1-0.000000000001,H174,J174)</f>
        <v>1532.5993269224</v>
      </c>
      <c r="I175" s="41" t="n">
        <f aca="false">IF(K174&gt;=1-0.000000000001,J174,I174)</f>
        <v>1532.59932692293</v>
      </c>
      <c r="J175" s="41" t="n">
        <f aca="false">(H175+I175)/2</f>
        <v>1532.59932692267</v>
      </c>
      <c r="K175" s="45" t="n">
        <f aca="false">MIN((MAX(0,$C$34*J175-MIN($C$34*J175,$C$13)-MAX(0,$C$10+$C$13-MIN($C$34*J175,$C$13)-((1-$C$34)*J175+$C$15)))+MAX(0,(1-$C$34)*J175+$C$15-($C$10+$C$13-MIN($C$34*J175,$C$13)))-MIN(MAX(0,(1-$C$34)*J175+$C$15-($C$10+$C$13-MIN($C$34*J175,$C$13))),$C$26)),(($C$26-MIN(MAX(0,(1-$C$34)*J175+$C$15-($C$10+$C$13-MIN($C$34*J175,$C$13))),$C$26))+$C$33))*$C$33/(($C$26-MIN(MAX(0,(1-$C$34)*J175+$C$15-($C$10+$C$13-MIN($C$34*J175,$C$13))),$C$26))+$C$33)/$C$33</f>
        <v>0.999999999999184</v>
      </c>
    </row>
    <row r="176" customFormat="false" ht="15" hidden="false" customHeight="false" outlineLevel="0" collapsed="false">
      <c r="B176" s="44" t="n">
        <v>45</v>
      </c>
      <c r="C176" s="41" t="n">
        <f aca="false">IF(F175&gt;=1-0.000000000001,C175,E175)</f>
        <v>1106.50428511566</v>
      </c>
      <c r="D176" s="41" t="n">
        <f aca="false">IF(F175&gt;=1-0.000000000001,E175,D175)</f>
        <v>1106.50428511593</v>
      </c>
      <c r="E176" s="41" t="n">
        <f aca="false">(C176+D176)/2</f>
        <v>1106.50428511579</v>
      </c>
      <c r="F176" s="45" t="n">
        <f aca="false">(MIN(MAX(0,(1-$C$34)*E176+$C$15-($C$10+$C$13-MIN($C$34*E176,$C$13))),$C$26)+MIN((MAX(0,$C$34*E176-MIN($C$34*E176,$C$13)-MAX(0,$C$10+$C$13-MIN($C$34*E176,$C$13)-((1-$C$34)*E176+$C$15)))+MAX(0,(1-$C$34)*E176+$C$15-($C$10+$C$13-MIN($C$34*E176,$C$13)))-MIN(MAX(0,(1-$C$34)*E176+$C$15-($C$10+$C$13-MIN($C$34*E176,$C$13))),$C$26)),(($C$26-MIN(MAX(0,(1-$C$34)*E176+$C$15-($C$10+$C$13-MIN($C$34*E176,$C$13))),$C$26))+$C$33))*($C$26-MIN(MAX(0,(1-$C$34)*E176+$C$15-($C$10+$C$13-MIN($C$34*E176,$C$13))),$C$26))/(($C$26-MIN(MAX(0,(1-$C$34)*E176+$C$15-($C$10+$C$13-MIN($C$34*E176,$C$13))),$C$26))+$C$33))/$C$26</f>
        <v>0.999999999998973</v>
      </c>
      <c r="H176" s="41" t="n">
        <f aca="false">IF(K175&gt;=1-0.000000000001,H175,J175)</f>
        <v>1532.5993269224</v>
      </c>
      <c r="I176" s="41" t="n">
        <f aca="false">IF(K175&gt;=1-0.000000000001,J175,I175)</f>
        <v>1532.59932692267</v>
      </c>
      <c r="J176" s="41" t="n">
        <f aca="false">(H176+I176)/2</f>
        <v>1532.59932692253</v>
      </c>
      <c r="K176" s="45" t="n">
        <f aca="false">MIN((MAX(0,$C$34*J176-MIN($C$34*J176,$C$13)-MAX(0,$C$10+$C$13-MIN($C$34*J176,$C$13)-((1-$C$34)*J176+$C$15)))+MAX(0,(1-$C$34)*J176+$C$15-($C$10+$C$13-MIN($C$34*J176,$C$13)))-MIN(MAX(0,(1-$C$34)*J176+$C$15-($C$10+$C$13-MIN($C$34*J176,$C$13))),$C$26)),(($C$26-MIN(MAX(0,(1-$C$34)*J176+$C$15-($C$10+$C$13-MIN($C$34*J176,$C$13))),$C$26))+$C$33))*$C$33/(($C$26-MIN(MAX(0,(1-$C$34)*J176+$C$15-($C$10+$C$13-MIN($C$34*J176,$C$13))),$C$26))+$C$33)/$C$33</f>
        <v>0.999999999998919</v>
      </c>
    </row>
    <row r="177" customFormat="false" ht="15" hidden="false" customHeight="false" outlineLevel="0" collapsed="false">
      <c r="B177" s="44" t="n">
        <v>46</v>
      </c>
      <c r="C177" s="41" t="n">
        <f aca="false">IF(F176&gt;=1-0.000000000001,C176,E176)</f>
        <v>1106.50428511579</v>
      </c>
      <c r="D177" s="41" t="n">
        <f aca="false">IF(F176&gt;=1-0.000000000001,E176,D176)</f>
        <v>1106.50428511593</v>
      </c>
      <c r="E177" s="41" t="n">
        <f aca="false">(C177+D177)/2</f>
        <v>1106.50428511586</v>
      </c>
      <c r="F177" s="45" t="n">
        <f aca="false">(MIN(MAX(0,(1-$C$34)*E177+$C$15-($C$10+$C$13-MIN($C$34*E177,$C$13))),$C$26)+MIN((MAX(0,$C$34*E177-MIN($C$34*E177,$C$13)-MAX(0,$C$10+$C$13-MIN($C$34*E177,$C$13)-((1-$C$34)*E177+$C$15)))+MAX(0,(1-$C$34)*E177+$C$15-($C$10+$C$13-MIN($C$34*E177,$C$13)))-MIN(MAX(0,(1-$C$34)*E177+$C$15-($C$10+$C$13-MIN($C$34*E177,$C$13))),$C$26)),(($C$26-MIN(MAX(0,(1-$C$34)*E177+$C$15-($C$10+$C$13-MIN($C$34*E177,$C$13))),$C$26))+$C$33))*($C$26-MIN(MAX(0,(1-$C$34)*E177+$C$15-($C$10+$C$13-MIN($C$34*E177,$C$13))),$C$26))/(($C$26-MIN(MAX(0,(1-$C$34)*E177+$C$15-($C$10+$C$13-MIN($C$34*E177,$C$13))),$C$26))+$C$33))/$C$26</f>
        <v>0.999999999999027</v>
      </c>
      <c r="H177" s="41" t="n">
        <f aca="false">IF(K176&gt;=1-0.000000000001,H176,J176)</f>
        <v>1532.59932692253</v>
      </c>
      <c r="I177" s="41" t="n">
        <f aca="false">IF(K176&gt;=1-0.000000000001,J176,I176)</f>
        <v>1532.59932692267</v>
      </c>
      <c r="J177" s="41" t="n">
        <f aca="false">(H177+I177)/2</f>
        <v>1532.5993269226</v>
      </c>
      <c r="K177" s="45" t="n">
        <f aca="false">MIN((MAX(0,$C$34*J177-MIN($C$34*J177,$C$13)-MAX(0,$C$10+$C$13-MIN($C$34*J177,$C$13)-((1-$C$34)*J177+$C$15)))+MAX(0,(1-$C$34)*J177+$C$15-($C$10+$C$13-MIN($C$34*J177,$C$13)))-MIN(MAX(0,(1-$C$34)*J177+$C$15-($C$10+$C$13-MIN($C$34*J177,$C$13))),$C$26)),(($C$26-MIN(MAX(0,(1-$C$34)*J177+$C$15-($C$10+$C$13-MIN($C$34*J177,$C$13))),$C$26))+$C$33))*$C$33/(($C$26-MIN(MAX(0,(1-$C$34)*J177+$C$15-($C$10+$C$13-MIN($C$34*J177,$C$13))),$C$26))+$C$33)/$C$33</f>
        <v>0.999999999999052</v>
      </c>
    </row>
    <row r="178" customFormat="false" ht="15" hidden="false" customHeight="false" outlineLevel="0" collapsed="false">
      <c r="B178" s="44" t="n">
        <v>47</v>
      </c>
      <c r="C178" s="41" t="n">
        <f aca="false">IF(F177&gt;=1-0.000000000001,C177,E177)</f>
        <v>1106.50428511579</v>
      </c>
      <c r="D178" s="41" t="n">
        <f aca="false">IF(F177&gt;=1-0.000000000001,E177,D177)</f>
        <v>1106.50428511586</v>
      </c>
      <c r="E178" s="41" t="n">
        <f aca="false">(C178+D178)/2</f>
        <v>1106.50428511583</v>
      </c>
      <c r="F178" s="45" t="n">
        <f aca="false">(MIN(MAX(0,(1-$C$34)*E178+$C$15-($C$10+$C$13-MIN($C$34*E178,$C$13))),$C$26)+MIN((MAX(0,$C$34*E178-MIN($C$34*E178,$C$13)-MAX(0,$C$10+$C$13-MIN($C$34*E178,$C$13)-((1-$C$34)*E178+$C$15)))+MAX(0,(1-$C$34)*E178+$C$15-($C$10+$C$13-MIN($C$34*E178,$C$13)))-MIN(MAX(0,(1-$C$34)*E178+$C$15-($C$10+$C$13-MIN($C$34*E178,$C$13))),$C$26)),(($C$26-MIN(MAX(0,(1-$C$34)*E178+$C$15-($C$10+$C$13-MIN($C$34*E178,$C$13))),$C$26))+$C$33))*($C$26-MIN(MAX(0,(1-$C$34)*E178+$C$15-($C$10+$C$13-MIN($C$34*E178,$C$13))),$C$26))/(($C$26-MIN(MAX(0,(1-$C$34)*E178+$C$15-($C$10+$C$13-MIN($C$34*E178,$C$13))),$C$26))+$C$33))/$C$26</f>
        <v>0.999999999999</v>
      </c>
      <c r="H178" s="41" t="n">
        <f aca="false">IF(K177&gt;=1-0.000000000001,H177,J177)</f>
        <v>1532.59932692253</v>
      </c>
      <c r="I178" s="41" t="n">
        <f aca="false">IF(K177&gt;=1-0.000000000001,J177,I177)</f>
        <v>1532.5993269226</v>
      </c>
      <c r="J178" s="41" t="n">
        <f aca="false">(H178+I178)/2</f>
        <v>1532.59932692257</v>
      </c>
      <c r="K178" s="45" t="n">
        <f aca="false">MIN((MAX(0,$C$34*J178-MIN($C$34*J178,$C$13)-MAX(0,$C$10+$C$13-MIN($C$34*J178,$C$13)-((1-$C$34)*J178+$C$15)))+MAX(0,(1-$C$34)*J178+$C$15-($C$10+$C$13-MIN($C$34*J178,$C$13)))-MIN(MAX(0,(1-$C$34)*J178+$C$15-($C$10+$C$13-MIN($C$34*J178,$C$13))),$C$26)),(($C$26-MIN(MAX(0,(1-$C$34)*J178+$C$15-($C$10+$C$13-MIN($C$34*J178,$C$13))),$C$26))+$C$33))*$C$33/(($C$26-MIN(MAX(0,(1-$C$34)*J178+$C$15-($C$10+$C$13-MIN($C$34*J178,$C$13))),$C$26))+$C$33)/$C$33</f>
        <v>0.999999999998985</v>
      </c>
    </row>
    <row r="179" customFormat="false" ht="15" hidden="false" customHeight="false" outlineLevel="0" collapsed="false">
      <c r="B179" s="44" t="n">
        <v>48</v>
      </c>
      <c r="C179" s="41" t="n">
        <f aca="false">IF(F178&gt;=1-0.000000000001,C178,E178)</f>
        <v>1106.50428511579</v>
      </c>
      <c r="D179" s="41" t="n">
        <f aca="false">IF(F178&gt;=1-0.000000000001,E178,D178)</f>
        <v>1106.50428511583</v>
      </c>
      <c r="E179" s="41" t="n">
        <f aca="false">(C179+D179)/2</f>
        <v>1106.50428511581</v>
      </c>
      <c r="F179" s="45" t="n">
        <f aca="false">(MIN(MAX(0,(1-$C$34)*E179+$C$15-($C$10+$C$13-MIN($C$34*E179,$C$13))),$C$26)+MIN((MAX(0,$C$34*E179-MIN($C$34*E179,$C$13)-MAX(0,$C$10+$C$13-MIN($C$34*E179,$C$13)-((1-$C$34)*E179+$C$15)))+MAX(0,(1-$C$34)*E179+$C$15-($C$10+$C$13-MIN($C$34*E179,$C$13)))-MIN(MAX(0,(1-$C$34)*E179+$C$15-($C$10+$C$13-MIN($C$34*E179,$C$13))),$C$26)),(($C$26-MIN(MAX(0,(1-$C$34)*E179+$C$15-($C$10+$C$13-MIN($C$34*E179,$C$13))),$C$26))+$C$33))*($C$26-MIN(MAX(0,(1-$C$34)*E179+$C$15-($C$10+$C$13-MIN($C$34*E179,$C$13))),$C$26))/(($C$26-MIN(MAX(0,(1-$C$34)*E179+$C$15-($C$10+$C$13-MIN($C$34*E179,$C$13))),$C$26))+$C$33))/$C$26</f>
        <v>0.999999999998987</v>
      </c>
      <c r="H179" s="41" t="n">
        <f aca="false">IF(K178&gt;=1-0.000000000001,H178,J178)</f>
        <v>1532.59932692257</v>
      </c>
      <c r="I179" s="41" t="n">
        <f aca="false">IF(K178&gt;=1-0.000000000001,J178,I178)</f>
        <v>1532.5993269226</v>
      </c>
      <c r="J179" s="41" t="n">
        <f aca="false">(H179+I179)/2</f>
        <v>1532.59932692258</v>
      </c>
      <c r="K179" s="45" t="n">
        <f aca="false">MIN((MAX(0,$C$34*J179-MIN($C$34*J179,$C$13)-MAX(0,$C$10+$C$13-MIN($C$34*J179,$C$13)-((1-$C$34)*J179+$C$15)))+MAX(0,(1-$C$34)*J179+$C$15-($C$10+$C$13-MIN($C$34*J179,$C$13)))-MIN(MAX(0,(1-$C$34)*J179+$C$15-($C$10+$C$13-MIN($C$34*J179,$C$13))),$C$26)),(($C$26-MIN(MAX(0,(1-$C$34)*J179+$C$15-($C$10+$C$13-MIN($C$34*J179,$C$13))),$C$26))+$C$33))*$C$33/(($C$26-MIN(MAX(0,(1-$C$34)*J179+$C$15-($C$10+$C$13-MIN($C$34*J179,$C$13))),$C$26))+$C$33)/$C$33</f>
        <v>0.999999999999019</v>
      </c>
    </row>
    <row r="180" customFormat="false" ht="15" hidden="false" customHeight="false" outlineLevel="0" collapsed="false">
      <c r="B180" s="44" t="n">
        <v>49</v>
      </c>
      <c r="C180" s="41" t="n">
        <f aca="false">IF(F179&gt;=1-0.000000000001,C179,E179)</f>
        <v>1106.50428511581</v>
      </c>
      <c r="D180" s="41" t="n">
        <f aca="false">IF(F179&gt;=1-0.000000000001,E179,D179)</f>
        <v>1106.50428511583</v>
      </c>
      <c r="E180" s="41" t="n">
        <f aca="false">(C180+D180)/2</f>
        <v>1106.50428511582</v>
      </c>
      <c r="F180" s="45" t="n">
        <f aca="false">(MIN(MAX(0,(1-$C$34)*E180+$C$15-($C$10+$C$13-MIN($C$34*E180,$C$13))),$C$26)+MIN((MAX(0,$C$34*E180-MIN($C$34*E180,$C$13)-MAX(0,$C$10+$C$13-MIN($C$34*E180,$C$13)-((1-$C$34)*E180+$C$15)))+MAX(0,(1-$C$34)*E180+$C$15-($C$10+$C$13-MIN($C$34*E180,$C$13)))-MIN(MAX(0,(1-$C$34)*E180+$C$15-($C$10+$C$13-MIN($C$34*E180,$C$13))),$C$26)),(($C$26-MIN(MAX(0,(1-$C$34)*E180+$C$15-($C$10+$C$13-MIN($C$34*E180,$C$13))),$C$26))+$C$33))*($C$26-MIN(MAX(0,(1-$C$34)*E180+$C$15-($C$10+$C$13-MIN($C$34*E180,$C$13))),$C$26))/(($C$26-MIN(MAX(0,(1-$C$34)*E180+$C$15-($C$10+$C$13-MIN($C$34*E180,$C$13))),$C$26))+$C$33))/$C$26</f>
        <v>0.999999999998994</v>
      </c>
      <c r="H180" s="41" t="n">
        <f aca="false">IF(K179&gt;=1-0.000000000001,H179,J179)</f>
        <v>1532.59932692257</v>
      </c>
      <c r="I180" s="41" t="n">
        <f aca="false">IF(K179&gt;=1-0.000000000001,J179,I179)</f>
        <v>1532.59932692258</v>
      </c>
      <c r="J180" s="41" t="n">
        <f aca="false">(H180+I180)/2</f>
        <v>1532.59932692258</v>
      </c>
      <c r="K180" s="45" t="n">
        <f aca="false">MIN((MAX(0,$C$34*J180-MIN($C$34*J180,$C$13)-MAX(0,$C$10+$C$13-MIN($C$34*J180,$C$13)-((1-$C$34)*J180+$C$15)))+MAX(0,(1-$C$34)*J180+$C$15-($C$10+$C$13-MIN($C$34*J180,$C$13)))-MIN(MAX(0,(1-$C$34)*J180+$C$15-($C$10+$C$13-MIN($C$34*J180,$C$13))),$C$26)),(($C$26-MIN(MAX(0,(1-$C$34)*J180+$C$15-($C$10+$C$13-MIN($C$34*J180,$C$13))),$C$26))+$C$33))*$C$33/(($C$26-MIN(MAX(0,(1-$C$34)*J180+$C$15-($C$10+$C$13-MIN($C$34*J180,$C$13))),$C$26))+$C$33)/$C$33</f>
        <v>0.999999999999003</v>
      </c>
    </row>
    <row r="181" customFormat="false" ht="15" hidden="false" customHeight="false" outlineLevel="0" collapsed="false">
      <c r="B181" s="44" t="n">
        <v>50</v>
      </c>
      <c r="C181" s="41" t="n">
        <f aca="false">IF(F180&gt;=1-0.000000000001,C180,E180)</f>
        <v>1106.50428511582</v>
      </c>
      <c r="D181" s="41" t="n">
        <f aca="false">IF(F180&gt;=1-0.000000000001,E180,D180)</f>
        <v>1106.50428511583</v>
      </c>
      <c r="E181" s="41" t="n">
        <f aca="false">(C181+D181)/2</f>
        <v>1106.50428511582</v>
      </c>
      <c r="F181" s="45" t="n">
        <f aca="false">(MIN(MAX(0,(1-$C$34)*E181+$C$15-($C$10+$C$13-MIN($C$34*E181,$C$13))),$C$26)+MIN((MAX(0,$C$34*E181-MIN($C$34*E181,$C$13)-MAX(0,$C$10+$C$13-MIN($C$34*E181,$C$13)-((1-$C$34)*E181+$C$15)))+MAX(0,(1-$C$34)*E181+$C$15-($C$10+$C$13-MIN($C$34*E181,$C$13)))-MIN(MAX(0,(1-$C$34)*E181+$C$15-($C$10+$C$13-MIN($C$34*E181,$C$13))),$C$26)),(($C$26-MIN(MAX(0,(1-$C$34)*E181+$C$15-($C$10+$C$13-MIN($C$34*E181,$C$13))),$C$26))+$C$33))*($C$26-MIN(MAX(0,(1-$C$34)*E181+$C$15-($C$10+$C$13-MIN($C$34*E181,$C$13))),$C$26))/(($C$26-MIN(MAX(0,(1-$C$34)*E181+$C$15-($C$10+$C$13-MIN($C$34*E181,$C$13))),$C$26))+$C$33))/$C$26</f>
        <v>0.999999999998997</v>
      </c>
      <c r="H181" s="41" t="n">
        <f aca="false">IF(K180&gt;=1-0.000000000001,H180,J180)</f>
        <v>1532.59932692257</v>
      </c>
      <c r="I181" s="41" t="n">
        <f aca="false">IF(K180&gt;=1-0.000000000001,J180,I180)</f>
        <v>1532.59932692258</v>
      </c>
      <c r="J181" s="41" t="n">
        <f aca="false">(H181+I181)/2</f>
        <v>1532.59932692257</v>
      </c>
      <c r="K181" s="45" t="n">
        <f aca="false">MIN((MAX(0,$C$34*J181-MIN($C$34*J181,$C$13)-MAX(0,$C$10+$C$13-MIN($C$34*J181,$C$13)-((1-$C$34)*J181+$C$15)))+MAX(0,(1-$C$34)*J181+$C$15-($C$10+$C$13-MIN($C$34*J181,$C$13)))-MIN(MAX(0,(1-$C$34)*J181+$C$15-($C$10+$C$13-MIN($C$34*J181,$C$13))),$C$26)),(($C$26-MIN(MAX(0,(1-$C$34)*J181+$C$15-($C$10+$C$13-MIN($C$34*J181,$C$13))),$C$26))+$C$33))*$C$33/(($C$26-MIN(MAX(0,(1-$C$34)*J181+$C$15-($C$10+$C$13-MIN($C$34*J181,$C$13))),$C$26))+$C$33)/$C$33</f>
        <v>0.999999999998994</v>
      </c>
    </row>
    <row r="182" customFormat="false" ht="15" hidden="false" customHeight="false" outlineLevel="0" collapsed="false">
      <c r="B182" s="23" t="s">
        <v>362</v>
      </c>
      <c r="C182" s="25"/>
      <c r="D182" s="46" t="n">
        <f aca="false">IF(F181&gt;=1-0.000000000001,E181,D181)</f>
        <v>1106.50428511582</v>
      </c>
      <c r="E182" s="25"/>
      <c r="F182" s="25"/>
      <c r="G182" s="25"/>
      <c r="H182" s="25"/>
      <c r="I182" s="46" t="n">
        <f aca="false">IF(K181&gt;=1-0.000000000001,J181,I181)</f>
        <v>1532.59932692258</v>
      </c>
      <c r="J182" s="25"/>
      <c r="K182" s="25"/>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8"/>
    <col collapsed="false" customWidth="true" hidden="false" outlineLevel="0" max="5" min="3" style="0" width="12"/>
    <col collapsed="false" customWidth="true" hidden="false" outlineLevel="0" max="6" min="6" style="0" width="44"/>
    <col collapsed="false" customWidth="true" hidden="false" outlineLevel="0" max="39" min="7" style="0" width="11"/>
  </cols>
  <sheetData>
    <row r="1" customFormat="false" ht="6" hidden="false" customHeight="true" outlineLevel="0" collapsed="false"/>
    <row r="2" customFormat="false" ht="15" hidden="false" customHeight="false" outlineLevel="0" collapsed="false">
      <c r="B2" s="1" t="s">
        <v>363</v>
      </c>
    </row>
    <row r="3" customFormat="false" ht="15" hidden="false" customHeight="false" outlineLevel="0" collapsed="false">
      <c r="B3" s="4" t="s">
        <v>364</v>
      </c>
    </row>
    <row r="5" customFormat="false" ht="15" hidden="false" customHeight="false" outlineLevel="0" collapsed="false">
      <c r="B5" s="5" t="s">
        <v>365</v>
      </c>
      <c r="C5" s="6" t="s">
        <v>366</v>
      </c>
      <c r="D5" s="6" t="s">
        <v>367</v>
      </c>
      <c r="E5" s="6" t="s">
        <v>368</v>
      </c>
      <c r="F5" s="7" t="s">
        <v>89</v>
      </c>
    </row>
    <row r="6" customFormat="false" ht="15" hidden="false" customHeight="false" outlineLevel="0" collapsed="false">
      <c r="B6" s="8" t="s">
        <v>369</v>
      </c>
      <c r="E6" s="21" t="n">
        <f aca="false">DIP!$C$109</f>
        <v>47.5442307692307</v>
      </c>
      <c r="F6" s="4" t="s">
        <v>370</v>
      </c>
    </row>
    <row r="7" customFormat="false" ht="15" hidden="false" customHeight="false" outlineLevel="0" collapsed="false">
      <c r="B7" s="8" t="s">
        <v>371</v>
      </c>
      <c r="C7" s="21" t="n">
        <f aca="false">Inputs!$C$132</f>
        <v>118</v>
      </c>
      <c r="D7" s="20" t="n">
        <f aca="false">Inputs!$C$133</f>
        <v>0.8</v>
      </c>
      <c r="E7" s="21" t="n">
        <f aca="false">C7*D7</f>
        <v>94.4</v>
      </c>
      <c r="F7" s="4"/>
    </row>
    <row r="8" customFormat="false" ht="15" hidden="false" customHeight="false" outlineLevel="0" collapsed="false">
      <c r="B8" s="8" t="s">
        <v>372</v>
      </c>
      <c r="C8" s="21" t="n">
        <f aca="false">Inputs!$C$134</f>
        <v>132</v>
      </c>
      <c r="D8" s="20" t="n">
        <f aca="false">Inputs!$C$135</f>
        <v>0.55</v>
      </c>
      <c r="E8" s="21" t="n">
        <f aca="false">C8*D8</f>
        <v>72.6</v>
      </c>
      <c r="F8" s="4"/>
    </row>
    <row r="9" customFormat="false" ht="15" hidden="false" customHeight="false" outlineLevel="0" collapsed="false">
      <c r="B9" s="8" t="s">
        <v>373</v>
      </c>
      <c r="C9" s="21" t="n">
        <f aca="false">Inputs!$C$136</f>
        <v>310</v>
      </c>
      <c r="D9" s="20" t="n">
        <f aca="false">Inputs!$C$137</f>
        <v>0.3</v>
      </c>
      <c r="E9" s="21" t="n">
        <f aca="false">C9*D9</f>
        <v>93</v>
      </c>
      <c r="F9" s="4"/>
    </row>
    <row r="10" customFormat="false" ht="15" hidden="false" customHeight="false" outlineLevel="0" collapsed="false">
      <c r="B10" s="8" t="s">
        <v>178</v>
      </c>
      <c r="E10" s="21" t="n">
        <f aca="false">Inputs!$C$138</f>
        <v>40</v>
      </c>
      <c r="F10" s="4"/>
    </row>
    <row r="11" customFormat="false" ht="15" hidden="false" customHeight="false" outlineLevel="0" collapsed="false">
      <c r="B11" s="8" t="s">
        <v>374</v>
      </c>
      <c r="E11" s="21" t="n">
        <f aca="false">Inputs!$C$139</f>
        <v>12</v>
      </c>
      <c r="F11" s="4"/>
    </row>
    <row r="12" customFormat="false" ht="15" hidden="false" customHeight="false" outlineLevel="0" collapsed="false">
      <c r="B12" s="23" t="s">
        <v>375</v>
      </c>
      <c r="E12" s="24" t="n">
        <f aca="false">SUM($E$6:$E$11)</f>
        <v>359.544230769231</v>
      </c>
    </row>
    <row r="13" customFormat="false" ht="15" hidden="false" customHeight="false" outlineLevel="0" collapsed="false">
      <c r="B13" s="8" t="s">
        <v>180</v>
      </c>
      <c r="E13" s="21" t="n">
        <f aca="false">Inputs!$C$140</f>
        <v>38</v>
      </c>
    </row>
    <row r="14" customFormat="false" ht="15" hidden="false" customHeight="false" outlineLevel="0" collapsed="false">
      <c r="B14" s="8" t="s">
        <v>376</v>
      </c>
      <c r="E14" s="21" t="n">
        <f aca="false">Inputs!$C$141*$E$12</f>
        <v>10.7863269230769</v>
      </c>
    </row>
    <row r="15" customFormat="false" ht="15" hidden="false" customHeight="false" outlineLevel="0" collapsed="false">
      <c r="B15" s="23" t="s">
        <v>377</v>
      </c>
      <c r="E15" s="24" t="n">
        <f aca="false">$E$12-$E$13-$E$14</f>
        <v>310.757903846154</v>
      </c>
    </row>
    <row r="16" customFormat="false" ht="15" hidden="false" customHeight="false" outlineLevel="0" collapsed="false">
      <c r="B16" s="22" t="s">
        <v>378</v>
      </c>
      <c r="E16" s="21" t="n">
        <f aca="false">$E$15-$E$6</f>
        <v>263.213673076923</v>
      </c>
    </row>
    <row r="17" customFormat="false" ht="15" hidden="false" customHeight="false" outlineLevel="0" collapsed="false">
      <c r="B17" s="22" t="s">
        <v>379</v>
      </c>
      <c r="E17" s="21" t="n">
        <f aca="false">$E$16*(1-Waterfall!$C$34)+$E$6</f>
        <v>289.70081</v>
      </c>
      <c r="F17" s="4" t="s">
        <v>380</v>
      </c>
    </row>
    <row r="18" customFormat="false" ht="15" hidden="false" customHeight="false" outlineLevel="0" collapsed="false">
      <c r="B18" s="22" t="s">
        <v>381</v>
      </c>
      <c r="E18" s="21" t="n">
        <f aca="false">$E$16*Waterfall!$C$34</f>
        <v>21.0570938461538</v>
      </c>
    </row>
    <row r="19" customFormat="false" ht="15" hidden="false" customHeight="false" outlineLevel="0" collapsed="false">
      <c r="B19" s="8" t="s">
        <v>382</v>
      </c>
      <c r="E19" s="21" t="n">
        <f aca="false">Waterfall!$C$10</f>
        <v>80.395</v>
      </c>
    </row>
    <row r="20" customFormat="false" ht="15" hidden="false" customHeight="false" outlineLevel="0" collapsed="false">
      <c r="B20" s="8" t="s">
        <v>383</v>
      </c>
      <c r="E20" s="21" t="n">
        <f aca="false">Waterfall!$C$11</f>
        <v>7</v>
      </c>
    </row>
    <row r="21" customFormat="false" ht="15" hidden="false" customHeight="false" outlineLevel="0" collapsed="false">
      <c r="B21" s="22" t="s">
        <v>384</v>
      </c>
      <c r="E21" s="21" t="n">
        <f aca="false">MIN($E$18,$E$20)</f>
        <v>7</v>
      </c>
    </row>
    <row r="22" customFormat="false" ht="15" hidden="false" customHeight="false" outlineLevel="0" collapsed="false">
      <c r="B22" s="8" t="s">
        <v>327</v>
      </c>
      <c r="E22" s="21" t="n">
        <f aca="false">$E$18-$E$21</f>
        <v>14.0570938461538</v>
      </c>
    </row>
    <row r="23" customFormat="false" ht="15" hidden="false" customHeight="false" outlineLevel="0" collapsed="false">
      <c r="B23" s="8" t="s">
        <v>328</v>
      </c>
      <c r="E23" s="21" t="n">
        <f aca="false">$E$17-$E$19-($E$20-$E$21)</f>
        <v>209.30581</v>
      </c>
    </row>
    <row r="24" customFormat="false" ht="15" hidden="false" customHeight="false" outlineLevel="0" collapsed="false">
      <c r="B24" s="8" t="s">
        <v>329</v>
      </c>
      <c r="E24" s="21" t="n">
        <f aca="false">MIN(MAX(0,$E$23),Waterfall!$C$26)</f>
        <v>209.30581</v>
      </c>
    </row>
    <row r="25" customFormat="false" ht="15" hidden="false" customHeight="false" outlineLevel="0" collapsed="false">
      <c r="B25" s="8" t="s">
        <v>385</v>
      </c>
      <c r="E25" s="21" t="n">
        <f aca="false">Waterfall!$C$26-$E$24</f>
        <v>750.827363076923</v>
      </c>
    </row>
    <row r="26" customFormat="false" ht="15" hidden="false" customHeight="false" outlineLevel="0" collapsed="false">
      <c r="B26" s="8" t="s">
        <v>332</v>
      </c>
      <c r="E26" s="21" t="n">
        <f aca="false">$E$25+Waterfall!$C$33</f>
        <v>1253.44274769231</v>
      </c>
    </row>
    <row r="27" customFormat="false" ht="15" hidden="false" customHeight="false" outlineLevel="0" collapsed="false">
      <c r="B27" s="2" t="s">
        <v>335</v>
      </c>
      <c r="E27" s="19" t="n">
        <f aca="false">$E$24+$E$22*$E$25/$E$26</f>
        <v>217.726179198724</v>
      </c>
    </row>
    <row r="28" customFormat="false" ht="15" hidden="false" customHeight="false" outlineLevel="0" collapsed="false">
      <c r="B28" s="2" t="s">
        <v>336</v>
      </c>
      <c r="E28" s="30" t="n">
        <f aca="false">$E$27/Waterfall!$C$26</f>
        <v>0.226766645819538</v>
      </c>
    </row>
    <row r="29" customFormat="false" ht="15" hidden="false" customHeight="false" outlineLevel="0" collapsed="false">
      <c r="B29" s="2" t="s">
        <v>337</v>
      </c>
      <c r="E29" s="19" t="n">
        <f aca="false">$E$22*Waterfall!$C$33/$E$26</f>
        <v>5.63672464742965</v>
      </c>
    </row>
    <row r="30" customFormat="false" ht="15" hidden="false" customHeight="false" outlineLevel="0" collapsed="false">
      <c r="B30" s="2" t="s">
        <v>338</v>
      </c>
      <c r="E30" s="30" t="n">
        <f aca="false">$E$29/Waterfall!$C$33</f>
        <v>0.011214787330362</v>
      </c>
    </row>
    <row r="31" customFormat="false" ht="15" hidden="false" customHeight="false" outlineLevel="0" collapsed="false">
      <c r="B31" s="8" t="s">
        <v>386</v>
      </c>
      <c r="E31" s="21" t="n">
        <f aca="false">Multiples!$C$16+Waterfall!$C$15-$E$15</f>
        <v>686.786326923077</v>
      </c>
      <c r="F31" s="4" t="s">
        <v>387</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Q1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0"/>
    <col collapsed="false" customWidth="true" hidden="false" outlineLevel="0" max="15" min="3" style="0" width="8.5"/>
    <col collapsed="false" customWidth="true" hidden="false" outlineLevel="0" max="16" min="16" style="0" width="10"/>
    <col collapsed="false" customWidth="true" hidden="false" outlineLevel="0" max="17" min="17" style="0" width="46"/>
    <col collapsed="false" customWidth="true" hidden="false" outlineLevel="0" max="39" min="18" style="0" width="11"/>
  </cols>
  <sheetData>
    <row r="1" customFormat="false" ht="6" hidden="false" customHeight="true" outlineLevel="0" collapsed="false"/>
    <row r="2" customFormat="false" ht="15" hidden="false" customHeight="false" outlineLevel="0" collapsed="false">
      <c r="B2" s="1" t="s">
        <v>388</v>
      </c>
    </row>
    <row r="3" customFormat="false" ht="15" hidden="false" customHeight="false" outlineLevel="0" collapsed="false">
      <c r="B3" s="4" t="s">
        <v>389</v>
      </c>
    </row>
    <row r="5" customFormat="false" ht="15" hidden="false" customHeight="false" outlineLevel="0" collapsed="false">
      <c r="B5" s="2" t="s">
        <v>390</v>
      </c>
    </row>
    <row r="6" customFormat="false" ht="15" hidden="false" customHeight="false" outlineLevel="0" collapsed="false">
      <c r="B6" s="5" t="s">
        <v>28</v>
      </c>
      <c r="C6" s="16" t="n">
        <v>1</v>
      </c>
      <c r="D6" s="16" t="n">
        <v>2</v>
      </c>
      <c r="E6" s="16" t="n">
        <v>3</v>
      </c>
      <c r="F6" s="16" t="n">
        <v>4</v>
      </c>
      <c r="G6" s="16" t="n">
        <v>5</v>
      </c>
      <c r="H6" s="16" t="n">
        <v>6</v>
      </c>
      <c r="I6" s="16" t="n">
        <v>7</v>
      </c>
      <c r="J6" s="16" t="n">
        <v>8</v>
      </c>
      <c r="K6" s="16" t="n">
        <v>9</v>
      </c>
      <c r="L6" s="16" t="n">
        <v>10</v>
      </c>
      <c r="M6" s="16" t="n">
        <v>11</v>
      </c>
      <c r="N6" s="16" t="n">
        <v>12</v>
      </c>
      <c r="O6" s="16" t="n">
        <v>13</v>
      </c>
      <c r="P6" s="6" t="s">
        <v>391</v>
      </c>
      <c r="Q6" s="7" t="s">
        <v>89</v>
      </c>
    </row>
    <row r="7" customFormat="false" ht="15" hidden="false" customHeight="false" outlineLevel="0" collapsed="false">
      <c r="B7" s="2" t="s">
        <v>392</v>
      </c>
    </row>
    <row r="8" customFormat="false" ht="15" hidden="false" customHeight="false" outlineLevel="0" collapsed="false">
      <c r="B8" s="22" t="s">
        <v>393</v>
      </c>
      <c r="C8" s="47" t="n">
        <f aca="false">IF(Inputs!C56=1,Inputs!$C$43,Inputs!$C$42)</f>
        <v>20.2</v>
      </c>
      <c r="D8" s="47" t="n">
        <f aca="false">IF(Inputs!D56=1,Inputs!$C$43,Inputs!$C$42)</f>
        <v>20.2</v>
      </c>
      <c r="E8" s="47" t="n">
        <f aca="false">IF(Inputs!E56=1,Inputs!$C$43,Inputs!$C$42)</f>
        <v>20.2</v>
      </c>
      <c r="F8" s="47" t="n">
        <f aca="false">IF(Inputs!F56=1,Inputs!$C$43,Inputs!$C$42)</f>
        <v>20.2</v>
      </c>
      <c r="G8" s="47" t="n">
        <f aca="false">IF(Inputs!G56=1,Inputs!$C$43,Inputs!$C$42)</f>
        <v>18.4</v>
      </c>
      <c r="H8" s="47" t="n">
        <f aca="false">IF(Inputs!H56=1,Inputs!$C$43,Inputs!$C$42)</f>
        <v>18.4</v>
      </c>
      <c r="I8" s="47" t="n">
        <f aca="false">IF(Inputs!I56=1,Inputs!$C$43,Inputs!$C$42)</f>
        <v>18.4</v>
      </c>
      <c r="J8" s="47" t="n">
        <f aca="false">IF(Inputs!J56=1,Inputs!$C$43,Inputs!$C$42)</f>
        <v>18.4</v>
      </c>
      <c r="K8" s="47" t="n">
        <f aca="false">IF(Inputs!K56=1,Inputs!$C$43,Inputs!$C$42)</f>
        <v>20.2</v>
      </c>
      <c r="L8" s="47" t="n">
        <f aca="false">IF(Inputs!L56=1,Inputs!$C$43,Inputs!$C$42)</f>
        <v>20.2</v>
      </c>
      <c r="M8" s="47" t="n">
        <f aca="false">IF(Inputs!M56=1,Inputs!$C$43,Inputs!$C$42)</f>
        <v>20.2</v>
      </c>
      <c r="N8" s="47" t="n">
        <f aca="false">IF(Inputs!N56=1,Inputs!$C$43,Inputs!$C$42)</f>
        <v>20.2</v>
      </c>
      <c r="O8" s="47" t="n">
        <f aca="false">IF(Inputs!O56=1,Inputs!$C$43,Inputs!$C$42)</f>
        <v>20.2</v>
      </c>
      <c r="P8" s="48" t="n">
        <f aca="false">SUM(C8:O8)</f>
        <v>255.4</v>
      </c>
    </row>
    <row r="9" customFormat="false" ht="15" hidden="false" customHeight="false" outlineLevel="0" collapsed="false">
      <c r="B9" s="22" t="s">
        <v>394</v>
      </c>
      <c r="C9" s="47" t="n">
        <f aca="false">Inputs!$C$44*Inputs!C57</f>
        <v>0</v>
      </c>
      <c r="D9" s="47" t="n">
        <f aca="false">Inputs!$C$44*Inputs!D57</f>
        <v>0</v>
      </c>
      <c r="E9" s="47" t="n">
        <f aca="false">Inputs!$C$44*Inputs!E57</f>
        <v>0</v>
      </c>
      <c r="F9" s="47" t="n">
        <f aca="false">Inputs!$C$44*Inputs!F57</f>
        <v>0</v>
      </c>
      <c r="G9" s="47" t="n">
        <f aca="false">Inputs!$C$44*Inputs!G57</f>
        <v>0</v>
      </c>
      <c r="H9" s="47" t="n">
        <f aca="false">Inputs!$C$44*Inputs!H57</f>
        <v>0</v>
      </c>
      <c r="I9" s="47" t="n">
        <f aca="false">Inputs!$C$44*Inputs!I57</f>
        <v>0</v>
      </c>
      <c r="J9" s="47" t="n">
        <f aca="false">Inputs!$C$44*Inputs!J57</f>
        <v>0</v>
      </c>
      <c r="K9" s="47" t="n">
        <f aca="false">Inputs!$C$44*Inputs!K57</f>
        <v>0</v>
      </c>
      <c r="L9" s="47" t="n">
        <f aca="false">Inputs!$C$44*Inputs!L57</f>
        <v>1.2</v>
      </c>
      <c r="M9" s="47" t="n">
        <f aca="false">Inputs!$C$44*Inputs!M57</f>
        <v>0</v>
      </c>
      <c r="N9" s="47" t="n">
        <f aca="false">Inputs!$C$44*Inputs!N57</f>
        <v>0</v>
      </c>
      <c r="O9" s="47" t="n">
        <f aca="false">Inputs!$C$44*Inputs!O57</f>
        <v>0</v>
      </c>
      <c r="P9" s="48" t="n">
        <f aca="false">SUM(C9:O9)</f>
        <v>1.2</v>
      </c>
    </row>
    <row r="10" customFormat="false" ht="15" hidden="false" customHeight="false" outlineLevel="0" collapsed="false">
      <c r="B10" s="23" t="s">
        <v>395</v>
      </c>
      <c r="C10" s="49" t="n">
        <f aca="false">C8+C9</f>
        <v>20.2</v>
      </c>
      <c r="D10" s="49" t="n">
        <f aca="false">D8+D9</f>
        <v>20.2</v>
      </c>
      <c r="E10" s="49" t="n">
        <f aca="false">E8+E9</f>
        <v>20.2</v>
      </c>
      <c r="F10" s="49" t="n">
        <f aca="false">F8+F9</f>
        <v>20.2</v>
      </c>
      <c r="G10" s="49" t="n">
        <f aca="false">G8+G9</f>
        <v>18.4</v>
      </c>
      <c r="H10" s="49" t="n">
        <f aca="false">H8+H9</f>
        <v>18.4</v>
      </c>
      <c r="I10" s="49" t="n">
        <f aca="false">I8+I9</f>
        <v>18.4</v>
      </c>
      <c r="J10" s="49" t="n">
        <f aca="false">J8+J9</f>
        <v>18.4</v>
      </c>
      <c r="K10" s="49" t="n">
        <f aca="false">K8+K9</f>
        <v>20.2</v>
      </c>
      <c r="L10" s="49" t="n">
        <f aca="false">L8+L9</f>
        <v>21.4</v>
      </c>
      <c r="M10" s="49" t="n">
        <f aca="false">M8+M9</f>
        <v>20.2</v>
      </c>
      <c r="N10" s="49" t="n">
        <f aca="false">N8+N9</f>
        <v>20.2</v>
      </c>
      <c r="O10" s="49" t="n">
        <f aca="false">O8+O9</f>
        <v>20.2</v>
      </c>
      <c r="P10" s="49" t="n">
        <f aca="false">SUM(C10:O10)</f>
        <v>256.6</v>
      </c>
    </row>
    <row r="11" customFormat="false" ht="15" hidden="false" customHeight="false" outlineLevel="0" collapsed="false">
      <c r="B11" s="2" t="s">
        <v>396</v>
      </c>
    </row>
    <row r="12" customFormat="false" ht="15" hidden="false" customHeight="false" outlineLevel="0" collapsed="false">
      <c r="B12" s="22" t="s">
        <v>397</v>
      </c>
      <c r="C12" s="47" t="n">
        <f aca="false">Inputs!$C$45</f>
        <v>10.9</v>
      </c>
      <c r="D12" s="47" t="n">
        <f aca="false">Inputs!$C$45</f>
        <v>10.9</v>
      </c>
      <c r="E12" s="47" t="n">
        <f aca="false">Inputs!$C$45</f>
        <v>10.9</v>
      </c>
      <c r="F12" s="47" t="n">
        <f aca="false">Inputs!$C$45</f>
        <v>10.9</v>
      </c>
      <c r="G12" s="47" t="n">
        <f aca="false">Inputs!$C$45</f>
        <v>10.9</v>
      </c>
      <c r="H12" s="47" t="n">
        <f aca="false">Inputs!$C$45</f>
        <v>10.9</v>
      </c>
      <c r="I12" s="47" t="n">
        <f aca="false">Inputs!$C$45</f>
        <v>10.9</v>
      </c>
      <c r="J12" s="47" t="n">
        <f aca="false">Inputs!$C$45</f>
        <v>10.9</v>
      </c>
      <c r="K12" s="47" t="n">
        <f aca="false">Inputs!$C$45</f>
        <v>10.9</v>
      </c>
      <c r="L12" s="47" t="n">
        <f aca="false">Inputs!$C$45</f>
        <v>10.9</v>
      </c>
      <c r="M12" s="47" t="n">
        <f aca="false">Inputs!$C$45</f>
        <v>10.9</v>
      </c>
      <c r="N12" s="47" t="n">
        <f aca="false">Inputs!$C$45</f>
        <v>10.9</v>
      </c>
      <c r="O12" s="47" t="n">
        <f aca="false">Inputs!$C$45</f>
        <v>10.9</v>
      </c>
      <c r="P12" s="48" t="n">
        <f aca="false">SUM(C12:O12)</f>
        <v>141.7</v>
      </c>
    </row>
    <row r="13" customFormat="false" ht="15" hidden="false" customHeight="false" outlineLevel="0" collapsed="false">
      <c r="B13" s="22" t="s">
        <v>398</v>
      </c>
      <c r="C13" s="47" t="n">
        <f aca="false">Inputs!$C$46*Inputs!C58</f>
        <v>0</v>
      </c>
      <c r="D13" s="47" t="n">
        <f aca="false">Inputs!$C$46*Inputs!D58</f>
        <v>7.2</v>
      </c>
      <c r="E13" s="47" t="n">
        <f aca="false">Inputs!$C$46*Inputs!E58</f>
        <v>0</v>
      </c>
      <c r="F13" s="47" t="n">
        <f aca="false">Inputs!$C$46*Inputs!F58</f>
        <v>7.2</v>
      </c>
      <c r="G13" s="47" t="n">
        <f aca="false">Inputs!$C$46*Inputs!G58</f>
        <v>0</v>
      </c>
      <c r="H13" s="47" t="n">
        <f aca="false">Inputs!$C$46*Inputs!H58</f>
        <v>7.2</v>
      </c>
      <c r="I13" s="47" t="n">
        <f aca="false">Inputs!$C$46*Inputs!I58</f>
        <v>0</v>
      </c>
      <c r="J13" s="47" t="n">
        <f aca="false">Inputs!$C$46*Inputs!J58</f>
        <v>7.2</v>
      </c>
      <c r="K13" s="47" t="n">
        <f aca="false">Inputs!$C$46*Inputs!K58</f>
        <v>0</v>
      </c>
      <c r="L13" s="47" t="n">
        <f aca="false">Inputs!$C$46*Inputs!L58</f>
        <v>7.2</v>
      </c>
      <c r="M13" s="47" t="n">
        <f aca="false">Inputs!$C$46*Inputs!M58</f>
        <v>0</v>
      </c>
      <c r="N13" s="47" t="n">
        <f aca="false">Inputs!$C$46*Inputs!N58</f>
        <v>7.2</v>
      </c>
      <c r="O13" s="47" t="n">
        <f aca="false">Inputs!$C$46*Inputs!O58</f>
        <v>0</v>
      </c>
      <c r="P13" s="48" t="n">
        <f aca="false">SUM(C13:O13)</f>
        <v>43.2</v>
      </c>
    </row>
    <row r="14" customFormat="false" ht="15" hidden="false" customHeight="false" outlineLevel="0" collapsed="false">
      <c r="B14" s="22" t="s">
        <v>78</v>
      </c>
      <c r="C14" s="47" t="n">
        <f aca="false">Inputs!$C$47</f>
        <v>1.1</v>
      </c>
      <c r="D14" s="47" t="n">
        <f aca="false">Inputs!$C$47</f>
        <v>1.1</v>
      </c>
      <c r="E14" s="47" t="n">
        <f aca="false">Inputs!$C$47</f>
        <v>1.1</v>
      </c>
      <c r="F14" s="47" t="n">
        <f aca="false">Inputs!$C$47</f>
        <v>1.1</v>
      </c>
      <c r="G14" s="47" t="n">
        <f aca="false">Inputs!$C$47</f>
        <v>1.1</v>
      </c>
      <c r="H14" s="47" t="n">
        <f aca="false">Inputs!$C$47</f>
        <v>1.1</v>
      </c>
      <c r="I14" s="47" t="n">
        <f aca="false">Inputs!$C$47</f>
        <v>1.1</v>
      </c>
      <c r="J14" s="47" t="n">
        <f aca="false">Inputs!$C$47</f>
        <v>1.1</v>
      </c>
      <c r="K14" s="47" t="n">
        <f aca="false">Inputs!$C$47</f>
        <v>1.1</v>
      </c>
      <c r="L14" s="47" t="n">
        <f aca="false">Inputs!$C$47</f>
        <v>1.1</v>
      </c>
      <c r="M14" s="47" t="n">
        <f aca="false">Inputs!$C$47</f>
        <v>1.1</v>
      </c>
      <c r="N14" s="47" t="n">
        <f aca="false">Inputs!$C$47</f>
        <v>1.1</v>
      </c>
      <c r="O14" s="47" t="n">
        <f aca="false">Inputs!$C$47</f>
        <v>1.1</v>
      </c>
      <c r="P14" s="48" t="n">
        <f aca="false">SUM(C14:O14)</f>
        <v>14.3</v>
      </c>
    </row>
    <row r="15" customFormat="false" ht="15" hidden="false" customHeight="false" outlineLevel="0" collapsed="false">
      <c r="B15" s="22" t="s">
        <v>79</v>
      </c>
      <c r="C15" s="47" t="n">
        <f aca="false">Inputs!$C$48</f>
        <v>1.18</v>
      </c>
      <c r="D15" s="47" t="n">
        <f aca="false">Inputs!$C$48</f>
        <v>1.18</v>
      </c>
      <c r="E15" s="47" t="n">
        <f aca="false">Inputs!$C$48</f>
        <v>1.18</v>
      </c>
      <c r="F15" s="47" t="n">
        <f aca="false">Inputs!$C$48</f>
        <v>1.18</v>
      </c>
      <c r="G15" s="47" t="n">
        <f aca="false">Inputs!$C$48</f>
        <v>1.18</v>
      </c>
      <c r="H15" s="47" t="n">
        <f aca="false">Inputs!$C$48</f>
        <v>1.18</v>
      </c>
      <c r="I15" s="47" t="n">
        <f aca="false">Inputs!$C$48</f>
        <v>1.18</v>
      </c>
      <c r="J15" s="47" t="n">
        <f aca="false">Inputs!$C$48</f>
        <v>1.18</v>
      </c>
      <c r="K15" s="47" t="n">
        <f aca="false">Inputs!$C$48</f>
        <v>1.18</v>
      </c>
      <c r="L15" s="47" t="n">
        <f aca="false">Inputs!$C$48</f>
        <v>1.18</v>
      </c>
      <c r="M15" s="47" t="n">
        <f aca="false">Inputs!$C$48</f>
        <v>1.18</v>
      </c>
      <c r="N15" s="47" t="n">
        <f aca="false">Inputs!$C$48</f>
        <v>1.18</v>
      </c>
      <c r="O15" s="47" t="n">
        <f aca="false">Inputs!$C$48</f>
        <v>1.18</v>
      </c>
      <c r="P15" s="48" t="n">
        <f aca="false">SUM(C15:O15)</f>
        <v>15.34</v>
      </c>
    </row>
    <row r="16" customFormat="false" ht="15" hidden="false" customHeight="false" outlineLevel="0" collapsed="false">
      <c r="B16" s="22" t="s">
        <v>399</v>
      </c>
      <c r="C16" s="47" t="n">
        <f aca="false">Inputs!$C$49*Inputs!C59</f>
        <v>2.8</v>
      </c>
      <c r="D16" s="47" t="n">
        <f aca="false">Inputs!$C$49*Inputs!D59</f>
        <v>0</v>
      </c>
      <c r="E16" s="47" t="n">
        <f aca="false">Inputs!$C$49*Inputs!E59</f>
        <v>0</v>
      </c>
      <c r="F16" s="47" t="n">
        <f aca="false">Inputs!$C$49*Inputs!F59</f>
        <v>0</v>
      </c>
      <c r="G16" s="47" t="n">
        <f aca="false">Inputs!$C$49*Inputs!G59</f>
        <v>2.8</v>
      </c>
      <c r="H16" s="47" t="n">
        <f aca="false">Inputs!$C$49*Inputs!H59</f>
        <v>0</v>
      </c>
      <c r="I16" s="47" t="n">
        <f aca="false">Inputs!$C$49*Inputs!I59</f>
        <v>0</v>
      </c>
      <c r="J16" s="47" t="n">
        <f aca="false">Inputs!$C$49*Inputs!J59</f>
        <v>0</v>
      </c>
      <c r="K16" s="47" t="n">
        <f aca="false">Inputs!$C$49*Inputs!K59</f>
        <v>2.8</v>
      </c>
      <c r="L16" s="47" t="n">
        <f aca="false">Inputs!$C$49*Inputs!L59</f>
        <v>0</v>
      </c>
      <c r="M16" s="47" t="n">
        <f aca="false">Inputs!$C$49*Inputs!M59</f>
        <v>0</v>
      </c>
      <c r="N16" s="47" t="n">
        <f aca="false">Inputs!$C$49*Inputs!N59</f>
        <v>0</v>
      </c>
      <c r="O16" s="47" t="n">
        <f aca="false">Inputs!$C$49*Inputs!O59</f>
        <v>2.8</v>
      </c>
      <c r="P16" s="48" t="n">
        <f aca="false">SUM(C16:O16)</f>
        <v>11.2</v>
      </c>
    </row>
    <row r="17" customFormat="false" ht="15" hidden="false" customHeight="false" outlineLevel="0" collapsed="false">
      <c r="B17" s="22" t="s">
        <v>400</v>
      </c>
      <c r="C17" s="47" t="n">
        <f aca="false">Inputs!$C$50*Inputs!C60</f>
        <v>0</v>
      </c>
      <c r="D17" s="47" t="n">
        <f aca="false">Inputs!$C$50*Inputs!D60</f>
        <v>0</v>
      </c>
      <c r="E17" s="47" t="n">
        <f aca="false">Inputs!$C$50*Inputs!E60</f>
        <v>0</v>
      </c>
      <c r="F17" s="47" t="n">
        <f aca="false">Inputs!$C$50*Inputs!F60</f>
        <v>0</v>
      </c>
      <c r="G17" s="47" t="n">
        <f aca="false">Inputs!$C$50*Inputs!G60</f>
        <v>0</v>
      </c>
      <c r="H17" s="47" t="n">
        <f aca="false">Inputs!$C$50*Inputs!H60</f>
        <v>0</v>
      </c>
      <c r="I17" s="47" t="n">
        <f aca="false">Inputs!$C$50*Inputs!I60</f>
        <v>0</v>
      </c>
      <c r="J17" s="47" t="n">
        <f aca="false">Inputs!$C$50*Inputs!J60</f>
        <v>0</v>
      </c>
      <c r="K17" s="47" t="n">
        <f aca="false">Inputs!$C$50*Inputs!K60</f>
        <v>0</v>
      </c>
      <c r="L17" s="47" t="n">
        <f aca="false">Inputs!$C$50*Inputs!L60</f>
        <v>0</v>
      </c>
      <c r="M17" s="47" t="n">
        <f aca="false">Inputs!$C$50*Inputs!M60</f>
        <v>0</v>
      </c>
      <c r="N17" s="47" t="n">
        <f aca="false">Inputs!$C$50*Inputs!N60</f>
        <v>0</v>
      </c>
      <c r="O17" s="47" t="n">
        <f aca="false">Inputs!$C$50*Inputs!O60</f>
        <v>3</v>
      </c>
      <c r="P17" s="48" t="n">
        <f aca="false">SUM(C17:O17)</f>
        <v>3</v>
      </c>
    </row>
    <row r="18" customFormat="false" ht="15" hidden="false" customHeight="false" outlineLevel="0" collapsed="false">
      <c r="B18" s="22" t="s">
        <v>401</v>
      </c>
      <c r="C18" s="47" t="n">
        <f aca="false">(Inputs!$C$26+Inputs!$C$27)/Inputs!$C$32</f>
        <v>0.769230769230769</v>
      </c>
      <c r="D18" s="47" t="n">
        <f aca="false">(Inputs!$C$26+Inputs!$C$27)/Inputs!$C$32</f>
        <v>0.769230769230769</v>
      </c>
      <c r="E18" s="47" t="n">
        <f aca="false">(Inputs!$C$26+Inputs!$C$27)/Inputs!$C$32</f>
        <v>0.769230769230769</v>
      </c>
      <c r="F18" s="47" t="n">
        <f aca="false">(Inputs!$C$26+Inputs!$C$27)/Inputs!$C$32</f>
        <v>0.769230769230769</v>
      </c>
      <c r="G18" s="47" t="n">
        <f aca="false">(Inputs!$C$26+Inputs!$C$27)/Inputs!$C$32</f>
        <v>0.769230769230769</v>
      </c>
      <c r="H18" s="47" t="n">
        <f aca="false">(Inputs!$C$26+Inputs!$C$27)/Inputs!$C$32</f>
        <v>0.769230769230769</v>
      </c>
      <c r="I18" s="47" t="n">
        <f aca="false">(Inputs!$C$26+Inputs!$C$27)/Inputs!$C$32</f>
        <v>0.769230769230769</v>
      </c>
      <c r="J18" s="47" t="n">
        <f aca="false">(Inputs!$C$26+Inputs!$C$27)/Inputs!$C$32</f>
        <v>0.769230769230769</v>
      </c>
      <c r="K18" s="47" t="n">
        <f aca="false">(Inputs!$C$26+Inputs!$C$27)/Inputs!$C$32</f>
        <v>0.769230769230769</v>
      </c>
      <c r="L18" s="47" t="n">
        <f aca="false">(Inputs!$C$26+Inputs!$C$27)/Inputs!$C$32</f>
        <v>0.769230769230769</v>
      </c>
      <c r="M18" s="47" t="n">
        <f aca="false">(Inputs!$C$26+Inputs!$C$27)/Inputs!$C$32</f>
        <v>0.769230769230769</v>
      </c>
      <c r="N18" s="47" t="n">
        <f aca="false">(Inputs!$C$26+Inputs!$C$27)/Inputs!$C$32</f>
        <v>0.769230769230769</v>
      </c>
      <c r="O18" s="47" t="n">
        <f aca="false">(Inputs!$C$26+Inputs!$C$27)/Inputs!$C$32</f>
        <v>0.769230769230769</v>
      </c>
      <c r="P18" s="48" t="n">
        <f aca="false">SUM(C18:O18)</f>
        <v>10</v>
      </c>
      <c r="Q18" s="4" t="s">
        <v>402</v>
      </c>
    </row>
    <row r="19" customFormat="false" ht="15" hidden="false" customHeight="false" outlineLevel="0" collapsed="false">
      <c r="B19" s="22" t="s">
        <v>403</v>
      </c>
      <c r="C19" s="47" t="n">
        <f aca="false">Inputs!$C$28/Inputs!$C$38*Inputs!C61</f>
        <v>0</v>
      </c>
      <c r="D19" s="47" t="n">
        <f aca="false">Inputs!$C$28/Inputs!$C$38*Inputs!D61</f>
        <v>0</v>
      </c>
      <c r="E19" s="47" t="n">
        <f aca="false">Inputs!$C$28/Inputs!$C$38*Inputs!E61</f>
        <v>0</v>
      </c>
      <c r="F19" s="47" t="n">
        <f aca="false">Inputs!$C$28/Inputs!$C$38*Inputs!F61</f>
        <v>0</v>
      </c>
      <c r="G19" s="47" t="n">
        <f aca="false">Inputs!$C$28/Inputs!$C$38*Inputs!G61</f>
        <v>0</v>
      </c>
      <c r="H19" s="47" t="n">
        <f aca="false">Inputs!$C$28/Inputs!$C$38*Inputs!H61</f>
        <v>0</v>
      </c>
      <c r="I19" s="47" t="n">
        <f aca="false">Inputs!$C$28/Inputs!$C$38*Inputs!I61</f>
        <v>1.5</v>
      </c>
      <c r="J19" s="47" t="n">
        <f aca="false">Inputs!$C$28/Inputs!$C$38*Inputs!J61</f>
        <v>0</v>
      </c>
      <c r="K19" s="47" t="n">
        <f aca="false">Inputs!$C$28/Inputs!$C$38*Inputs!K61</f>
        <v>0</v>
      </c>
      <c r="L19" s="47" t="n">
        <f aca="false">Inputs!$C$28/Inputs!$C$38*Inputs!L61</f>
        <v>0</v>
      </c>
      <c r="M19" s="47" t="n">
        <f aca="false">Inputs!$C$28/Inputs!$C$38*Inputs!M61</f>
        <v>0</v>
      </c>
      <c r="N19" s="47" t="n">
        <f aca="false">Inputs!$C$28/Inputs!$C$38*Inputs!N61</f>
        <v>0</v>
      </c>
      <c r="O19" s="47" t="n">
        <f aca="false">Inputs!$C$28/Inputs!$C$38*Inputs!O61</f>
        <v>0</v>
      </c>
      <c r="P19" s="48" t="n">
        <f aca="false">SUM(C19:O19)</f>
        <v>1.5</v>
      </c>
      <c r="Q19" s="4" t="s">
        <v>404</v>
      </c>
    </row>
    <row r="20" customFormat="false" ht="15" hidden="false" customHeight="false" outlineLevel="0" collapsed="false">
      <c r="B20" s="23" t="s">
        <v>405</v>
      </c>
      <c r="C20" s="49" t="n">
        <f aca="false">C12+C13+C14+C15+C16+C17+C18+C19</f>
        <v>16.7492307692308</v>
      </c>
      <c r="D20" s="49" t="n">
        <f aca="false">D12+D13+D14+D15+D16+D17+D18+D19</f>
        <v>21.1492307692308</v>
      </c>
      <c r="E20" s="49" t="n">
        <f aca="false">E12+E13+E14+E15+E16+E17+E18+E19</f>
        <v>13.9492307692308</v>
      </c>
      <c r="F20" s="49" t="n">
        <f aca="false">F12+F13+F14+F15+F16+F17+F18+F19</f>
        <v>21.1492307692308</v>
      </c>
      <c r="G20" s="49" t="n">
        <f aca="false">G12+G13+G14+G15+G16+G17+G18+G19</f>
        <v>16.7492307692308</v>
      </c>
      <c r="H20" s="49" t="n">
        <f aca="false">H12+H13+H14+H15+H16+H17+H18+H19</f>
        <v>21.1492307692308</v>
      </c>
      <c r="I20" s="49" t="n">
        <f aca="false">I12+I13+I14+I15+I16+I17+I18+I19</f>
        <v>15.4492307692308</v>
      </c>
      <c r="J20" s="49" t="n">
        <f aca="false">J12+J13+J14+J15+J16+J17+J18+J19</f>
        <v>21.1492307692308</v>
      </c>
      <c r="K20" s="49" t="n">
        <f aca="false">K12+K13+K14+K15+K16+K17+K18+K19</f>
        <v>16.7492307692308</v>
      </c>
      <c r="L20" s="49" t="n">
        <f aca="false">L12+L13+L14+L15+L16+L17+L18+L19</f>
        <v>21.1492307692308</v>
      </c>
      <c r="M20" s="49" t="n">
        <f aca="false">M12+M13+M14+M15+M16+M17+M18+M19</f>
        <v>13.9492307692308</v>
      </c>
      <c r="N20" s="49" t="n">
        <f aca="false">N12+N13+N14+N15+N16+N17+N18+N19</f>
        <v>21.1492307692308</v>
      </c>
      <c r="O20" s="49" t="n">
        <f aca="false">O12+O13+O14+O15+O16+O17+O18+O19</f>
        <v>19.7492307692308</v>
      </c>
      <c r="P20" s="49" t="n">
        <f aca="false">SUM(C20:O20)</f>
        <v>240.24</v>
      </c>
    </row>
    <row r="21" customFormat="false" ht="15" hidden="false" customHeight="false" outlineLevel="0" collapsed="false">
      <c r="B21" s="23" t="s">
        <v>406</v>
      </c>
      <c r="C21" s="49" t="n">
        <f aca="false">C10-C20</f>
        <v>3.45076923076923</v>
      </c>
      <c r="D21" s="49" t="n">
        <f aca="false">D10-D20</f>
        <v>-0.949230769230773</v>
      </c>
      <c r="E21" s="49" t="n">
        <f aca="false">E10-E20</f>
        <v>6.25076923076923</v>
      </c>
      <c r="F21" s="49" t="n">
        <f aca="false">F10-F20</f>
        <v>-0.949230769230773</v>
      </c>
      <c r="G21" s="49" t="n">
        <f aca="false">G10-G20</f>
        <v>1.65076923076923</v>
      </c>
      <c r="H21" s="49" t="n">
        <f aca="false">H10-H20</f>
        <v>-2.74923076923077</v>
      </c>
      <c r="I21" s="49" t="n">
        <f aca="false">I10-I20</f>
        <v>2.95076923076923</v>
      </c>
      <c r="J21" s="49" t="n">
        <f aca="false">J10-J20</f>
        <v>-2.74923076923077</v>
      </c>
      <c r="K21" s="49" t="n">
        <f aca="false">K10-K20</f>
        <v>3.45076923076923</v>
      </c>
      <c r="L21" s="49" t="n">
        <f aca="false">L10-L20</f>
        <v>0.250769230769226</v>
      </c>
      <c r="M21" s="49" t="n">
        <f aca="false">M10-M20</f>
        <v>6.25076923076923</v>
      </c>
      <c r="N21" s="49" t="n">
        <f aca="false">N10-N20</f>
        <v>-0.949230769230773</v>
      </c>
      <c r="O21" s="49" t="n">
        <f aca="false">O10-O20</f>
        <v>0.450769230769229</v>
      </c>
      <c r="P21" s="49" t="n">
        <f aca="false">SUM(C21:O21)</f>
        <v>16.36</v>
      </c>
    </row>
    <row r="22" customFormat="false" ht="15" hidden="false" customHeight="false" outlineLevel="0" collapsed="false">
      <c r="B22" s="2" t="s">
        <v>407</v>
      </c>
    </row>
    <row r="23" customFormat="false" ht="15" hidden="false" customHeight="false" outlineLevel="0" collapsed="false">
      <c r="B23" s="22" t="s">
        <v>408</v>
      </c>
      <c r="C23" s="47" t="n">
        <f aca="false">Inputs!$C$51*Inputs!C62</f>
        <v>0</v>
      </c>
      <c r="D23" s="47" t="n">
        <f aca="false">Inputs!$C$51*Inputs!D62</f>
        <v>0</v>
      </c>
      <c r="E23" s="47" t="n">
        <f aca="false">Inputs!$C$51*Inputs!E62</f>
        <v>0.45</v>
      </c>
      <c r="F23" s="47" t="n">
        <f aca="false">Inputs!$C$51*Inputs!F62</f>
        <v>0.45</v>
      </c>
      <c r="G23" s="47" t="n">
        <f aca="false">Inputs!$C$51*Inputs!G62</f>
        <v>0.45</v>
      </c>
      <c r="H23" s="47" t="n">
        <f aca="false">Inputs!$C$51*Inputs!H62</f>
        <v>0.45</v>
      </c>
      <c r="I23" s="47" t="n">
        <f aca="false">Inputs!$C$51*Inputs!I62</f>
        <v>0.45</v>
      </c>
      <c r="J23" s="47" t="n">
        <f aca="false">Inputs!$C$51*Inputs!J62</f>
        <v>0.45</v>
      </c>
      <c r="K23" s="47" t="n">
        <f aca="false">Inputs!$C$51*Inputs!K62</f>
        <v>0.45</v>
      </c>
      <c r="L23" s="47" t="n">
        <f aca="false">Inputs!$C$51*Inputs!L62</f>
        <v>0.45</v>
      </c>
      <c r="M23" s="47" t="n">
        <f aca="false">Inputs!$C$51*Inputs!M62</f>
        <v>0.45</v>
      </c>
      <c r="N23" s="47" t="n">
        <f aca="false">Inputs!$C$51*Inputs!N62</f>
        <v>0.45</v>
      </c>
      <c r="O23" s="47" t="n">
        <f aca="false">Inputs!$C$51*Inputs!O62</f>
        <v>0.45</v>
      </c>
      <c r="P23" s="48" t="n">
        <f aca="false">SUM(C23:O23)</f>
        <v>4.95</v>
      </c>
    </row>
    <row r="24" customFormat="false" ht="15" hidden="false" customHeight="false" outlineLevel="0" collapsed="false">
      <c r="B24" s="2" t="s">
        <v>409</v>
      </c>
    </row>
    <row r="25" customFormat="false" ht="15" hidden="false" customHeight="false" outlineLevel="0" collapsed="false">
      <c r="B25" s="22" t="s">
        <v>410</v>
      </c>
      <c r="C25" s="47" t="n">
        <f aca="false">Inputs!$C$18*(Inputs!$C$7+Inputs!$C$19)/Inputs!$C$35*Inputs!C63</f>
        <v>0</v>
      </c>
      <c r="D25" s="47" t="n">
        <f aca="false">Inputs!$C$18*(Inputs!$C$7+Inputs!$C$19)/Inputs!$C$35*Inputs!D63</f>
        <v>0</v>
      </c>
      <c r="E25" s="47" t="n">
        <f aca="false">Inputs!$C$18*(Inputs!$C$7+Inputs!$C$19)/Inputs!$C$35*Inputs!E63</f>
        <v>0</v>
      </c>
      <c r="F25" s="47" t="n">
        <f aca="false">Inputs!$C$18*(Inputs!$C$7+Inputs!$C$19)/Inputs!$C$35*Inputs!F63</f>
        <v>0</v>
      </c>
      <c r="G25" s="47" t="n">
        <f aca="false">Inputs!$C$18*(Inputs!$C$7+Inputs!$C$19)/Inputs!$C$35*Inputs!G63</f>
        <v>0</v>
      </c>
      <c r="H25" s="47" t="n">
        <f aca="false">Inputs!$C$18*(Inputs!$C$7+Inputs!$C$19)/Inputs!$C$35*Inputs!H63</f>
        <v>18.675</v>
      </c>
      <c r="I25" s="47" t="n">
        <f aca="false">Inputs!$C$18*(Inputs!$C$7+Inputs!$C$19)/Inputs!$C$35*Inputs!I63</f>
        <v>0</v>
      </c>
      <c r="J25" s="47" t="n">
        <f aca="false">Inputs!$C$18*(Inputs!$C$7+Inputs!$C$19)/Inputs!$C$35*Inputs!J63</f>
        <v>0</v>
      </c>
      <c r="K25" s="47" t="n">
        <f aca="false">Inputs!$C$18*(Inputs!$C$7+Inputs!$C$19)/Inputs!$C$35*Inputs!K63</f>
        <v>0</v>
      </c>
      <c r="L25" s="47" t="n">
        <f aca="false">Inputs!$C$18*(Inputs!$C$7+Inputs!$C$19)/Inputs!$C$35*Inputs!L63</f>
        <v>0</v>
      </c>
      <c r="M25" s="47" t="n">
        <f aca="false">Inputs!$C$18*(Inputs!$C$7+Inputs!$C$19)/Inputs!$C$35*Inputs!M63</f>
        <v>0</v>
      </c>
      <c r="N25" s="47" t="n">
        <f aca="false">Inputs!$C$18*(Inputs!$C$7+Inputs!$C$19)/Inputs!$C$35*Inputs!N63</f>
        <v>0</v>
      </c>
      <c r="O25" s="47" t="n">
        <f aca="false">Inputs!$C$18*(Inputs!$C$7+Inputs!$C$19)/Inputs!$C$35*Inputs!O63</f>
        <v>0</v>
      </c>
      <c r="P25" s="48" t="n">
        <f aca="false">SUM(C25:O25)</f>
        <v>18.675</v>
      </c>
      <c r="Q25" s="4" t="s">
        <v>411</v>
      </c>
    </row>
    <row r="26" customFormat="false" ht="15" hidden="false" customHeight="false" outlineLevel="0" collapsed="false">
      <c r="B26" s="22" t="s">
        <v>412</v>
      </c>
      <c r="C26" s="47" t="n">
        <f aca="false">Inputs!$C$18*Inputs!$C$20/Inputs!$C$35*Inputs!C63</f>
        <v>0</v>
      </c>
      <c r="D26" s="47" t="n">
        <f aca="false">Inputs!$C$18*Inputs!$C$20/Inputs!$C$35*Inputs!D63</f>
        <v>0</v>
      </c>
      <c r="E26" s="47" t="n">
        <f aca="false">Inputs!$C$18*Inputs!$C$20/Inputs!$C$35*Inputs!E63</f>
        <v>0</v>
      </c>
      <c r="F26" s="47" t="n">
        <f aca="false">Inputs!$C$18*Inputs!$C$20/Inputs!$C$35*Inputs!F63</f>
        <v>0</v>
      </c>
      <c r="G26" s="47" t="n">
        <f aca="false">Inputs!$C$18*Inputs!$C$20/Inputs!$C$35*Inputs!G63</f>
        <v>0</v>
      </c>
      <c r="H26" s="47" t="n">
        <f aca="false">Inputs!$C$18*Inputs!$C$20/Inputs!$C$35*Inputs!H63</f>
        <v>2.25</v>
      </c>
      <c r="I26" s="47" t="n">
        <f aca="false">Inputs!$C$18*Inputs!$C$20/Inputs!$C$35*Inputs!I63</f>
        <v>0</v>
      </c>
      <c r="J26" s="47" t="n">
        <f aca="false">Inputs!$C$18*Inputs!$C$20/Inputs!$C$35*Inputs!J63</f>
        <v>0</v>
      </c>
      <c r="K26" s="47" t="n">
        <f aca="false">Inputs!$C$18*Inputs!$C$20/Inputs!$C$35*Inputs!K63</f>
        <v>0</v>
      </c>
      <c r="L26" s="47" t="n">
        <f aca="false">Inputs!$C$18*Inputs!$C$20/Inputs!$C$35*Inputs!L63</f>
        <v>0</v>
      </c>
      <c r="M26" s="47" t="n">
        <f aca="false">Inputs!$C$18*Inputs!$C$20/Inputs!$C$35*Inputs!M63</f>
        <v>0</v>
      </c>
      <c r="N26" s="47" t="n">
        <f aca="false">Inputs!$C$18*Inputs!$C$20/Inputs!$C$35*Inputs!N63</f>
        <v>0</v>
      </c>
      <c r="O26" s="47" t="n">
        <f aca="false">Inputs!$C$18*Inputs!$C$20/Inputs!$C$35*Inputs!O63</f>
        <v>0</v>
      </c>
      <c r="P26" s="48" t="n">
        <f aca="false">SUM(C26:O26)</f>
        <v>2.25</v>
      </c>
    </row>
    <row r="27" customFormat="false" ht="15" hidden="false" customHeight="false" outlineLevel="0" collapsed="false">
      <c r="B27" s="22" t="s">
        <v>413</v>
      </c>
      <c r="C27" s="47" t="n">
        <f aca="false">(Inputs!$C$12*(Inputs!$C$7+Inputs!$C$13)+(Inputs!$C$11-Inputs!$C$12)*Inputs!$C$14)/Inputs!$C$36*Inputs!C64</f>
        <v>0</v>
      </c>
      <c r="D27" s="47" t="n">
        <f aca="false">(Inputs!$C$12*(Inputs!$C$7+Inputs!$C$13)+(Inputs!$C$11-Inputs!$C$12)*Inputs!$C$14)/Inputs!$C$36*Inputs!D64</f>
        <v>0</v>
      </c>
      <c r="E27" s="47" t="n">
        <f aca="false">(Inputs!$C$12*(Inputs!$C$7+Inputs!$C$13)+(Inputs!$C$11-Inputs!$C$12)*Inputs!$C$14)/Inputs!$C$36*Inputs!E64</f>
        <v>0</v>
      </c>
      <c r="F27" s="47" t="n">
        <f aca="false">(Inputs!$C$12*(Inputs!$C$7+Inputs!$C$13)+(Inputs!$C$11-Inputs!$C$12)*Inputs!$C$14)/Inputs!$C$36*Inputs!F64</f>
        <v>0.366666666666667</v>
      </c>
      <c r="G27" s="47" t="n">
        <f aca="false">(Inputs!$C$12*(Inputs!$C$7+Inputs!$C$13)+(Inputs!$C$11-Inputs!$C$12)*Inputs!$C$14)/Inputs!$C$36*Inputs!G64</f>
        <v>0</v>
      </c>
      <c r="H27" s="47" t="n">
        <f aca="false">(Inputs!$C$12*(Inputs!$C$7+Inputs!$C$13)+(Inputs!$C$11-Inputs!$C$12)*Inputs!$C$14)/Inputs!$C$36*Inputs!H64</f>
        <v>0</v>
      </c>
      <c r="I27" s="47" t="n">
        <f aca="false">(Inputs!$C$12*(Inputs!$C$7+Inputs!$C$13)+(Inputs!$C$11-Inputs!$C$12)*Inputs!$C$14)/Inputs!$C$36*Inputs!I64</f>
        <v>0</v>
      </c>
      <c r="J27" s="47" t="n">
        <f aca="false">(Inputs!$C$12*(Inputs!$C$7+Inputs!$C$13)+(Inputs!$C$11-Inputs!$C$12)*Inputs!$C$14)/Inputs!$C$36*Inputs!J64</f>
        <v>0.366666666666667</v>
      </c>
      <c r="K27" s="47" t="n">
        <f aca="false">(Inputs!$C$12*(Inputs!$C$7+Inputs!$C$13)+(Inputs!$C$11-Inputs!$C$12)*Inputs!$C$14)/Inputs!$C$36*Inputs!K64</f>
        <v>0</v>
      </c>
      <c r="L27" s="47" t="n">
        <f aca="false">(Inputs!$C$12*(Inputs!$C$7+Inputs!$C$13)+(Inputs!$C$11-Inputs!$C$12)*Inputs!$C$14)/Inputs!$C$36*Inputs!L64</f>
        <v>0</v>
      </c>
      <c r="M27" s="47" t="n">
        <f aca="false">(Inputs!$C$12*(Inputs!$C$7+Inputs!$C$13)+(Inputs!$C$11-Inputs!$C$12)*Inputs!$C$14)/Inputs!$C$36*Inputs!M64</f>
        <v>0</v>
      </c>
      <c r="N27" s="47" t="n">
        <f aca="false">(Inputs!$C$12*(Inputs!$C$7+Inputs!$C$13)+(Inputs!$C$11-Inputs!$C$12)*Inputs!$C$14)/Inputs!$C$36*Inputs!N64</f>
        <v>0.366666666666667</v>
      </c>
      <c r="O27" s="47" t="n">
        <f aca="false">(Inputs!$C$12*(Inputs!$C$7+Inputs!$C$13)+(Inputs!$C$11-Inputs!$C$12)*Inputs!$C$14)/Inputs!$C$36*Inputs!O64</f>
        <v>0</v>
      </c>
      <c r="P27" s="48" t="n">
        <f aca="false">SUM(C27:O27)</f>
        <v>1.1</v>
      </c>
      <c r="Q27" s="4" t="s">
        <v>414</v>
      </c>
    </row>
    <row r="28" customFormat="false" ht="15" hidden="false" customHeight="false" outlineLevel="0" collapsed="false">
      <c r="B28" s="22" t="s">
        <v>415</v>
      </c>
      <c r="C28" s="47" t="n">
        <f aca="false">Inputs!$C$22*Inputs!$C$23/Inputs!$C$37*Inputs!C65*(1-Inputs!$C$52)</f>
        <v>0</v>
      </c>
      <c r="D28" s="47" t="n">
        <f aca="false">Inputs!$C$22*Inputs!$C$23/Inputs!$C$37*Inputs!D65*(1-Inputs!$C$52)</f>
        <v>0</v>
      </c>
      <c r="E28" s="47" t="n">
        <f aca="false">Inputs!$C$22*Inputs!$C$23/Inputs!$C$37*Inputs!E65*(1-Inputs!$C$52)</f>
        <v>0</v>
      </c>
      <c r="F28" s="47" t="n">
        <f aca="false">Inputs!$C$22*Inputs!$C$23/Inputs!$C$37*Inputs!F65*(1-Inputs!$C$52)</f>
        <v>0</v>
      </c>
      <c r="G28" s="47" t="n">
        <f aca="false">Inputs!$C$22*Inputs!$C$23/Inputs!$C$37*Inputs!G65*(1-Inputs!$C$52)</f>
        <v>0</v>
      </c>
      <c r="H28" s="47" t="n">
        <f aca="false">Inputs!$C$22*Inputs!$C$23/Inputs!$C$37*Inputs!H65*(1-Inputs!$C$52)</f>
        <v>0</v>
      </c>
      <c r="I28" s="47" t="n">
        <f aca="false">Inputs!$C$22*Inputs!$C$23/Inputs!$C$37*Inputs!I65*(1-Inputs!$C$52)</f>
        <v>0</v>
      </c>
      <c r="J28" s="47" t="n">
        <f aca="false">Inputs!$C$22*Inputs!$C$23/Inputs!$C$37*Inputs!J65*(1-Inputs!$C$52)</f>
        <v>0</v>
      </c>
      <c r="K28" s="47" t="n">
        <f aca="false">Inputs!$C$22*Inputs!$C$23/Inputs!$C$37*Inputs!K65*(1-Inputs!$C$52)</f>
        <v>0</v>
      </c>
      <c r="L28" s="47" t="n">
        <f aca="false">Inputs!$C$22*Inputs!$C$23/Inputs!$C$37*Inputs!L65*(1-Inputs!$C$52)</f>
        <v>0</v>
      </c>
      <c r="M28" s="47" t="n">
        <f aca="false">Inputs!$C$22*Inputs!$C$23/Inputs!$C$37*Inputs!M65*(1-Inputs!$C$52)</f>
        <v>0</v>
      </c>
      <c r="N28" s="47" t="n">
        <f aca="false">Inputs!$C$22*Inputs!$C$23/Inputs!$C$37*Inputs!N65*(1-Inputs!$C$52)</f>
        <v>0</v>
      </c>
      <c r="O28" s="47" t="n">
        <f aca="false">Inputs!$C$22*Inputs!$C$23/Inputs!$C$37*Inputs!O65*(1-Inputs!$C$52)</f>
        <v>0</v>
      </c>
      <c r="P28" s="48" t="n">
        <f aca="false">SUM(C28:O28)</f>
        <v>0</v>
      </c>
      <c r="Q28" s="4" t="s">
        <v>416</v>
      </c>
    </row>
    <row r="29" customFormat="false" ht="15" hidden="false" customHeight="false" outlineLevel="0" collapsed="false">
      <c r="B29" s="23" t="s">
        <v>417</v>
      </c>
      <c r="C29" s="49" t="n">
        <f aca="false">C25+C26+C27+C28</f>
        <v>0</v>
      </c>
      <c r="D29" s="49" t="n">
        <f aca="false">D25+D26+D27+D28</f>
        <v>0</v>
      </c>
      <c r="E29" s="49" t="n">
        <f aca="false">E25+E26+E27+E28</f>
        <v>0</v>
      </c>
      <c r="F29" s="49" t="n">
        <f aca="false">F25+F26+F27+F28</f>
        <v>0.366666666666667</v>
      </c>
      <c r="G29" s="49" t="n">
        <f aca="false">G25+G26+G27+G28</f>
        <v>0</v>
      </c>
      <c r="H29" s="49" t="n">
        <f aca="false">H25+H26+H27+H28</f>
        <v>20.925</v>
      </c>
      <c r="I29" s="49" t="n">
        <f aca="false">I25+I26+I27+I28</f>
        <v>0</v>
      </c>
      <c r="J29" s="49" t="n">
        <f aca="false">J25+J26+J27+J28</f>
        <v>0.366666666666667</v>
      </c>
      <c r="K29" s="49" t="n">
        <f aca="false">K25+K26+K27+K28</f>
        <v>0</v>
      </c>
      <c r="L29" s="49" t="n">
        <f aca="false">L25+L26+L27+L28</f>
        <v>0</v>
      </c>
      <c r="M29" s="49" t="n">
        <f aca="false">M25+M26+M27+M28</f>
        <v>0</v>
      </c>
      <c r="N29" s="49" t="n">
        <f aca="false">N25+N26+N27+N28</f>
        <v>0.366666666666667</v>
      </c>
      <c r="O29" s="49" t="n">
        <f aca="false">O25+O26+O27+O28</f>
        <v>0</v>
      </c>
      <c r="P29" s="49" t="n">
        <f aca="false">SUM(C29:O29)</f>
        <v>22.025</v>
      </c>
    </row>
    <row r="30" customFormat="false" ht="15" hidden="false" customHeight="false" outlineLevel="0" collapsed="false">
      <c r="B30" s="23" t="s">
        <v>418</v>
      </c>
      <c r="C30" s="49" t="n">
        <f aca="false">C21-C23-C29</f>
        <v>3.45076923076923</v>
      </c>
      <c r="D30" s="49" t="n">
        <f aca="false">D21-D23-D29</f>
        <v>-0.949230769230773</v>
      </c>
      <c r="E30" s="49" t="n">
        <f aca="false">E21-E23-E29</f>
        <v>5.80076923076923</v>
      </c>
      <c r="F30" s="49" t="n">
        <f aca="false">F21-F23-F29</f>
        <v>-1.76589743589744</v>
      </c>
      <c r="G30" s="49" t="n">
        <f aca="false">G21-G23-G29</f>
        <v>1.20076923076923</v>
      </c>
      <c r="H30" s="49" t="n">
        <f aca="false">H21-H23-H29</f>
        <v>-24.1242307692308</v>
      </c>
      <c r="I30" s="49" t="n">
        <f aca="false">I21-I23-I29</f>
        <v>2.50076923076923</v>
      </c>
      <c r="J30" s="49" t="n">
        <f aca="false">J21-J23-J29</f>
        <v>-3.56589743589744</v>
      </c>
      <c r="K30" s="49" t="n">
        <f aca="false">K21-K23-K29</f>
        <v>3.00076923076923</v>
      </c>
      <c r="L30" s="49" t="n">
        <f aca="false">L21-L23-L29</f>
        <v>-0.199230769230774</v>
      </c>
      <c r="M30" s="49" t="n">
        <f aca="false">M21-M23-M29</f>
        <v>5.80076923076923</v>
      </c>
      <c r="N30" s="49" t="n">
        <f aca="false">N21-N23-N29</f>
        <v>-1.76589743589744</v>
      </c>
      <c r="O30" s="49" t="n">
        <f aca="false">O21-O23-O29</f>
        <v>0.000769230769228801</v>
      </c>
      <c r="P30" s="49" t="n">
        <f aca="false">SUM(C30:O30)</f>
        <v>-10.615</v>
      </c>
    </row>
    <row r="31" customFormat="false" ht="15" hidden="false" customHeight="false" outlineLevel="0" collapsed="false">
      <c r="B31" s="22" t="s">
        <v>419</v>
      </c>
      <c r="C31" s="47" t="n">
        <f aca="false">Inputs!$C$8</f>
        <v>45</v>
      </c>
      <c r="D31" s="47" t="n">
        <f aca="false">C32</f>
        <v>48.4507692307692</v>
      </c>
      <c r="E31" s="47" t="n">
        <f aca="false">D32</f>
        <v>47.5015384615385</v>
      </c>
      <c r="F31" s="47" t="n">
        <f aca="false">E32</f>
        <v>53.3023076923077</v>
      </c>
      <c r="G31" s="47" t="n">
        <f aca="false">F32</f>
        <v>51.5364102564102</v>
      </c>
      <c r="H31" s="47" t="n">
        <f aca="false">G32</f>
        <v>52.7371794871795</v>
      </c>
      <c r="I31" s="47" t="n">
        <f aca="false">H32</f>
        <v>28.6129487179487</v>
      </c>
      <c r="J31" s="47" t="n">
        <f aca="false">I32</f>
        <v>31.1137179487179</v>
      </c>
      <c r="K31" s="47" t="n">
        <f aca="false">J32</f>
        <v>27.5478205128205</v>
      </c>
      <c r="L31" s="47" t="n">
        <f aca="false">K32</f>
        <v>30.5485897435897</v>
      </c>
      <c r="M31" s="47" t="n">
        <f aca="false">L32</f>
        <v>30.3493589743589</v>
      </c>
      <c r="N31" s="47" t="n">
        <f aca="false">M32</f>
        <v>36.1501282051282</v>
      </c>
      <c r="O31" s="47" t="n">
        <f aca="false">N32</f>
        <v>34.3842307692307</v>
      </c>
    </row>
    <row r="32" customFormat="false" ht="15" hidden="false" customHeight="false" outlineLevel="0" collapsed="false">
      <c r="B32" s="23" t="s">
        <v>420</v>
      </c>
      <c r="C32" s="49" t="n">
        <f aca="false">C31+C30</f>
        <v>48.4507692307692</v>
      </c>
      <c r="D32" s="49" t="n">
        <f aca="false">D31+D30</f>
        <v>47.5015384615385</v>
      </c>
      <c r="E32" s="49" t="n">
        <f aca="false">E31+E30</f>
        <v>53.3023076923077</v>
      </c>
      <c r="F32" s="49" t="n">
        <f aca="false">F31+F30</f>
        <v>51.5364102564102</v>
      </c>
      <c r="G32" s="49" t="n">
        <f aca="false">G31+G30</f>
        <v>52.7371794871795</v>
      </c>
      <c r="H32" s="49" t="n">
        <f aca="false">H31+H30</f>
        <v>28.6129487179487</v>
      </c>
      <c r="I32" s="49" t="n">
        <f aca="false">I31+I30</f>
        <v>31.1137179487179</v>
      </c>
      <c r="J32" s="49" t="n">
        <f aca="false">J31+J30</f>
        <v>27.5478205128205</v>
      </c>
      <c r="K32" s="49" t="n">
        <f aca="false">K31+K30</f>
        <v>30.5485897435897</v>
      </c>
      <c r="L32" s="49" t="n">
        <f aca="false">L31+L30</f>
        <v>30.3493589743589</v>
      </c>
      <c r="M32" s="49" t="n">
        <f aca="false">M31+M30</f>
        <v>36.1501282051282</v>
      </c>
      <c r="N32" s="49" t="n">
        <f aca="false">N31+N30</f>
        <v>34.3842307692307</v>
      </c>
      <c r="O32" s="49" t="n">
        <f aca="false">O31+O30</f>
        <v>34.385</v>
      </c>
      <c r="P32" s="25"/>
    </row>
    <row r="33" customFormat="false" ht="15" hidden="false" customHeight="false" outlineLevel="0" collapsed="false">
      <c r="B33" s="22" t="s">
        <v>29</v>
      </c>
      <c r="C33" s="47" t="n">
        <f aca="false">Inputs!$C$9</f>
        <v>25</v>
      </c>
      <c r="D33" s="47" t="n">
        <f aca="false">Inputs!$C$9</f>
        <v>25</v>
      </c>
      <c r="E33" s="47" t="n">
        <f aca="false">Inputs!$C$9</f>
        <v>25</v>
      </c>
      <c r="F33" s="47" t="n">
        <f aca="false">Inputs!$C$9</f>
        <v>25</v>
      </c>
      <c r="G33" s="47" t="n">
        <f aca="false">Inputs!$C$9</f>
        <v>25</v>
      </c>
      <c r="H33" s="47" t="n">
        <f aca="false">Inputs!$C$9</f>
        <v>25</v>
      </c>
      <c r="I33" s="47" t="n">
        <f aca="false">Inputs!$C$9</f>
        <v>25</v>
      </c>
      <c r="J33" s="47" t="n">
        <f aca="false">Inputs!$C$9</f>
        <v>25</v>
      </c>
      <c r="K33" s="47" t="n">
        <f aca="false">Inputs!$C$9</f>
        <v>25</v>
      </c>
      <c r="L33" s="47" t="n">
        <f aca="false">Inputs!$C$9</f>
        <v>25</v>
      </c>
      <c r="M33" s="47" t="n">
        <f aca="false">Inputs!$C$9</f>
        <v>25</v>
      </c>
      <c r="N33" s="47" t="n">
        <f aca="false">Inputs!$C$9</f>
        <v>25</v>
      </c>
      <c r="O33" s="47" t="n">
        <f aca="false">Inputs!$C$9</f>
        <v>25</v>
      </c>
    </row>
    <row r="34" customFormat="false" ht="15" hidden="false" customHeight="false" outlineLevel="0" collapsed="false">
      <c r="B34" s="22" t="s">
        <v>421</v>
      </c>
      <c r="C34" s="47" t="n">
        <f aca="false">C32-C33</f>
        <v>23.4507692307692</v>
      </c>
      <c r="D34" s="47" t="n">
        <f aca="false">D32-D33</f>
        <v>22.5015384615385</v>
      </c>
      <c r="E34" s="47" t="n">
        <f aca="false">E32-E33</f>
        <v>28.3023076923077</v>
      </c>
      <c r="F34" s="47" t="n">
        <f aca="false">F32-F33</f>
        <v>26.5364102564102</v>
      </c>
      <c r="G34" s="47" t="n">
        <f aca="false">G32-G33</f>
        <v>27.7371794871795</v>
      </c>
      <c r="H34" s="47" t="n">
        <f aca="false">H32-H33</f>
        <v>3.61294871794869</v>
      </c>
      <c r="I34" s="47" t="n">
        <f aca="false">I32-I33</f>
        <v>6.11371794871792</v>
      </c>
      <c r="J34" s="47" t="n">
        <f aca="false">J32-J33</f>
        <v>2.54782051282048</v>
      </c>
      <c r="K34" s="47" t="n">
        <f aca="false">K32-K33</f>
        <v>5.54858974358971</v>
      </c>
      <c r="L34" s="47" t="n">
        <f aca="false">L32-L33</f>
        <v>5.34935897435894</v>
      </c>
      <c r="M34" s="47" t="n">
        <f aca="false">M32-M33</f>
        <v>11.1501282051282</v>
      </c>
      <c r="N34" s="47" t="n">
        <f aca="false">N32-N33</f>
        <v>9.38423076923072</v>
      </c>
      <c r="O34" s="47" t="n">
        <f aca="false">O32-O33</f>
        <v>9.38499999999995</v>
      </c>
    </row>
    <row r="35" customFormat="false" ht="15" hidden="false" customHeight="false" outlineLevel="0" collapsed="false">
      <c r="B35" s="22" t="s">
        <v>422</v>
      </c>
      <c r="C35" s="26" t="n">
        <f aca="false">IF(C32&lt;C33,1,0)</f>
        <v>0</v>
      </c>
      <c r="D35" s="26" t="n">
        <f aca="false">IF(D32&lt;D33,1,0)</f>
        <v>0</v>
      </c>
      <c r="E35" s="26" t="n">
        <f aca="false">IF(E32&lt;E33,1,0)</f>
        <v>0</v>
      </c>
      <c r="F35" s="26" t="n">
        <f aca="false">IF(F32&lt;F33,1,0)</f>
        <v>0</v>
      </c>
      <c r="G35" s="26" t="n">
        <f aca="false">IF(G32&lt;G33,1,0)</f>
        <v>0</v>
      </c>
      <c r="H35" s="26" t="n">
        <f aca="false">IF(H32&lt;H33,1,0)</f>
        <v>0</v>
      </c>
      <c r="I35" s="26" t="n">
        <f aca="false">IF(I32&lt;I33,1,0)</f>
        <v>0</v>
      </c>
      <c r="J35" s="26" t="n">
        <f aca="false">IF(J32&lt;J33,1,0)</f>
        <v>0</v>
      </c>
      <c r="K35" s="26" t="n">
        <f aca="false">IF(K32&lt;K33,1,0)</f>
        <v>0</v>
      </c>
      <c r="L35" s="26" t="n">
        <f aca="false">IF(L32&lt;L33,1,0)</f>
        <v>0</v>
      </c>
      <c r="M35" s="26" t="n">
        <f aca="false">IF(M32&lt;M33,1,0)</f>
        <v>0</v>
      </c>
      <c r="N35" s="26" t="n">
        <f aca="false">IF(N32&lt;N33,1,0)</f>
        <v>0</v>
      </c>
      <c r="O35" s="26" t="n">
        <f aca="false">IF(O32&lt;O33,1,0)</f>
        <v>0</v>
      </c>
    </row>
    <row r="36" customFormat="false" ht="15" hidden="false" customHeight="false" outlineLevel="0" collapsed="false">
      <c r="B36" s="2" t="s">
        <v>423</v>
      </c>
      <c r="C36" s="39" t="n">
        <f aca="false">O32</f>
        <v>34.385</v>
      </c>
    </row>
    <row r="38" customFormat="false" ht="15" hidden="false" customHeight="false" outlineLevel="0" collapsed="false">
      <c r="B38" s="2" t="s">
        <v>424</v>
      </c>
    </row>
    <row r="39" customFormat="false" ht="15" hidden="false" customHeight="false" outlineLevel="0" collapsed="false">
      <c r="B39" s="5" t="s">
        <v>28</v>
      </c>
      <c r="C39" s="16" t="n">
        <v>1</v>
      </c>
      <c r="D39" s="16" t="n">
        <v>2</v>
      </c>
      <c r="E39" s="16" t="n">
        <v>3</v>
      </c>
      <c r="F39" s="16" t="n">
        <v>4</v>
      </c>
      <c r="G39" s="16" t="n">
        <v>5</v>
      </c>
      <c r="H39" s="16" t="n">
        <v>6</v>
      </c>
      <c r="I39" s="16" t="n">
        <v>7</v>
      </c>
      <c r="J39" s="16" t="n">
        <v>8</v>
      </c>
      <c r="K39" s="16" t="n">
        <v>9</v>
      </c>
      <c r="L39" s="16" t="n">
        <v>10</v>
      </c>
      <c r="M39" s="16" t="n">
        <v>11</v>
      </c>
      <c r="N39" s="16" t="n">
        <v>12</v>
      </c>
      <c r="O39" s="16" t="n">
        <v>13</v>
      </c>
      <c r="P39" s="6" t="s">
        <v>391</v>
      </c>
      <c r="Q39" s="7" t="s">
        <v>89</v>
      </c>
    </row>
    <row r="40" customFormat="false" ht="15" hidden="false" customHeight="false" outlineLevel="0" collapsed="false">
      <c r="B40" s="8" t="s">
        <v>425</v>
      </c>
      <c r="C40" s="47" t="n">
        <f aca="false">C21</f>
        <v>3.45076923076923</v>
      </c>
      <c r="D40" s="47" t="n">
        <f aca="false">D21</f>
        <v>-0.949230769230773</v>
      </c>
      <c r="E40" s="47" t="n">
        <f aca="false">E21</f>
        <v>6.25076923076923</v>
      </c>
      <c r="F40" s="47" t="n">
        <f aca="false">F21</f>
        <v>-0.949230769230773</v>
      </c>
      <c r="G40" s="47" t="n">
        <f aca="false">G21</f>
        <v>1.65076923076923</v>
      </c>
      <c r="H40" s="47" t="n">
        <f aca="false">H21</f>
        <v>-2.74923076923077</v>
      </c>
      <c r="I40" s="47" t="n">
        <f aca="false">I21</f>
        <v>2.95076923076923</v>
      </c>
      <c r="J40" s="47" t="n">
        <f aca="false">J21</f>
        <v>-2.74923076923077</v>
      </c>
      <c r="K40" s="47" t="n">
        <f aca="false">K21</f>
        <v>3.45076923076923</v>
      </c>
      <c r="L40" s="47" t="n">
        <f aca="false">L21</f>
        <v>0.250769230769226</v>
      </c>
      <c r="M40" s="47" t="n">
        <f aca="false">M21</f>
        <v>6.25076923076923</v>
      </c>
      <c r="N40" s="47" t="n">
        <f aca="false">N21</f>
        <v>-0.949230769230773</v>
      </c>
      <c r="O40" s="47" t="n">
        <f aca="false">O21</f>
        <v>0.450769230769229</v>
      </c>
      <c r="P40" s="48" t="n">
        <f aca="false">SUM(C40:O40)</f>
        <v>16.36</v>
      </c>
      <c r="Q40" s="4" t="s">
        <v>426</v>
      </c>
    </row>
    <row r="41" customFormat="false" ht="15" hidden="false" customHeight="false" outlineLevel="0" collapsed="false">
      <c r="B41" s="8" t="s">
        <v>427</v>
      </c>
      <c r="C41" s="47" t="n">
        <f aca="false">Inputs!$C$109*(1-Inputs!$C$110)</f>
        <v>2</v>
      </c>
      <c r="D41" s="47" t="n">
        <f aca="false">Inputs!$C$109*(1-Inputs!$C$110)</f>
        <v>2</v>
      </c>
      <c r="E41" s="47" t="n">
        <f aca="false">Inputs!$C$109*(1-Inputs!$C$110)</f>
        <v>2</v>
      </c>
      <c r="F41" s="47" t="n">
        <f aca="false">Inputs!$C$109*(1-Inputs!$C$110)</f>
        <v>2</v>
      </c>
      <c r="G41" s="47" t="n">
        <f aca="false">Inputs!$C$109*(1-Inputs!$C$110)</f>
        <v>2</v>
      </c>
      <c r="H41" s="47" t="n">
        <f aca="false">Inputs!$C$109*(1-Inputs!$C$110)</f>
        <v>2</v>
      </c>
      <c r="I41" s="47" t="n">
        <f aca="false">Inputs!$C$109*(1-Inputs!$C$110)</f>
        <v>2</v>
      </c>
      <c r="J41" s="47" t="n">
        <f aca="false">Inputs!$C$109*(1-Inputs!$C$110)</f>
        <v>2</v>
      </c>
      <c r="K41" s="47" t="n">
        <f aca="false">Inputs!$C$109*(1-Inputs!$C$110)</f>
        <v>2</v>
      </c>
      <c r="L41" s="47" t="n">
        <f aca="false">Inputs!$C$109*(1-Inputs!$C$110)</f>
        <v>2</v>
      </c>
      <c r="M41" s="47" t="n">
        <f aca="false">Inputs!$C$109*(1-Inputs!$C$110)</f>
        <v>2</v>
      </c>
      <c r="N41" s="47" t="n">
        <f aca="false">Inputs!$C$109*(1-Inputs!$C$110)</f>
        <v>2</v>
      </c>
      <c r="O41" s="47" t="n">
        <f aca="false">Inputs!$C$109*(1-Inputs!$C$110)</f>
        <v>2</v>
      </c>
      <c r="P41" s="48" t="n">
        <f aca="false">SUM(C41:O41)</f>
        <v>26</v>
      </c>
      <c r="Q41" s="4" t="s">
        <v>428</v>
      </c>
    </row>
    <row r="42" customFormat="false" ht="15" hidden="false" customHeight="false" outlineLevel="0" collapsed="false">
      <c r="B42" s="8" t="s">
        <v>429</v>
      </c>
      <c r="C42" s="47" t="n">
        <f aca="false">Inputs!$C$112*Inputs!C128</f>
        <v>18</v>
      </c>
      <c r="D42" s="47" t="n">
        <f aca="false">Inputs!$C$112*Inputs!D128</f>
        <v>0</v>
      </c>
      <c r="E42" s="47" t="n">
        <f aca="false">Inputs!$C$112*Inputs!E128</f>
        <v>0</v>
      </c>
      <c r="F42" s="47" t="n">
        <f aca="false">Inputs!$C$112*Inputs!F128</f>
        <v>0</v>
      </c>
      <c r="G42" s="47" t="n">
        <f aca="false">Inputs!$C$112*Inputs!G128</f>
        <v>0</v>
      </c>
      <c r="H42" s="47" t="n">
        <f aca="false">Inputs!$C$112*Inputs!H128</f>
        <v>0</v>
      </c>
      <c r="I42" s="47" t="n">
        <f aca="false">Inputs!$C$112*Inputs!I128</f>
        <v>0</v>
      </c>
      <c r="J42" s="47" t="n">
        <f aca="false">Inputs!$C$112*Inputs!J128</f>
        <v>0</v>
      </c>
      <c r="K42" s="47" t="n">
        <f aca="false">Inputs!$C$112*Inputs!K128</f>
        <v>0</v>
      </c>
      <c r="L42" s="47" t="n">
        <f aca="false">Inputs!$C$112*Inputs!L128</f>
        <v>0</v>
      </c>
      <c r="M42" s="47" t="n">
        <f aca="false">Inputs!$C$112*Inputs!M128</f>
        <v>0</v>
      </c>
      <c r="N42" s="47" t="n">
        <f aca="false">Inputs!$C$112*Inputs!N128</f>
        <v>0</v>
      </c>
      <c r="O42" s="47" t="n">
        <f aca="false">Inputs!$C$112*Inputs!O128</f>
        <v>0</v>
      </c>
      <c r="P42" s="48" t="n">
        <f aca="false">SUM(C42:O42)</f>
        <v>18</v>
      </c>
    </row>
    <row r="43" customFormat="false" ht="15" hidden="false" customHeight="false" outlineLevel="0" collapsed="false">
      <c r="B43" s="8" t="s">
        <v>153</v>
      </c>
      <c r="C43" s="47" t="n">
        <f aca="false">Inputs!$C$113*Inputs!C128</f>
        <v>2</v>
      </c>
      <c r="D43" s="47" t="n">
        <f aca="false">Inputs!$C$113*Inputs!D128</f>
        <v>0</v>
      </c>
      <c r="E43" s="47" t="n">
        <f aca="false">Inputs!$C$113*Inputs!E128</f>
        <v>0</v>
      </c>
      <c r="F43" s="47" t="n">
        <f aca="false">Inputs!$C$113*Inputs!F128</f>
        <v>0</v>
      </c>
      <c r="G43" s="47" t="n">
        <f aca="false">Inputs!$C$113*Inputs!G128</f>
        <v>0</v>
      </c>
      <c r="H43" s="47" t="n">
        <f aca="false">Inputs!$C$113*Inputs!H128</f>
        <v>0</v>
      </c>
      <c r="I43" s="47" t="n">
        <f aca="false">Inputs!$C$113*Inputs!I128</f>
        <v>0</v>
      </c>
      <c r="J43" s="47" t="n">
        <f aca="false">Inputs!$C$113*Inputs!J128</f>
        <v>0</v>
      </c>
      <c r="K43" s="47" t="n">
        <f aca="false">Inputs!$C$113*Inputs!K128</f>
        <v>0</v>
      </c>
      <c r="L43" s="47" t="n">
        <f aca="false">Inputs!$C$113*Inputs!L128</f>
        <v>0</v>
      </c>
      <c r="M43" s="47" t="n">
        <f aca="false">Inputs!$C$113*Inputs!M128</f>
        <v>0</v>
      </c>
      <c r="N43" s="47" t="n">
        <f aca="false">Inputs!$C$113*Inputs!N128</f>
        <v>0</v>
      </c>
      <c r="O43" s="47" t="n">
        <f aca="false">Inputs!$C$113*Inputs!O128</f>
        <v>0</v>
      </c>
      <c r="P43" s="48" t="n">
        <f aca="false">SUM(C43:O43)</f>
        <v>2</v>
      </c>
    </row>
    <row r="44" customFormat="false" ht="15" hidden="false" customHeight="false" outlineLevel="0" collapsed="false">
      <c r="B44" s="8" t="s">
        <v>430</v>
      </c>
      <c r="C44" s="47" t="n">
        <f aca="false">Inputs!$C$114*Inputs!$C$45*Inputs!C128</f>
        <v>21.8</v>
      </c>
      <c r="D44" s="47" t="n">
        <f aca="false">Inputs!$C$114*Inputs!$C$45*Inputs!D128</f>
        <v>0</v>
      </c>
      <c r="E44" s="47" t="n">
        <f aca="false">Inputs!$C$114*Inputs!$C$45*Inputs!E128</f>
        <v>0</v>
      </c>
      <c r="F44" s="47" t="n">
        <f aca="false">Inputs!$C$114*Inputs!$C$45*Inputs!F128</f>
        <v>0</v>
      </c>
      <c r="G44" s="47" t="n">
        <f aca="false">Inputs!$C$114*Inputs!$C$45*Inputs!G128</f>
        <v>0</v>
      </c>
      <c r="H44" s="47" t="n">
        <f aca="false">Inputs!$C$114*Inputs!$C$45*Inputs!H128</f>
        <v>0</v>
      </c>
      <c r="I44" s="47" t="n">
        <f aca="false">Inputs!$C$114*Inputs!$C$45*Inputs!I128</f>
        <v>0</v>
      </c>
      <c r="J44" s="47" t="n">
        <f aca="false">Inputs!$C$114*Inputs!$C$45*Inputs!J128</f>
        <v>0</v>
      </c>
      <c r="K44" s="47" t="n">
        <f aca="false">Inputs!$C$114*Inputs!$C$45*Inputs!K128</f>
        <v>0</v>
      </c>
      <c r="L44" s="47" t="n">
        <f aca="false">Inputs!$C$114*Inputs!$C$45*Inputs!L128</f>
        <v>0</v>
      </c>
      <c r="M44" s="47" t="n">
        <f aca="false">Inputs!$C$114*Inputs!$C$45*Inputs!M128</f>
        <v>0</v>
      </c>
      <c r="N44" s="47" t="n">
        <f aca="false">Inputs!$C$114*Inputs!$C$45*Inputs!N128</f>
        <v>0</v>
      </c>
      <c r="O44" s="47" t="n">
        <f aca="false">Inputs!$C$114*Inputs!$C$45*Inputs!O128</f>
        <v>0</v>
      </c>
      <c r="P44" s="48" t="n">
        <f aca="false">SUM(C44:O44)</f>
        <v>21.8</v>
      </c>
      <c r="Q44" s="4" t="s">
        <v>431</v>
      </c>
    </row>
    <row r="45" customFormat="false" ht="15" hidden="false" customHeight="false" outlineLevel="0" collapsed="false">
      <c r="B45" s="23" t="s">
        <v>418</v>
      </c>
      <c r="C45" s="49" t="n">
        <f aca="false">C40-C41-C42-C43-C44</f>
        <v>-40.3492307692308</v>
      </c>
      <c r="D45" s="49" t="n">
        <f aca="false">D40-D41-D42-D43-D44</f>
        <v>-2.94923076923077</v>
      </c>
      <c r="E45" s="49" t="n">
        <f aca="false">E40-E41-E42-E43-E44</f>
        <v>4.25076923076923</v>
      </c>
      <c r="F45" s="49" t="n">
        <f aca="false">F40-F41-F42-F43-F44</f>
        <v>-2.94923076923077</v>
      </c>
      <c r="G45" s="49" t="n">
        <f aca="false">G40-G41-G42-G43-G44</f>
        <v>-0.349230769230772</v>
      </c>
      <c r="H45" s="49" t="n">
        <f aca="false">H40-H41-H42-H43-H44</f>
        <v>-4.74923076923077</v>
      </c>
      <c r="I45" s="49" t="n">
        <f aca="false">I40-I41-I42-I43-I44</f>
        <v>0.950769230769229</v>
      </c>
      <c r="J45" s="49" t="n">
        <f aca="false">J40-J41-J42-J43-J44</f>
        <v>-4.74923076923077</v>
      </c>
      <c r="K45" s="49" t="n">
        <f aca="false">K40-K41-K42-K43-K44</f>
        <v>1.45076923076923</v>
      </c>
      <c r="L45" s="49" t="n">
        <f aca="false">L40-L41-L42-L43-L44</f>
        <v>-1.74923076923077</v>
      </c>
      <c r="M45" s="49" t="n">
        <f aca="false">M40-M41-M42-M43-M44</f>
        <v>4.25076923076923</v>
      </c>
      <c r="N45" s="49" t="n">
        <f aca="false">N40-N41-N42-N43-N44</f>
        <v>-2.94923076923077</v>
      </c>
      <c r="O45" s="49" t="n">
        <f aca="false">O40-O41-O42-O43-O44</f>
        <v>-1.54923076923077</v>
      </c>
      <c r="P45" s="49" t="n">
        <f aca="false">SUM(C45:O45)</f>
        <v>-51.44</v>
      </c>
    </row>
    <row r="46" customFormat="false" ht="15" hidden="false" customHeight="false" outlineLevel="0" collapsed="false">
      <c r="B46" s="2" t="s">
        <v>432</v>
      </c>
      <c r="C46" s="48" t="n">
        <f aca="false">$C$36+C45</f>
        <v>-5.96423076923082</v>
      </c>
      <c r="D46" s="48" t="n">
        <f aca="false">C46+D45</f>
        <v>-8.9134615384616</v>
      </c>
      <c r="E46" s="48" t="n">
        <f aca="false">D46+E45</f>
        <v>-4.66269230769237</v>
      </c>
      <c r="F46" s="48" t="n">
        <f aca="false">E46+F45</f>
        <v>-7.61192307692314</v>
      </c>
      <c r="G46" s="48" t="n">
        <f aca="false">F46+G45</f>
        <v>-7.96115384615391</v>
      </c>
      <c r="H46" s="48" t="n">
        <f aca="false">G46+H45</f>
        <v>-12.7103846153847</v>
      </c>
      <c r="I46" s="48" t="n">
        <f aca="false">H46+I45</f>
        <v>-11.7596153846155</v>
      </c>
      <c r="J46" s="48" t="n">
        <f aca="false">I46+J45</f>
        <v>-16.5088461538462</v>
      </c>
      <c r="K46" s="48" t="n">
        <f aca="false">J46+K45</f>
        <v>-15.058076923077</v>
      </c>
      <c r="L46" s="48" t="n">
        <f aca="false">K46+L45</f>
        <v>-16.8073076923078</v>
      </c>
      <c r="M46" s="48" t="n">
        <f aca="false">L46+M45</f>
        <v>-12.5565384615385</v>
      </c>
      <c r="N46" s="48" t="n">
        <f aca="false">M46+N45</f>
        <v>-15.5057692307693</v>
      </c>
      <c r="O46" s="48" t="n">
        <f aca="false">N46+O45</f>
        <v>-17.0550000000001</v>
      </c>
    </row>
    <row r="47" customFormat="false" ht="15" hidden="false" customHeight="false" outlineLevel="0" collapsed="false">
      <c r="B47" s="8" t="s">
        <v>433</v>
      </c>
      <c r="C47" s="47" t="n">
        <f aca="false">C46+$C$58</f>
        <v>57.0857692307692</v>
      </c>
      <c r="D47" s="47" t="n">
        <f aca="false">D46+$C$58</f>
        <v>54.1365384615384</v>
      </c>
      <c r="E47" s="47" t="n">
        <f aca="false">E46+$C$58</f>
        <v>58.3873076923076</v>
      </c>
      <c r="F47" s="47" t="n">
        <f aca="false">F46+$C$58</f>
        <v>55.4380769230769</v>
      </c>
      <c r="G47" s="47" t="n">
        <f aca="false">G46+$C$58</f>
        <v>55.0888461538461</v>
      </c>
      <c r="H47" s="47" t="n">
        <f aca="false">H46+$C$58</f>
        <v>50.3396153846153</v>
      </c>
      <c r="I47" s="47" t="n">
        <f aca="false">I46+$C$58</f>
        <v>51.2903846153845</v>
      </c>
      <c r="J47" s="47" t="n">
        <f aca="false">J46+$C$58</f>
        <v>46.5411538461538</v>
      </c>
      <c r="K47" s="47" t="n">
        <f aca="false">K46+$C$58</f>
        <v>47.991923076923</v>
      </c>
      <c r="L47" s="47" t="n">
        <f aca="false">L46+$C$58</f>
        <v>46.2426923076922</v>
      </c>
      <c r="M47" s="47" t="n">
        <f aca="false">M46+$C$58</f>
        <v>50.4934615384614</v>
      </c>
      <c r="N47" s="47" t="n">
        <f aca="false">N46+$C$58</f>
        <v>47.5442307692307</v>
      </c>
      <c r="O47" s="47" t="n">
        <f aca="false">O46+$C$58</f>
        <v>45.9949999999999</v>
      </c>
    </row>
    <row r="48" customFormat="false" ht="15" hidden="false" customHeight="false" outlineLevel="0" collapsed="false">
      <c r="B48" s="8" t="s">
        <v>434</v>
      </c>
      <c r="C48" s="47" t="n">
        <f aca="false">Inputs!$C$109*Inputs!$C$110</f>
        <v>0.5</v>
      </c>
      <c r="D48" s="47" t="n">
        <f aca="false">Inputs!$C$109*Inputs!$C$110</f>
        <v>0.5</v>
      </c>
      <c r="E48" s="47" t="n">
        <f aca="false">Inputs!$C$109*Inputs!$C$110</f>
        <v>0.5</v>
      </c>
      <c r="F48" s="47" t="n">
        <f aca="false">Inputs!$C$109*Inputs!$C$110</f>
        <v>0.5</v>
      </c>
      <c r="G48" s="47" t="n">
        <f aca="false">Inputs!$C$109*Inputs!$C$110</f>
        <v>0.5</v>
      </c>
      <c r="H48" s="47" t="n">
        <f aca="false">Inputs!$C$109*Inputs!$C$110</f>
        <v>0.5</v>
      </c>
      <c r="I48" s="47" t="n">
        <f aca="false">Inputs!$C$109*Inputs!$C$110</f>
        <v>0.5</v>
      </c>
      <c r="J48" s="47" t="n">
        <f aca="false">Inputs!$C$109*Inputs!$C$110</f>
        <v>0.5</v>
      </c>
      <c r="K48" s="47" t="n">
        <f aca="false">Inputs!$C$109*Inputs!$C$110</f>
        <v>0.5</v>
      </c>
      <c r="L48" s="47" t="n">
        <f aca="false">Inputs!$C$109*Inputs!$C$110</f>
        <v>0.5</v>
      </c>
      <c r="M48" s="47" t="n">
        <f aca="false">Inputs!$C$109*Inputs!$C$110</f>
        <v>0.5</v>
      </c>
      <c r="N48" s="47" t="n">
        <f aca="false">Inputs!$C$109*Inputs!$C$110</f>
        <v>0.5</v>
      </c>
      <c r="O48" s="47" t="n">
        <f aca="false">Inputs!$C$109*Inputs!$C$110</f>
        <v>0.5</v>
      </c>
      <c r="P48" s="48" t="n">
        <f aca="false">SUM(C48:O48)</f>
        <v>6.5</v>
      </c>
    </row>
    <row r="50" customFormat="false" ht="15" hidden="false" customHeight="false" outlineLevel="0" collapsed="false">
      <c r="B50" s="2" t="s">
        <v>435</v>
      </c>
    </row>
    <row r="51" customFormat="false" ht="15" hidden="false" customHeight="false" outlineLevel="0" collapsed="false">
      <c r="B51" s="5" t="s">
        <v>255</v>
      </c>
      <c r="C51" s="6" t="s">
        <v>21</v>
      </c>
      <c r="D51" s="7" t="s">
        <v>89</v>
      </c>
    </row>
    <row r="52" customFormat="false" ht="15" hidden="false" customHeight="false" outlineLevel="0" collapsed="false">
      <c r="B52" s="8" t="s">
        <v>436</v>
      </c>
      <c r="C52" s="37" t="n">
        <f aca="false">MIN($C$46:$O$46)</f>
        <v>-17.0550000000001</v>
      </c>
    </row>
    <row r="53" customFormat="false" ht="15" hidden="false" customHeight="false" outlineLevel="0" collapsed="false">
      <c r="B53" s="8" t="s">
        <v>437</v>
      </c>
      <c r="C53" s="26" t="n">
        <f aca="false">MATCH($C$52,$C$46:$O$46,0)</f>
        <v>13</v>
      </c>
    </row>
    <row r="54" customFormat="false" ht="15" hidden="false" customHeight="false" outlineLevel="0" collapsed="false">
      <c r="B54" s="2" t="s">
        <v>438</v>
      </c>
      <c r="C54" s="39" t="n">
        <f aca="false">Inputs!$C$9-$C$52+Inputs!$C$115</f>
        <v>62.0550000000001</v>
      </c>
    </row>
    <row r="55" customFormat="false" ht="15" hidden="false" customHeight="false" outlineLevel="0" collapsed="false">
      <c r="B55" s="8" t="s">
        <v>439</v>
      </c>
      <c r="C55" s="37" t="n">
        <f aca="false">$C$54/(1-Inputs!$C$116)</f>
        <v>63.9742268041238</v>
      </c>
    </row>
    <row r="56" customFormat="false" ht="15" hidden="false" customHeight="false" outlineLevel="0" collapsed="false">
      <c r="B56" s="2" t="s">
        <v>440</v>
      </c>
      <c r="C56" s="19" t="n">
        <f aca="false">ROUNDUP($C$55/Inputs!$C$118,0)*Inputs!$C$118</f>
        <v>65</v>
      </c>
    </row>
    <row r="57" customFormat="false" ht="15" hidden="false" customHeight="false" outlineLevel="0" collapsed="false">
      <c r="B57" s="8" t="s">
        <v>441</v>
      </c>
      <c r="C57" s="37" t="n">
        <f aca="false">$C$56*Inputs!$C$116</f>
        <v>1.95</v>
      </c>
    </row>
    <row r="58" customFormat="false" ht="15" hidden="false" customHeight="false" outlineLevel="0" collapsed="false">
      <c r="B58" s="8" t="s">
        <v>442</v>
      </c>
      <c r="C58" s="37" t="n">
        <f aca="false">$C$56-$C$57</f>
        <v>63.05</v>
      </c>
    </row>
    <row r="59" customFormat="false" ht="15" hidden="false" customHeight="false" outlineLevel="0" collapsed="false">
      <c r="B59" s="8" t="s">
        <v>443</v>
      </c>
      <c r="C59" s="38" t="n">
        <f aca="false">Inputs!$C$7+Inputs!$C$117</f>
        <v>0.093</v>
      </c>
    </row>
    <row r="60" customFormat="false" ht="15" hidden="false" customHeight="false" outlineLevel="0" collapsed="false">
      <c r="B60" s="8" t="s">
        <v>444</v>
      </c>
      <c r="C60" s="37" t="n">
        <f aca="false">MIN($C$47:$O$47)</f>
        <v>45.9949999999999</v>
      </c>
    </row>
    <row r="62" customFormat="false" ht="15" hidden="false" customHeight="false" outlineLevel="0" collapsed="false">
      <c r="B62" s="2" t="s">
        <v>445</v>
      </c>
    </row>
    <row r="63" customFormat="false" ht="54" hidden="false" customHeight="true" outlineLevel="0" collapsed="false">
      <c r="B63" s="42" t="s">
        <v>446</v>
      </c>
      <c r="C63" s="43" t="s">
        <v>447</v>
      </c>
      <c r="D63" s="43" t="s">
        <v>448</v>
      </c>
      <c r="E63" s="43" t="s">
        <v>449</v>
      </c>
      <c r="F63" s="43" t="s">
        <v>406</v>
      </c>
      <c r="G63" s="43" t="s">
        <v>450</v>
      </c>
      <c r="H63" s="43" t="s">
        <v>451</v>
      </c>
      <c r="I63" s="43" t="s">
        <v>418</v>
      </c>
      <c r="J63" s="43" t="s">
        <v>432</v>
      </c>
      <c r="K63" s="43" t="s">
        <v>452</v>
      </c>
    </row>
    <row r="64" customFormat="false" ht="15" hidden="false" customHeight="false" outlineLevel="0" collapsed="false">
      <c r="B64" s="44" t="n">
        <v>1</v>
      </c>
      <c r="C64" s="26" t="n">
        <f aca="false">MOD(B64-1,Inputs!$C$34)+1</f>
        <v>1</v>
      </c>
      <c r="D64" s="37" t="n">
        <f aca="false">INDEX($C$21:$O$21,1,C64)</f>
        <v>3.45076923076923</v>
      </c>
      <c r="E64" s="37" t="n">
        <f aca="false">IF(B64&gt;Inputs!$C$34,(Inputs!$C$42-Inputs!$C$43)*INDEX(Inputs!$C$56:$O$56,1,C64)-Inputs!$C$44*INDEX(Inputs!$C$57:$O$57,1,C64),0)</f>
        <v>0</v>
      </c>
      <c r="F64" s="37" t="n">
        <f aca="false">D64+E64</f>
        <v>3.45076923076923</v>
      </c>
      <c r="G64" s="37" t="n">
        <f aca="false">Inputs!$C$109*(1-Inputs!$C$110)</f>
        <v>2</v>
      </c>
      <c r="H64" s="37" t="n">
        <f aca="false">IF(B64&lt;=Inputs!$C$34,INDEX(Inputs!$C$128:$O$128,1,B64),0)*(Inputs!$C$112+Inputs!$C$113+Inputs!$C$114*Inputs!$C$45)</f>
        <v>41.8</v>
      </c>
      <c r="I64" s="37" t="n">
        <f aca="false">F64-G64-H64</f>
        <v>-40.3492307692308</v>
      </c>
      <c r="J64" s="37" t="n">
        <f aca="false">$C$36+I64</f>
        <v>-5.96423076923082</v>
      </c>
      <c r="K64" s="37" t="n">
        <f aca="false">J64</f>
        <v>-5.96423076923082</v>
      </c>
    </row>
    <row r="65" customFormat="false" ht="15" hidden="false" customHeight="false" outlineLevel="0" collapsed="false">
      <c r="B65" s="44" t="n">
        <v>2</v>
      </c>
      <c r="C65" s="26" t="n">
        <f aca="false">MOD(B65-1,Inputs!$C$34)+1</f>
        <v>2</v>
      </c>
      <c r="D65" s="37" t="n">
        <f aca="false">INDEX($C$21:$O$21,1,C65)</f>
        <v>-0.949230769230773</v>
      </c>
      <c r="E65" s="37" t="n">
        <f aca="false">IF(B65&gt;Inputs!$C$34,(Inputs!$C$42-Inputs!$C$43)*INDEX(Inputs!$C$56:$O$56,1,C65)-Inputs!$C$44*INDEX(Inputs!$C$57:$O$57,1,C65),0)</f>
        <v>0</v>
      </c>
      <c r="F65" s="37" t="n">
        <f aca="false">D65+E65</f>
        <v>-0.949230769230773</v>
      </c>
      <c r="G65" s="37" t="n">
        <f aca="false">Inputs!$C$109*(1-Inputs!$C$110)</f>
        <v>2</v>
      </c>
      <c r="H65" s="37" t="n">
        <f aca="false">IF(B65&lt;=Inputs!$C$34,INDEX(Inputs!$C$128:$O$128,1,B65),0)*(Inputs!$C$112+Inputs!$C$113+Inputs!$C$114*Inputs!$C$45)</f>
        <v>0</v>
      </c>
      <c r="I65" s="37" t="n">
        <f aca="false">F65-G65-H65</f>
        <v>-2.94923076923077</v>
      </c>
      <c r="J65" s="37" t="n">
        <f aca="false">J64+I65</f>
        <v>-8.9134615384616</v>
      </c>
      <c r="K65" s="37" t="n">
        <f aca="false">MIN(K64,J65)</f>
        <v>-8.9134615384616</v>
      </c>
    </row>
    <row r="66" customFormat="false" ht="15" hidden="false" customHeight="false" outlineLevel="0" collapsed="false">
      <c r="B66" s="44" t="n">
        <v>3</v>
      </c>
      <c r="C66" s="26" t="n">
        <f aca="false">MOD(B66-1,Inputs!$C$34)+1</f>
        <v>3</v>
      </c>
      <c r="D66" s="37" t="n">
        <f aca="false">INDEX($C$21:$O$21,1,C66)</f>
        <v>6.25076923076923</v>
      </c>
      <c r="E66" s="37" t="n">
        <f aca="false">IF(B66&gt;Inputs!$C$34,(Inputs!$C$42-Inputs!$C$43)*INDEX(Inputs!$C$56:$O$56,1,C66)-Inputs!$C$44*INDEX(Inputs!$C$57:$O$57,1,C66),0)</f>
        <v>0</v>
      </c>
      <c r="F66" s="37" t="n">
        <f aca="false">D66+E66</f>
        <v>6.25076923076923</v>
      </c>
      <c r="G66" s="37" t="n">
        <f aca="false">Inputs!$C$109*(1-Inputs!$C$110)</f>
        <v>2</v>
      </c>
      <c r="H66" s="37" t="n">
        <f aca="false">IF(B66&lt;=Inputs!$C$34,INDEX(Inputs!$C$128:$O$128,1,B66),0)*(Inputs!$C$112+Inputs!$C$113+Inputs!$C$114*Inputs!$C$45)</f>
        <v>0</v>
      </c>
      <c r="I66" s="37" t="n">
        <f aca="false">F66-G66-H66</f>
        <v>4.25076923076923</v>
      </c>
      <c r="J66" s="37" t="n">
        <f aca="false">J65+I66</f>
        <v>-4.66269230769237</v>
      </c>
      <c r="K66" s="37" t="n">
        <f aca="false">MIN(K65,J66)</f>
        <v>-8.9134615384616</v>
      </c>
    </row>
    <row r="67" customFormat="false" ht="15" hidden="false" customHeight="false" outlineLevel="0" collapsed="false">
      <c r="B67" s="44" t="n">
        <v>4</v>
      </c>
      <c r="C67" s="26" t="n">
        <f aca="false">MOD(B67-1,Inputs!$C$34)+1</f>
        <v>4</v>
      </c>
      <c r="D67" s="37" t="n">
        <f aca="false">INDEX($C$21:$O$21,1,C67)</f>
        <v>-0.949230769230773</v>
      </c>
      <c r="E67" s="37" t="n">
        <f aca="false">IF(B67&gt;Inputs!$C$34,(Inputs!$C$42-Inputs!$C$43)*INDEX(Inputs!$C$56:$O$56,1,C67)-Inputs!$C$44*INDEX(Inputs!$C$57:$O$57,1,C67),0)</f>
        <v>0</v>
      </c>
      <c r="F67" s="37" t="n">
        <f aca="false">D67+E67</f>
        <v>-0.949230769230773</v>
      </c>
      <c r="G67" s="37" t="n">
        <f aca="false">Inputs!$C$109*(1-Inputs!$C$110)</f>
        <v>2</v>
      </c>
      <c r="H67" s="37" t="n">
        <f aca="false">IF(B67&lt;=Inputs!$C$34,INDEX(Inputs!$C$128:$O$128,1,B67),0)*(Inputs!$C$112+Inputs!$C$113+Inputs!$C$114*Inputs!$C$45)</f>
        <v>0</v>
      </c>
      <c r="I67" s="37" t="n">
        <f aca="false">F67-G67-H67</f>
        <v>-2.94923076923077</v>
      </c>
      <c r="J67" s="37" t="n">
        <f aca="false">J66+I67</f>
        <v>-7.61192307692314</v>
      </c>
      <c r="K67" s="37" t="n">
        <f aca="false">MIN(K66,J67)</f>
        <v>-8.9134615384616</v>
      </c>
    </row>
    <row r="68" customFormat="false" ht="15" hidden="false" customHeight="false" outlineLevel="0" collapsed="false">
      <c r="B68" s="44" t="n">
        <v>5</v>
      </c>
      <c r="C68" s="26" t="n">
        <f aca="false">MOD(B68-1,Inputs!$C$34)+1</f>
        <v>5</v>
      </c>
      <c r="D68" s="37" t="n">
        <f aca="false">INDEX($C$21:$O$21,1,C68)</f>
        <v>1.65076923076923</v>
      </c>
      <c r="E68" s="37" t="n">
        <f aca="false">IF(B68&gt;Inputs!$C$34,(Inputs!$C$42-Inputs!$C$43)*INDEX(Inputs!$C$56:$O$56,1,C68)-Inputs!$C$44*INDEX(Inputs!$C$57:$O$57,1,C68),0)</f>
        <v>0</v>
      </c>
      <c r="F68" s="37" t="n">
        <f aca="false">D68+E68</f>
        <v>1.65076923076923</v>
      </c>
      <c r="G68" s="37" t="n">
        <f aca="false">Inputs!$C$109*(1-Inputs!$C$110)</f>
        <v>2</v>
      </c>
      <c r="H68" s="37" t="n">
        <f aca="false">IF(B68&lt;=Inputs!$C$34,INDEX(Inputs!$C$128:$O$128,1,B68),0)*(Inputs!$C$112+Inputs!$C$113+Inputs!$C$114*Inputs!$C$45)</f>
        <v>0</v>
      </c>
      <c r="I68" s="37" t="n">
        <f aca="false">F68-G68-H68</f>
        <v>-0.349230769230772</v>
      </c>
      <c r="J68" s="37" t="n">
        <f aca="false">J67+I68</f>
        <v>-7.96115384615391</v>
      </c>
      <c r="K68" s="37" t="n">
        <f aca="false">MIN(K67,J68)</f>
        <v>-8.9134615384616</v>
      </c>
    </row>
    <row r="69" customFormat="false" ht="15" hidden="false" customHeight="false" outlineLevel="0" collapsed="false">
      <c r="B69" s="44" t="n">
        <v>6</v>
      </c>
      <c r="C69" s="26" t="n">
        <f aca="false">MOD(B69-1,Inputs!$C$34)+1</f>
        <v>6</v>
      </c>
      <c r="D69" s="37" t="n">
        <f aca="false">INDEX($C$21:$O$21,1,C69)</f>
        <v>-2.74923076923077</v>
      </c>
      <c r="E69" s="37" t="n">
        <f aca="false">IF(B69&gt;Inputs!$C$34,(Inputs!$C$42-Inputs!$C$43)*INDEX(Inputs!$C$56:$O$56,1,C69)-Inputs!$C$44*INDEX(Inputs!$C$57:$O$57,1,C69),0)</f>
        <v>0</v>
      </c>
      <c r="F69" s="37" t="n">
        <f aca="false">D69+E69</f>
        <v>-2.74923076923077</v>
      </c>
      <c r="G69" s="37" t="n">
        <f aca="false">Inputs!$C$109*(1-Inputs!$C$110)</f>
        <v>2</v>
      </c>
      <c r="H69" s="37" t="n">
        <f aca="false">IF(B69&lt;=Inputs!$C$34,INDEX(Inputs!$C$128:$O$128,1,B69),0)*(Inputs!$C$112+Inputs!$C$113+Inputs!$C$114*Inputs!$C$45)</f>
        <v>0</v>
      </c>
      <c r="I69" s="37" t="n">
        <f aca="false">F69-G69-H69</f>
        <v>-4.74923076923077</v>
      </c>
      <c r="J69" s="37" t="n">
        <f aca="false">J68+I69</f>
        <v>-12.7103846153847</v>
      </c>
      <c r="K69" s="37" t="n">
        <f aca="false">MIN(K68,J69)</f>
        <v>-12.7103846153847</v>
      </c>
    </row>
    <row r="70" customFormat="false" ht="15" hidden="false" customHeight="false" outlineLevel="0" collapsed="false">
      <c r="B70" s="44" t="n">
        <v>7</v>
      </c>
      <c r="C70" s="26" t="n">
        <f aca="false">MOD(B70-1,Inputs!$C$34)+1</f>
        <v>7</v>
      </c>
      <c r="D70" s="37" t="n">
        <f aca="false">INDEX($C$21:$O$21,1,C70)</f>
        <v>2.95076923076923</v>
      </c>
      <c r="E70" s="37" t="n">
        <f aca="false">IF(B70&gt;Inputs!$C$34,(Inputs!$C$42-Inputs!$C$43)*INDEX(Inputs!$C$56:$O$56,1,C70)-Inputs!$C$44*INDEX(Inputs!$C$57:$O$57,1,C70),0)</f>
        <v>0</v>
      </c>
      <c r="F70" s="37" t="n">
        <f aca="false">D70+E70</f>
        <v>2.95076923076923</v>
      </c>
      <c r="G70" s="37" t="n">
        <f aca="false">Inputs!$C$109*(1-Inputs!$C$110)</f>
        <v>2</v>
      </c>
      <c r="H70" s="37" t="n">
        <f aca="false">IF(B70&lt;=Inputs!$C$34,INDEX(Inputs!$C$128:$O$128,1,B70),0)*(Inputs!$C$112+Inputs!$C$113+Inputs!$C$114*Inputs!$C$45)</f>
        <v>0</v>
      </c>
      <c r="I70" s="37" t="n">
        <f aca="false">F70-G70-H70</f>
        <v>0.950769230769229</v>
      </c>
      <c r="J70" s="37" t="n">
        <f aca="false">J69+I70</f>
        <v>-11.7596153846155</v>
      </c>
      <c r="K70" s="37" t="n">
        <f aca="false">MIN(K69,J70)</f>
        <v>-12.7103846153847</v>
      </c>
    </row>
    <row r="71" customFormat="false" ht="15" hidden="false" customHeight="false" outlineLevel="0" collapsed="false">
      <c r="B71" s="44" t="n">
        <v>8</v>
      </c>
      <c r="C71" s="26" t="n">
        <f aca="false">MOD(B71-1,Inputs!$C$34)+1</f>
        <v>8</v>
      </c>
      <c r="D71" s="37" t="n">
        <f aca="false">INDEX($C$21:$O$21,1,C71)</f>
        <v>-2.74923076923077</v>
      </c>
      <c r="E71" s="37" t="n">
        <f aca="false">IF(B71&gt;Inputs!$C$34,(Inputs!$C$42-Inputs!$C$43)*INDEX(Inputs!$C$56:$O$56,1,C71)-Inputs!$C$44*INDEX(Inputs!$C$57:$O$57,1,C71),0)</f>
        <v>0</v>
      </c>
      <c r="F71" s="37" t="n">
        <f aca="false">D71+E71</f>
        <v>-2.74923076923077</v>
      </c>
      <c r="G71" s="37" t="n">
        <f aca="false">Inputs!$C$109*(1-Inputs!$C$110)</f>
        <v>2</v>
      </c>
      <c r="H71" s="37" t="n">
        <f aca="false">IF(B71&lt;=Inputs!$C$34,INDEX(Inputs!$C$128:$O$128,1,B71),0)*(Inputs!$C$112+Inputs!$C$113+Inputs!$C$114*Inputs!$C$45)</f>
        <v>0</v>
      </c>
      <c r="I71" s="37" t="n">
        <f aca="false">F71-G71-H71</f>
        <v>-4.74923076923077</v>
      </c>
      <c r="J71" s="37" t="n">
        <f aca="false">J70+I71</f>
        <v>-16.5088461538462</v>
      </c>
      <c r="K71" s="37" t="n">
        <f aca="false">MIN(K70,J71)</f>
        <v>-16.5088461538462</v>
      </c>
    </row>
    <row r="72" customFormat="false" ht="15" hidden="false" customHeight="false" outlineLevel="0" collapsed="false">
      <c r="B72" s="44" t="n">
        <v>9</v>
      </c>
      <c r="C72" s="26" t="n">
        <f aca="false">MOD(B72-1,Inputs!$C$34)+1</f>
        <v>9</v>
      </c>
      <c r="D72" s="37" t="n">
        <f aca="false">INDEX($C$21:$O$21,1,C72)</f>
        <v>3.45076923076923</v>
      </c>
      <c r="E72" s="37" t="n">
        <f aca="false">IF(B72&gt;Inputs!$C$34,(Inputs!$C$42-Inputs!$C$43)*INDEX(Inputs!$C$56:$O$56,1,C72)-Inputs!$C$44*INDEX(Inputs!$C$57:$O$57,1,C72),0)</f>
        <v>0</v>
      </c>
      <c r="F72" s="37" t="n">
        <f aca="false">D72+E72</f>
        <v>3.45076923076923</v>
      </c>
      <c r="G72" s="37" t="n">
        <f aca="false">Inputs!$C$109*(1-Inputs!$C$110)</f>
        <v>2</v>
      </c>
      <c r="H72" s="37" t="n">
        <f aca="false">IF(B72&lt;=Inputs!$C$34,INDEX(Inputs!$C$128:$O$128,1,B72),0)*(Inputs!$C$112+Inputs!$C$113+Inputs!$C$114*Inputs!$C$45)</f>
        <v>0</v>
      </c>
      <c r="I72" s="37" t="n">
        <f aca="false">F72-G72-H72</f>
        <v>1.45076923076923</v>
      </c>
      <c r="J72" s="37" t="n">
        <f aca="false">J71+I72</f>
        <v>-15.058076923077</v>
      </c>
      <c r="K72" s="37" t="n">
        <f aca="false">MIN(K71,J72)</f>
        <v>-16.5088461538462</v>
      </c>
    </row>
    <row r="73" customFormat="false" ht="15" hidden="false" customHeight="false" outlineLevel="0" collapsed="false">
      <c r="B73" s="44" t="n">
        <v>10</v>
      </c>
      <c r="C73" s="26" t="n">
        <f aca="false">MOD(B73-1,Inputs!$C$34)+1</f>
        <v>10</v>
      </c>
      <c r="D73" s="37" t="n">
        <f aca="false">INDEX($C$21:$O$21,1,C73)</f>
        <v>0.250769230769226</v>
      </c>
      <c r="E73" s="37" t="n">
        <f aca="false">IF(B73&gt;Inputs!$C$34,(Inputs!$C$42-Inputs!$C$43)*INDEX(Inputs!$C$56:$O$56,1,C73)-Inputs!$C$44*INDEX(Inputs!$C$57:$O$57,1,C73),0)</f>
        <v>0</v>
      </c>
      <c r="F73" s="37" t="n">
        <f aca="false">D73+E73</f>
        <v>0.250769230769226</v>
      </c>
      <c r="G73" s="37" t="n">
        <f aca="false">Inputs!$C$109*(1-Inputs!$C$110)</f>
        <v>2</v>
      </c>
      <c r="H73" s="37" t="n">
        <f aca="false">IF(B73&lt;=Inputs!$C$34,INDEX(Inputs!$C$128:$O$128,1,B73),0)*(Inputs!$C$112+Inputs!$C$113+Inputs!$C$114*Inputs!$C$45)</f>
        <v>0</v>
      </c>
      <c r="I73" s="37" t="n">
        <f aca="false">F73-G73-H73</f>
        <v>-1.74923076923077</v>
      </c>
      <c r="J73" s="37" t="n">
        <f aca="false">J72+I73</f>
        <v>-16.8073076923078</v>
      </c>
      <c r="K73" s="37" t="n">
        <f aca="false">MIN(K72,J73)</f>
        <v>-16.8073076923078</v>
      </c>
    </row>
    <row r="74" customFormat="false" ht="15" hidden="false" customHeight="false" outlineLevel="0" collapsed="false">
      <c r="B74" s="44" t="n">
        <v>11</v>
      </c>
      <c r="C74" s="26" t="n">
        <f aca="false">MOD(B74-1,Inputs!$C$34)+1</f>
        <v>11</v>
      </c>
      <c r="D74" s="37" t="n">
        <f aca="false">INDEX($C$21:$O$21,1,C74)</f>
        <v>6.25076923076923</v>
      </c>
      <c r="E74" s="37" t="n">
        <f aca="false">IF(B74&gt;Inputs!$C$34,(Inputs!$C$42-Inputs!$C$43)*INDEX(Inputs!$C$56:$O$56,1,C74)-Inputs!$C$44*INDEX(Inputs!$C$57:$O$57,1,C74),0)</f>
        <v>0</v>
      </c>
      <c r="F74" s="37" t="n">
        <f aca="false">D74+E74</f>
        <v>6.25076923076923</v>
      </c>
      <c r="G74" s="37" t="n">
        <f aca="false">Inputs!$C$109*(1-Inputs!$C$110)</f>
        <v>2</v>
      </c>
      <c r="H74" s="37" t="n">
        <f aca="false">IF(B74&lt;=Inputs!$C$34,INDEX(Inputs!$C$128:$O$128,1,B74),0)*(Inputs!$C$112+Inputs!$C$113+Inputs!$C$114*Inputs!$C$45)</f>
        <v>0</v>
      </c>
      <c r="I74" s="37" t="n">
        <f aca="false">F74-G74-H74</f>
        <v>4.25076923076923</v>
      </c>
      <c r="J74" s="37" t="n">
        <f aca="false">J73+I74</f>
        <v>-12.5565384615385</v>
      </c>
      <c r="K74" s="37" t="n">
        <f aca="false">MIN(K73,J74)</f>
        <v>-16.8073076923078</v>
      </c>
    </row>
    <row r="75" customFormat="false" ht="15" hidden="false" customHeight="false" outlineLevel="0" collapsed="false">
      <c r="B75" s="44" t="n">
        <v>12</v>
      </c>
      <c r="C75" s="26" t="n">
        <f aca="false">MOD(B75-1,Inputs!$C$34)+1</f>
        <v>12</v>
      </c>
      <c r="D75" s="37" t="n">
        <f aca="false">INDEX($C$21:$O$21,1,C75)</f>
        <v>-0.949230769230773</v>
      </c>
      <c r="E75" s="37" t="n">
        <f aca="false">IF(B75&gt;Inputs!$C$34,(Inputs!$C$42-Inputs!$C$43)*INDEX(Inputs!$C$56:$O$56,1,C75)-Inputs!$C$44*INDEX(Inputs!$C$57:$O$57,1,C75),0)</f>
        <v>0</v>
      </c>
      <c r="F75" s="37" t="n">
        <f aca="false">D75+E75</f>
        <v>-0.949230769230773</v>
      </c>
      <c r="G75" s="37" t="n">
        <f aca="false">Inputs!$C$109*(1-Inputs!$C$110)</f>
        <v>2</v>
      </c>
      <c r="H75" s="37" t="n">
        <f aca="false">IF(B75&lt;=Inputs!$C$34,INDEX(Inputs!$C$128:$O$128,1,B75),0)*(Inputs!$C$112+Inputs!$C$113+Inputs!$C$114*Inputs!$C$45)</f>
        <v>0</v>
      </c>
      <c r="I75" s="37" t="n">
        <f aca="false">F75-G75-H75</f>
        <v>-2.94923076923077</v>
      </c>
      <c r="J75" s="37" t="n">
        <f aca="false">J74+I75</f>
        <v>-15.5057692307693</v>
      </c>
      <c r="K75" s="37" t="n">
        <f aca="false">MIN(K74,J75)</f>
        <v>-16.8073076923078</v>
      </c>
    </row>
    <row r="76" customFormat="false" ht="15" hidden="false" customHeight="false" outlineLevel="0" collapsed="false">
      <c r="B76" s="44" t="n">
        <v>13</v>
      </c>
      <c r="C76" s="26" t="n">
        <f aca="false">MOD(B76-1,Inputs!$C$34)+1</f>
        <v>13</v>
      </c>
      <c r="D76" s="37" t="n">
        <f aca="false">INDEX($C$21:$O$21,1,C76)</f>
        <v>0.450769230769229</v>
      </c>
      <c r="E76" s="37" t="n">
        <f aca="false">IF(B76&gt;Inputs!$C$34,(Inputs!$C$42-Inputs!$C$43)*INDEX(Inputs!$C$56:$O$56,1,C76)-Inputs!$C$44*INDEX(Inputs!$C$57:$O$57,1,C76),0)</f>
        <v>0</v>
      </c>
      <c r="F76" s="37" t="n">
        <f aca="false">D76+E76</f>
        <v>0.450769230769229</v>
      </c>
      <c r="G76" s="37" t="n">
        <f aca="false">Inputs!$C$109*(1-Inputs!$C$110)</f>
        <v>2</v>
      </c>
      <c r="H76" s="37" t="n">
        <f aca="false">IF(B76&lt;=Inputs!$C$34,INDEX(Inputs!$C$128:$O$128,1,B76),0)*(Inputs!$C$112+Inputs!$C$113+Inputs!$C$114*Inputs!$C$45)</f>
        <v>0</v>
      </c>
      <c r="I76" s="37" t="n">
        <f aca="false">F76-G76-H76</f>
        <v>-1.54923076923077</v>
      </c>
      <c r="J76" s="37" t="n">
        <f aca="false">J75+I76</f>
        <v>-17.0550000000001</v>
      </c>
      <c r="K76" s="37" t="n">
        <f aca="false">MIN(K75,J76)</f>
        <v>-17.0550000000001</v>
      </c>
    </row>
    <row r="77" customFormat="false" ht="15" hidden="false" customHeight="false" outlineLevel="0" collapsed="false">
      <c r="B77" s="44" t="n">
        <v>14</v>
      </c>
      <c r="C77" s="26" t="n">
        <f aca="false">MOD(B77-1,Inputs!$C$34)+1</f>
        <v>1</v>
      </c>
      <c r="D77" s="37" t="n">
        <f aca="false">INDEX($C$21:$O$21,1,C77)</f>
        <v>3.45076923076923</v>
      </c>
      <c r="E77" s="37" t="n">
        <f aca="false">IF(B77&gt;Inputs!$C$34,(Inputs!$C$42-Inputs!$C$43)*INDEX(Inputs!$C$56:$O$56,1,C77)-Inputs!$C$44*INDEX(Inputs!$C$57:$O$57,1,C77),0)</f>
        <v>0</v>
      </c>
      <c r="F77" s="37" t="n">
        <f aca="false">D77+E77</f>
        <v>3.45076923076923</v>
      </c>
      <c r="G77" s="37" t="n">
        <f aca="false">Inputs!$C$109*(1-Inputs!$C$110)</f>
        <v>2</v>
      </c>
      <c r="H77" s="37" t="n">
        <f aca="false">IF(B77&lt;=Inputs!$C$34,INDEX(Inputs!$C$128:$O$128,1,B77),0)*(Inputs!$C$112+Inputs!$C$113+Inputs!$C$114*Inputs!$C$45)</f>
        <v>0</v>
      </c>
      <c r="I77" s="37" t="n">
        <f aca="false">F77-G77-H77</f>
        <v>1.45076923076923</v>
      </c>
      <c r="J77" s="37" t="n">
        <f aca="false">J76+I77</f>
        <v>-15.6042307692309</v>
      </c>
      <c r="K77" s="37" t="n">
        <f aca="false">MIN(K76,J77)</f>
        <v>-17.0550000000001</v>
      </c>
    </row>
    <row r="78" customFormat="false" ht="15" hidden="false" customHeight="false" outlineLevel="0" collapsed="false">
      <c r="B78" s="44" t="n">
        <v>15</v>
      </c>
      <c r="C78" s="26" t="n">
        <f aca="false">MOD(B78-1,Inputs!$C$34)+1</f>
        <v>2</v>
      </c>
      <c r="D78" s="37" t="n">
        <f aca="false">INDEX($C$21:$O$21,1,C78)</f>
        <v>-0.949230769230773</v>
      </c>
      <c r="E78" s="37" t="n">
        <f aca="false">IF(B78&gt;Inputs!$C$34,(Inputs!$C$42-Inputs!$C$43)*INDEX(Inputs!$C$56:$O$56,1,C78)-Inputs!$C$44*INDEX(Inputs!$C$57:$O$57,1,C78),0)</f>
        <v>0</v>
      </c>
      <c r="F78" s="37" t="n">
        <f aca="false">D78+E78</f>
        <v>-0.949230769230773</v>
      </c>
      <c r="G78" s="37" t="n">
        <f aca="false">Inputs!$C$109*(1-Inputs!$C$110)</f>
        <v>2</v>
      </c>
      <c r="H78" s="37" t="n">
        <f aca="false">IF(B78&lt;=Inputs!$C$34,INDEX(Inputs!$C$128:$O$128,1,B78),0)*(Inputs!$C$112+Inputs!$C$113+Inputs!$C$114*Inputs!$C$45)</f>
        <v>0</v>
      </c>
      <c r="I78" s="37" t="n">
        <f aca="false">F78-G78-H78</f>
        <v>-2.94923076923077</v>
      </c>
      <c r="J78" s="37" t="n">
        <f aca="false">J77+I78</f>
        <v>-18.5534615384616</v>
      </c>
      <c r="K78" s="37" t="n">
        <f aca="false">MIN(K77,J78)</f>
        <v>-18.5534615384616</v>
      </c>
    </row>
    <row r="79" customFormat="false" ht="15" hidden="false" customHeight="false" outlineLevel="0" collapsed="false">
      <c r="B79" s="44" t="n">
        <v>16</v>
      </c>
      <c r="C79" s="26" t="n">
        <f aca="false">MOD(B79-1,Inputs!$C$34)+1</f>
        <v>3</v>
      </c>
      <c r="D79" s="37" t="n">
        <f aca="false">INDEX($C$21:$O$21,1,C79)</f>
        <v>6.25076923076923</v>
      </c>
      <c r="E79" s="37" t="n">
        <f aca="false">IF(B79&gt;Inputs!$C$34,(Inputs!$C$42-Inputs!$C$43)*INDEX(Inputs!$C$56:$O$56,1,C79)-Inputs!$C$44*INDEX(Inputs!$C$57:$O$57,1,C79),0)</f>
        <v>0</v>
      </c>
      <c r="F79" s="37" t="n">
        <f aca="false">D79+E79</f>
        <v>6.25076923076923</v>
      </c>
      <c r="G79" s="37" t="n">
        <f aca="false">Inputs!$C$109*(1-Inputs!$C$110)</f>
        <v>2</v>
      </c>
      <c r="H79" s="37" t="n">
        <f aca="false">IF(B79&lt;=Inputs!$C$34,INDEX(Inputs!$C$128:$O$128,1,B79),0)*(Inputs!$C$112+Inputs!$C$113+Inputs!$C$114*Inputs!$C$45)</f>
        <v>0</v>
      </c>
      <c r="I79" s="37" t="n">
        <f aca="false">F79-G79-H79</f>
        <v>4.25076923076923</v>
      </c>
      <c r="J79" s="37" t="n">
        <f aca="false">J78+I79</f>
        <v>-14.3026923076924</v>
      </c>
      <c r="K79" s="37" t="n">
        <f aca="false">MIN(K78,J79)</f>
        <v>-18.5534615384616</v>
      </c>
    </row>
    <row r="80" customFormat="false" ht="15" hidden="false" customHeight="false" outlineLevel="0" collapsed="false">
      <c r="B80" s="44" t="n">
        <v>17</v>
      </c>
      <c r="C80" s="26" t="n">
        <f aca="false">MOD(B80-1,Inputs!$C$34)+1</f>
        <v>4</v>
      </c>
      <c r="D80" s="37" t="n">
        <f aca="false">INDEX($C$21:$O$21,1,C80)</f>
        <v>-0.949230769230773</v>
      </c>
      <c r="E80" s="37" t="n">
        <f aca="false">IF(B80&gt;Inputs!$C$34,(Inputs!$C$42-Inputs!$C$43)*INDEX(Inputs!$C$56:$O$56,1,C80)-Inputs!$C$44*INDEX(Inputs!$C$57:$O$57,1,C80),0)</f>
        <v>0</v>
      </c>
      <c r="F80" s="37" t="n">
        <f aca="false">D80+E80</f>
        <v>-0.949230769230773</v>
      </c>
      <c r="G80" s="37" t="n">
        <f aca="false">Inputs!$C$109*(1-Inputs!$C$110)</f>
        <v>2</v>
      </c>
      <c r="H80" s="37" t="n">
        <f aca="false">IF(B80&lt;=Inputs!$C$34,INDEX(Inputs!$C$128:$O$128,1,B80),0)*(Inputs!$C$112+Inputs!$C$113+Inputs!$C$114*Inputs!$C$45)</f>
        <v>0</v>
      </c>
      <c r="I80" s="37" t="n">
        <f aca="false">F80-G80-H80</f>
        <v>-2.94923076923077</v>
      </c>
      <c r="J80" s="37" t="n">
        <f aca="false">J79+I80</f>
        <v>-17.2519230769232</v>
      </c>
      <c r="K80" s="37" t="n">
        <f aca="false">MIN(K79,J80)</f>
        <v>-18.5534615384616</v>
      </c>
    </row>
    <row r="81" customFormat="false" ht="15" hidden="false" customHeight="false" outlineLevel="0" collapsed="false">
      <c r="B81" s="44" t="n">
        <v>18</v>
      </c>
      <c r="C81" s="26" t="n">
        <f aca="false">MOD(B81-1,Inputs!$C$34)+1</f>
        <v>5</v>
      </c>
      <c r="D81" s="37" t="n">
        <f aca="false">INDEX($C$21:$O$21,1,C81)</f>
        <v>1.65076923076923</v>
      </c>
      <c r="E81" s="37" t="n">
        <f aca="false">IF(B81&gt;Inputs!$C$34,(Inputs!$C$42-Inputs!$C$43)*INDEX(Inputs!$C$56:$O$56,1,C81)-Inputs!$C$44*INDEX(Inputs!$C$57:$O$57,1,C81),0)</f>
        <v>1.8</v>
      </c>
      <c r="F81" s="37" t="n">
        <f aca="false">D81+E81</f>
        <v>3.45076923076923</v>
      </c>
      <c r="G81" s="37" t="n">
        <f aca="false">Inputs!$C$109*(1-Inputs!$C$110)</f>
        <v>2</v>
      </c>
      <c r="H81" s="37" t="n">
        <f aca="false">IF(B81&lt;=Inputs!$C$34,INDEX(Inputs!$C$128:$O$128,1,B81),0)*(Inputs!$C$112+Inputs!$C$113+Inputs!$C$114*Inputs!$C$45)</f>
        <v>0</v>
      </c>
      <c r="I81" s="37" t="n">
        <f aca="false">F81-G81-H81</f>
        <v>1.45076923076923</v>
      </c>
      <c r="J81" s="37" t="n">
        <f aca="false">J80+I81</f>
        <v>-15.801153846154</v>
      </c>
      <c r="K81" s="37" t="n">
        <f aca="false">MIN(K80,J81)</f>
        <v>-18.5534615384616</v>
      </c>
    </row>
    <row r="82" customFormat="false" ht="15" hidden="false" customHeight="false" outlineLevel="0" collapsed="false">
      <c r="B82" s="44" t="n">
        <v>19</v>
      </c>
      <c r="C82" s="26" t="n">
        <f aca="false">MOD(B82-1,Inputs!$C$34)+1</f>
        <v>6</v>
      </c>
      <c r="D82" s="37" t="n">
        <f aca="false">INDEX($C$21:$O$21,1,C82)</f>
        <v>-2.74923076923077</v>
      </c>
      <c r="E82" s="37" t="n">
        <f aca="false">IF(B82&gt;Inputs!$C$34,(Inputs!$C$42-Inputs!$C$43)*INDEX(Inputs!$C$56:$O$56,1,C82)-Inputs!$C$44*INDEX(Inputs!$C$57:$O$57,1,C82),0)</f>
        <v>1.8</v>
      </c>
      <c r="F82" s="37" t="n">
        <f aca="false">D82+E82</f>
        <v>-0.949230769230773</v>
      </c>
      <c r="G82" s="37" t="n">
        <f aca="false">Inputs!$C$109*(1-Inputs!$C$110)</f>
        <v>2</v>
      </c>
      <c r="H82" s="37" t="n">
        <f aca="false">IF(B82&lt;=Inputs!$C$34,INDEX(Inputs!$C$128:$O$128,1,B82),0)*(Inputs!$C$112+Inputs!$C$113+Inputs!$C$114*Inputs!$C$45)</f>
        <v>0</v>
      </c>
      <c r="I82" s="37" t="n">
        <f aca="false">F82-G82-H82</f>
        <v>-2.94923076923077</v>
      </c>
      <c r="J82" s="37" t="n">
        <f aca="false">J81+I82</f>
        <v>-18.7503846153847</v>
      </c>
      <c r="K82" s="37" t="n">
        <f aca="false">MIN(K81,J82)</f>
        <v>-18.7503846153847</v>
      </c>
    </row>
    <row r="83" customFormat="false" ht="15" hidden="false" customHeight="false" outlineLevel="0" collapsed="false">
      <c r="B83" s="44" t="n">
        <v>20</v>
      </c>
      <c r="C83" s="26" t="n">
        <f aca="false">MOD(B83-1,Inputs!$C$34)+1</f>
        <v>7</v>
      </c>
      <c r="D83" s="37" t="n">
        <f aca="false">INDEX($C$21:$O$21,1,C83)</f>
        <v>2.95076923076923</v>
      </c>
      <c r="E83" s="37" t="n">
        <f aca="false">IF(B83&gt;Inputs!$C$34,(Inputs!$C$42-Inputs!$C$43)*INDEX(Inputs!$C$56:$O$56,1,C83)-Inputs!$C$44*INDEX(Inputs!$C$57:$O$57,1,C83),0)</f>
        <v>1.8</v>
      </c>
      <c r="F83" s="37" t="n">
        <f aca="false">D83+E83</f>
        <v>4.75076923076923</v>
      </c>
      <c r="G83" s="37" t="n">
        <f aca="false">Inputs!$C$109*(1-Inputs!$C$110)</f>
        <v>2</v>
      </c>
      <c r="H83" s="37" t="n">
        <f aca="false">IF(B83&lt;=Inputs!$C$34,INDEX(Inputs!$C$128:$O$128,1,B83),0)*(Inputs!$C$112+Inputs!$C$113+Inputs!$C$114*Inputs!$C$45)</f>
        <v>0</v>
      </c>
      <c r="I83" s="37" t="n">
        <f aca="false">F83-G83-H83</f>
        <v>2.75076923076923</v>
      </c>
      <c r="J83" s="37" t="n">
        <f aca="false">J82+I83</f>
        <v>-15.9996153846155</v>
      </c>
      <c r="K83" s="37" t="n">
        <f aca="false">MIN(K82,J83)</f>
        <v>-18.7503846153847</v>
      </c>
    </row>
    <row r="84" customFormat="false" ht="15" hidden="false" customHeight="false" outlineLevel="0" collapsed="false">
      <c r="B84" s="44" t="n">
        <v>21</v>
      </c>
      <c r="C84" s="26" t="n">
        <f aca="false">MOD(B84-1,Inputs!$C$34)+1</f>
        <v>8</v>
      </c>
      <c r="D84" s="37" t="n">
        <f aca="false">INDEX($C$21:$O$21,1,C84)</f>
        <v>-2.74923076923077</v>
      </c>
      <c r="E84" s="37" t="n">
        <f aca="false">IF(B84&gt;Inputs!$C$34,(Inputs!$C$42-Inputs!$C$43)*INDEX(Inputs!$C$56:$O$56,1,C84)-Inputs!$C$44*INDEX(Inputs!$C$57:$O$57,1,C84),0)</f>
        <v>1.8</v>
      </c>
      <c r="F84" s="37" t="n">
        <f aca="false">D84+E84</f>
        <v>-0.949230769230773</v>
      </c>
      <c r="G84" s="37" t="n">
        <f aca="false">Inputs!$C$109*(1-Inputs!$C$110)</f>
        <v>2</v>
      </c>
      <c r="H84" s="37" t="n">
        <f aca="false">IF(B84&lt;=Inputs!$C$34,INDEX(Inputs!$C$128:$O$128,1,B84),0)*(Inputs!$C$112+Inputs!$C$113+Inputs!$C$114*Inputs!$C$45)</f>
        <v>0</v>
      </c>
      <c r="I84" s="37" t="n">
        <f aca="false">F84-G84-H84</f>
        <v>-2.94923076923077</v>
      </c>
      <c r="J84" s="37" t="n">
        <f aca="false">J83+I84</f>
        <v>-18.9488461538463</v>
      </c>
      <c r="K84" s="37" t="n">
        <f aca="false">MIN(K83,J84)</f>
        <v>-18.9488461538463</v>
      </c>
    </row>
    <row r="85" customFormat="false" ht="15" hidden="false" customHeight="false" outlineLevel="0" collapsed="false">
      <c r="B85" s="44" t="n">
        <v>22</v>
      </c>
      <c r="C85" s="26" t="n">
        <f aca="false">MOD(B85-1,Inputs!$C$34)+1</f>
        <v>9</v>
      </c>
      <c r="D85" s="37" t="n">
        <f aca="false">INDEX($C$21:$O$21,1,C85)</f>
        <v>3.45076923076923</v>
      </c>
      <c r="E85" s="37" t="n">
        <f aca="false">IF(B85&gt;Inputs!$C$34,(Inputs!$C$42-Inputs!$C$43)*INDEX(Inputs!$C$56:$O$56,1,C85)-Inputs!$C$44*INDEX(Inputs!$C$57:$O$57,1,C85),0)</f>
        <v>0</v>
      </c>
      <c r="F85" s="37" t="n">
        <f aca="false">D85+E85</f>
        <v>3.45076923076923</v>
      </c>
      <c r="G85" s="37" t="n">
        <f aca="false">Inputs!$C$109*(1-Inputs!$C$110)</f>
        <v>2</v>
      </c>
      <c r="H85" s="37" t="n">
        <f aca="false">IF(B85&lt;=Inputs!$C$34,INDEX(Inputs!$C$128:$O$128,1,B85),0)*(Inputs!$C$112+Inputs!$C$113+Inputs!$C$114*Inputs!$C$45)</f>
        <v>0</v>
      </c>
      <c r="I85" s="37" t="n">
        <f aca="false">F85-G85-H85</f>
        <v>1.45076923076923</v>
      </c>
      <c r="J85" s="37" t="n">
        <f aca="false">J84+I85</f>
        <v>-17.498076923077</v>
      </c>
      <c r="K85" s="37" t="n">
        <f aca="false">MIN(K84,J85)</f>
        <v>-18.9488461538463</v>
      </c>
    </row>
    <row r="86" customFormat="false" ht="15" hidden="false" customHeight="false" outlineLevel="0" collapsed="false">
      <c r="B86" s="44" t="n">
        <v>23</v>
      </c>
      <c r="C86" s="26" t="n">
        <f aca="false">MOD(B86-1,Inputs!$C$34)+1</f>
        <v>10</v>
      </c>
      <c r="D86" s="37" t="n">
        <f aca="false">INDEX($C$21:$O$21,1,C86)</f>
        <v>0.250769230769226</v>
      </c>
      <c r="E86" s="37" t="n">
        <f aca="false">IF(B86&gt;Inputs!$C$34,(Inputs!$C$42-Inputs!$C$43)*INDEX(Inputs!$C$56:$O$56,1,C86)-Inputs!$C$44*INDEX(Inputs!$C$57:$O$57,1,C86),0)</f>
        <v>-1.2</v>
      </c>
      <c r="F86" s="37" t="n">
        <f aca="false">D86+E86</f>
        <v>-0.949230769230774</v>
      </c>
      <c r="G86" s="37" t="n">
        <f aca="false">Inputs!$C$109*(1-Inputs!$C$110)</f>
        <v>2</v>
      </c>
      <c r="H86" s="37" t="n">
        <f aca="false">IF(B86&lt;=Inputs!$C$34,INDEX(Inputs!$C$128:$O$128,1,B86),0)*(Inputs!$C$112+Inputs!$C$113+Inputs!$C$114*Inputs!$C$45)</f>
        <v>0</v>
      </c>
      <c r="I86" s="37" t="n">
        <f aca="false">F86-G86-H86</f>
        <v>-2.94923076923077</v>
      </c>
      <c r="J86" s="37" t="n">
        <f aca="false">J85+I86</f>
        <v>-20.4473076923078</v>
      </c>
      <c r="K86" s="37" t="n">
        <f aca="false">MIN(K85,J86)</f>
        <v>-20.4473076923078</v>
      </c>
    </row>
    <row r="87" customFormat="false" ht="15" hidden="false" customHeight="false" outlineLevel="0" collapsed="false">
      <c r="B87" s="44" t="n">
        <v>24</v>
      </c>
      <c r="C87" s="26" t="n">
        <f aca="false">MOD(B87-1,Inputs!$C$34)+1</f>
        <v>11</v>
      </c>
      <c r="D87" s="37" t="n">
        <f aca="false">INDEX($C$21:$O$21,1,C87)</f>
        <v>6.25076923076923</v>
      </c>
      <c r="E87" s="37" t="n">
        <f aca="false">IF(B87&gt;Inputs!$C$34,(Inputs!$C$42-Inputs!$C$43)*INDEX(Inputs!$C$56:$O$56,1,C87)-Inputs!$C$44*INDEX(Inputs!$C$57:$O$57,1,C87),0)</f>
        <v>0</v>
      </c>
      <c r="F87" s="37" t="n">
        <f aca="false">D87+E87</f>
        <v>6.25076923076923</v>
      </c>
      <c r="G87" s="37" t="n">
        <f aca="false">Inputs!$C$109*(1-Inputs!$C$110)</f>
        <v>2</v>
      </c>
      <c r="H87" s="37" t="n">
        <f aca="false">IF(B87&lt;=Inputs!$C$34,INDEX(Inputs!$C$128:$O$128,1,B87),0)*(Inputs!$C$112+Inputs!$C$113+Inputs!$C$114*Inputs!$C$45)</f>
        <v>0</v>
      </c>
      <c r="I87" s="37" t="n">
        <f aca="false">F87-G87-H87</f>
        <v>4.25076923076923</v>
      </c>
      <c r="J87" s="37" t="n">
        <f aca="false">J86+I87</f>
        <v>-16.1965384615386</v>
      </c>
      <c r="K87" s="37" t="n">
        <f aca="false">MIN(K86,J87)</f>
        <v>-20.4473076923078</v>
      </c>
    </row>
    <row r="88" customFormat="false" ht="15" hidden="false" customHeight="false" outlineLevel="0" collapsed="false">
      <c r="B88" s="44" t="n">
        <v>25</v>
      </c>
      <c r="C88" s="26" t="n">
        <f aca="false">MOD(B88-1,Inputs!$C$34)+1</f>
        <v>12</v>
      </c>
      <c r="D88" s="37" t="n">
        <f aca="false">INDEX($C$21:$O$21,1,C88)</f>
        <v>-0.949230769230773</v>
      </c>
      <c r="E88" s="37" t="n">
        <f aca="false">IF(B88&gt;Inputs!$C$34,(Inputs!$C$42-Inputs!$C$43)*INDEX(Inputs!$C$56:$O$56,1,C88)-Inputs!$C$44*INDEX(Inputs!$C$57:$O$57,1,C88),0)</f>
        <v>0</v>
      </c>
      <c r="F88" s="37" t="n">
        <f aca="false">D88+E88</f>
        <v>-0.949230769230773</v>
      </c>
      <c r="G88" s="37" t="n">
        <f aca="false">Inputs!$C$109*(1-Inputs!$C$110)</f>
        <v>2</v>
      </c>
      <c r="H88" s="37" t="n">
        <f aca="false">IF(B88&lt;=Inputs!$C$34,INDEX(Inputs!$C$128:$O$128,1,B88),0)*(Inputs!$C$112+Inputs!$C$113+Inputs!$C$114*Inputs!$C$45)</f>
        <v>0</v>
      </c>
      <c r="I88" s="37" t="n">
        <f aca="false">F88-G88-H88</f>
        <v>-2.94923076923077</v>
      </c>
      <c r="J88" s="37" t="n">
        <f aca="false">J87+I88</f>
        <v>-19.1457692307694</v>
      </c>
      <c r="K88" s="37" t="n">
        <f aca="false">MIN(K87,J88)</f>
        <v>-20.4473076923078</v>
      </c>
    </row>
    <row r="89" customFormat="false" ht="15" hidden="false" customHeight="false" outlineLevel="0" collapsed="false">
      <c r="B89" s="44" t="n">
        <v>26</v>
      </c>
      <c r="C89" s="26" t="n">
        <f aca="false">MOD(B89-1,Inputs!$C$34)+1</f>
        <v>13</v>
      </c>
      <c r="D89" s="37" t="n">
        <f aca="false">INDEX($C$21:$O$21,1,C89)</f>
        <v>0.450769230769229</v>
      </c>
      <c r="E89" s="37" t="n">
        <f aca="false">IF(B89&gt;Inputs!$C$34,(Inputs!$C$42-Inputs!$C$43)*INDEX(Inputs!$C$56:$O$56,1,C89)-Inputs!$C$44*INDEX(Inputs!$C$57:$O$57,1,C89),0)</f>
        <v>0</v>
      </c>
      <c r="F89" s="37" t="n">
        <f aca="false">D89+E89</f>
        <v>0.450769230769229</v>
      </c>
      <c r="G89" s="37" t="n">
        <f aca="false">Inputs!$C$109*(1-Inputs!$C$110)</f>
        <v>2</v>
      </c>
      <c r="H89" s="37" t="n">
        <f aca="false">IF(B89&lt;=Inputs!$C$34,INDEX(Inputs!$C$128:$O$128,1,B89),0)*(Inputs!$C$112+Inputs!$C$113+Inputs!$C$114*Inputs!$C$45)</f>
        <v>0</v>
      </c>
      <c r="I89" s="37" t="n">
        <f aca="false">F89-G89-H89</f>
        <v>-1.54923076923077</v>
      </c>
      <c r="J89" s="37" t="n">
        <f aca="false">J88+I89</f>
        <v>-20.6950000000001</v>
      </c>
      <c r="K89" s="37" t="n">
        <f aca="false">MIN(K88,J89)</f>
        <v>-20.6950000000001</v>
      </c>
    </row>
    <row r="90" customFormat="false" ht="15" hidden="false" customHeight="false" outlineLevel="0" collapsed="false">
      <c r="B90" s="44" t="n">
        <v>27</v>
      </c>
      <c r="C90" s="26" t="n">
        <f aca="false">MOD(B90-1,Inputs!$C$34)+1</f>
        <v>1</v>
      </c>
      <c r="D90" s="37" t="n">
        <f aca="false">INDEX($C$21:$O$21,1,C90)</f>
        <v>3.45076923076923</v>
      </c>
      <c r="E90" s="37" t="n">
        <f aca="false">IF(B90&gt;Inputs!$C$34,(Inputs!$C$42-Inputs!$C$43)*INDEX(Inputs!$C$56:$O$56,1,C90)-Inputs!$C$44*INDEX(Inputs!$C$57:$O$57,1,C90),0)</f>
        <v>0</v>
      </c>
      <c r="F90" s="37" t="n">
        <f aca="false">D90+E90</f>
        <v>3.45076923076923</v>
      </c>
      <c r="G90" s="37" t="n">
        <f aca="false">Inputs!$C$109*(1-Inputs!$C$110)</f>
        <v>2</v>
      </c>
      <c r="H90" s="37" t="n">
        <f aca="false">IF(B90&lt;=Inputs!$C$34,INDEX(Inputs!$C$128:$O$128,1,B90),0)*(Inputs!$C$112+Inputs!$C$113+Inputs!$C$114*Inputs!$C$45)</f>
        <v>0</v>
      </c>
      <c r="I90" s="37" t="n">
        <f aca="false">F90-G90-H90</f>
        <v>1.45076923076923</v>
      </c>
      <c r="J90" s="37" t="n">
        <f aca="false">J89+I90</f>
        <v>-19.2442307692309</v>
      </c>
      <c r="K90" s="37" t="n">
        <f aca="false">MIN(K89,J90)</f>
        <v>-20.6950000000001</v>
      </c>
    </row>
    <row r="91" customFormat="false" ht="15" hidden="false" customHeight="false" outlineLevel="0" collapsed="false">
      <c r="B91" s="44" t="n">
        <v>28</v>
      </c>
      <c r="C91" s="26" t="n">
        <f aca="false">MOD(B91-1,Inputs!$C$34)+1</f>
        <v>2</v>
      </c>
      <c r="D91" s="37" t="n">
        <f aca="false">INDEX($C$21:$O$21,1,C91)</f>
        <v>-0.949230769230773</v>
      </c>
      <c r="E91" s="37" t="n">
        <f aca="false">IF(B91&gt;Inputs!$C$34,(Inputs!$C$42-Inputs!$C$43)*INDEX(Inputs!$C$56:$O$56,1,C91)-Inputs!$C$44*INDEX(Inputs!$C$57:$O$57,1,C91),0)</f>
        <v>0</v>
      </c>
      <c r="F91" s="37" t="n">
        <f aca="false">D91+E91</f>
        <v>-0.949230769230773</v>
      </c>
      <c r="G91" s="37" t="n">
        <f aca="false">Inputs!$C$109*(1-Inputs!$C$110)</f>
        <v>2</v>
      </c>
      <c r="H91" s="37" t="n">
        <f aca="false">IF(B91&lt;=Inputs!$C$34,INDEX(Inputs!$C$128:$O$128,1,B91),0)*(Inputs!$C$112+Inputs!$C$113+Inputs!$C$114*Inputs!$C$45)</f>
        <v>0</v>
      </c>
      <c r="I91" s="37" t="n">
        <f aca="false">F91-G91-H91</f>
        <v>-2.94923076923077</v>
      </c>
      <c r="J91" s="37" t="n">
        <f aca="false">J90+I91</f>
        <v>-22.1934615384617</v>
      </c>
      <c r="K91" s="37" t="n">
        <f aca="false">MIN(K90,J91)</f>
        <v>-22.1934615384617</v>
      </c>
    </row>
    <row r="92" customFormat="false" ht="15" hidden="false" customHeight="false" outlineLevel="0" collapsed="false">
      <c r="B92" s="44" t="n">
        <v>29</v>
      </c>
      <c r="C92" s="26" t="n">
        <f aca="false">MOD(B92-1,Inputs!$C$34)+1</f>
        <v>3</v>
      </c>
      <c r="D92" s="37" t="n">
        <f aca="false">INDEX($C$21:$O$21,1,C92)</f>
        <v>6.25076923076923</v>
      </c>
      <c r="E92" s="37" t="n">
        <f aca="false">IF(B92&gt;Inputs!$C$34,(Inputs!$C$42-Inputs!$C$43)*INDEX(Inputs!$C$56:$O$56,1,C92)-Inputs!$C$44*INDEX(Inputs!$C$57:$O$57,1,C92),0)</f>
        <v>0</v>
      </c>
      <c r="F92" s="37" t="n">
        <f aca="false">D92+E92</f>
        <v>6.25076923076923</v>
      </c>
      <c r="G92" s="37" t="n">
        <f aca="false">Inputs!$C$109*(1-Inputs!$C$110)</f>
        <v>2</v>
      </c>
      <c r="H92" s="37" t="n">
        <f aca="false">IF(B92&lt;=Inputs!$C$34,INDEX(Inputs!$C$128:$O$128,1,B92),0)*(Inputs!$C$112+Inputs!$C$113+Inputs!$C$114*Inputs!$C$45)</f>
        <v>0</v>
      </c>
      <c r="I92" s="37" t="n">
        <f aca="false">F92-G92-H92</f>
        <v>4.25076923076923</v>
      </c>
      <c r="J92" s="37" t="n">
        <f aca="false">J91+I92</f>
        <v>-17.9426923076924</v>
      </c>
      <c r="K92" s="37" t="n">
        <f aca="false">MIN(K91,J92)</f>
        <v>-22.1934615384617</v>
      </c>
    </row>
    <row r="93" customFormat="false" ht="15" hidden="false" customHeight="false" outlineLevel="0" collapsed="false">
      <c r="B93" s="44" t="n">
        <v>30</v>
      </c>
      <c r="C93" s="26" t="n">
        <f aca="false">MOD(B93-1,Inputs!$C$34)+1</f>
        <v>4</v>
      </c>
      <c r="D93" s="37" t="n">
        <f aca="false">INDEX($C$21:$O$21,1,C93)</f>
        <v>-0.949230769230773</v>
      </c>
      <c r="E93" s="37" t="n">
        <f aca="false">IF(B93&gt;Inputs!$C$34,(Inputs!$C$42-Inputs!$C$43)*INDEX(Inputs!$C$56:$O$56,1,C93)-Inputs!$C$44*INDEX(Inputs!$C$57:$O$57,1,C93),0)</f>
        <v>0</v>
      </c>
      <c r="F93" s="37" t="n">
        <f aca="false">D93+E93</f>
        <v>-0.949230769230773</v>
      </c>
      <c r="G93" s="37" t="n">
        <f aca="false">Inputs!$C$109*(1-Inputs!$C$110)</f>
        <v>2</v>
      </c>
      <c r="H93" s="37" t="n">
        <f aca="false">IF(B93&lt;=Inputs!$C$34,INDEX(Inputs!$C$128:$O$128,1,B93),0)*(Inputs!$C$112+Inputs!$C$113+Inputs!$C$114*Inputs!$C$45)</f>
        <v>0</v>
      </c>
      <c r="I93" s="37" t="n">
        <f aca="false">F93-G93-H93</f>
        <v>-2.94923076923077</v>
      </c>
      <c r="J93" s="37" t="n">
        <f aca="false">J92+I93</f>
        <v>-20.8919230769232</v>
      </c>
      <c r="K93" s="37" t="n">
        <f aca="false">MIN(K92,J93)</f>
        <v>-22.1934615384617</v>
      </c>
    </row>
    <row r="94" customFormat="false" ht="15" hidden="false" customHeight="false" outlineLevel="0" collapsed="false">
      <c r="B94" s="44" t="n">
        <v>31</v>
      </c>
      <c r="C94" s="26" t="n">
        <f aca="false">MOD(B94-1,Inputs!$C$34)+1</f>
        <v>5</v>
      </c>
      <c r="D94" s="37" t="n">
        <f aca="false">INDEX($C$21:$O$21,1,C94)</f>
        <v>1.65076923076923</v>
      </c>
      <c r="E94" s="37" t="n">
        <f aca="false">IF(B94&gt;Inputs!$C$34,(Inputs!$C$42-Inputs!$C$43)*INDEX(Inputs!$C$56:$O$56,1,C94)-Inputs!$C$44*INDEX(Inputs!$C$57:$O$57,1,C94),0)</f>
        <v>1.8</v>
      </c>
      <c r="F94" s="37" t="n">
        <f aca="false">D94+E94</f>
        <v>3.45076923076923</v>
      </c>
      <c r="G94" s="37" t="n">
        <f aca="false">Inputs!$C$109*(1-Inputs!$C$110)</f>
        <v>2</v>
      </c>
      <c r="H94" s="37" t="n">
        <f aca="false">IF(B94&lt;=Inputs!$C$34,INDEX(Inputs!$C$128:$O$128,1,B94),0)*(Inputs!$C$112+Inputs!$C$113+Inputs!$C$114*Inputs!$C$45)</f>
        <v>0</v>
      </c>
      <c r="I94" s="37" t="n">
        <f aca="false">F94-G94-H94</f>
        <v>1.45076923076923</v>
      </c>
      <c r="J94" s="37" t="n">
        <f aca="false">J93+I94</f>
        <v>-19.441153846154</v>
      </c>
      <c r="K94" s="37" t="n">
        <f aca="false">MIN(K93,J94)</f>
        <v>-22.1934615384617</v>
      </c>
    </row>
    <row r="95" customFormat="false" ht="15" hidden="false" customHeight="false" outlineLevel="0" collapsed="false">
      <c r="B95" s="44" t="n">
        <v>32</v>
      </c>
      <c r="C95" s="26" t="n">
        <f aca="false">MOD(B95-1,Inputs!$C$34)+1</f>
        <v>6</v>
      </c>
      <c r="D95" s="37" t="n">
        <f aca="false">INDEX($C$21:$O$21,1,C95)</f>
        <v>-2.74923076923077</v>
      </c>
      <c r="E95" s="37" t="n">
        <f aca="false">IF(B95&gt;Inputs!$C$34,(Inputs!$C$42-Inputs!$C$43)*INDEX(Inputs!$C$56:$O$56,1,C95)-Inputs!$C$44*INDEX(Inputs!$C$57:$O$57,1,C95),0)</f>
        <v>1.8</v>
      </c>
      <c r="F95" s="37" t="n">
        <f aca="false">D95+E95</f>
        <v>-0.949230769230773</v>
      </c>
      <c r="G95" s="37" t="n">
        <f aca="false">Inputs!$C$109*(1-Inputs!$C$110)</f>
        <v>2</v>
      </c>
      <c r="H95" s="37" t="n">
        <f aca="false">IF(B95&lt;=Inputs!$C$34,INDEX(Inputs!$C$128:$O$128,1,B95),0)*(Inputs!$C$112+Inputs!$C$113+Inputs!$C$114*Inputs!$C$45)</f>
        <v>0</v>
      </c>
      <c r="I95" s="37" t="n">
        <f aca="false">F95-G95-H95</f>
        <v>-2.94923076923077</v>
      </c>
      <c r="J95" s="37" t="n">
        <f aca="false">J94+I95</f>
        <v>-22.3903846153848</v>
      </c>
      <c r="K95" s="37" t="n">
        <f aca="false">MIN(K94,J95)</f>
        <v>-22.3903846153848</v>
      </c>
    </row>
    <row r="96" customFormat="false" ht="15" hidden="false" customHeight="false" outlineLevel="0" collapsed="false">
      <c r="B96" s="44" t="n">
        <v>33</v>
      </c>
      <c r="C96" s="26" t="n">
        <f aca="false">MOD(B96-1,Inputs!$C$34)+1</f>
        <v>7</v>
      </c>
      <c r="D96" s="37" t="n">
        <f aca="false">INDEX($C$21:$O$21,1,C96)</f>
        <v>2.95076923076923</v>
      </c>
      <c r="E96" s="37" t="n">
        <f aca="false">IF(B96&gt;Inputs!$C$34,(Inputs!$C$42-Inputs!$C$43)*INDEX(Inputs!$C$56:$O$56,1,C96)-Inputs!$C$44*INDEX(Inputs!$C$57:$O$57,1,C96),0)</f>
        <v>1.8</v>
      </c>
      <c r="F96" s="37" t="n">
        <f aca="false">D96+E96</f>
        <v>4.75076923076923</v>
      </c>
      <c r="G96" s="37" t="n">
        <f aca="false">Inputs!$C$109*(1-Inputs!$C$110)</f>
        <v>2</v>
      </c>
      <c r="H96" s="37" t="n">
        <f aca="false">IF(B96&lt;=Inputs!$C$34,INDEX(Inputs!$C$128:$O$128,1,B96),0)*(Inputs!$C$112+Inputs!$C$113+Inputs!$C$114*Inputs!$C$45)</f>
        <v>0</v>
      </c>
      <c r="I96" s="37" t="n">
        <f aca="false">F96-G96-H96</f>
        <v>2.75076923076923</v>
      </c>
      <c r="J96" s="37" t="n">
        <f aca="false">J95+I96</f>
        <v>-19.6396153846155</v>
      </c>
      <c r="K96" s="37" t="n">
        <f aca="false">MIN(K95,J96)</f>
        <v>-22.3903846153848</v>
      </c>
    </row>
    <row r="97" customFormat="false" ht="15" hidden="false" customHeight="false" outlineLevel="0" collapsed="false">
      <c r="B97" s="44" t="n">
        <v>34</v>
      </c>
      <c r="C97" s="26" t="n">
        <f aca="false">MOD(B97-1,Inputs!$C$34)+1</f>
        <v>8</v>
      </c>
      <c r="D97" s="37" t="n">
        <f aca="false">INDEX($C$21:$O$21,1,C97)</f>
        <v>-2.74923076923077</v>
      </c>
      <c r="E97" s="37" t="n">
        <f aca="false">IF(B97&gt;Inputs!$C$34,(Inputs!$C$42-Inputs!$C$43)*INDEX(Inputs!$C$56:$O$56,1,C97)-Inputs!$C$44*INDEX(Inputs!$C$57:$O$57,1,C97),0)</f>
        <v>1.8</v>
      </c>
      <c r="F97" s="37" t="n">
        <f aca="false">D97+E97</f>
        <v>-0.949230769230773</v>
      </c>
      <c r="G97" s="37" t="n">
        <f aca="false">Inputs!$C$109*(1-Inputs!$C$110)</f>
        <v>2</v>
      </c>
      <c r="H97" s="37" t="n">
        <f aca="false">IF(B97&lt;=Inputs!$C$34,INDEX(Inputs!$C$128:$O$128,1,B97),0)*(Inputs!$C$112+Inputs!$C$113+Inputs!$C$114*Inputs!$C$45)</f>
        <v>0</v>
      </c>
      <c r="I97" s="37" t="n">
        <f aca="false">F97-G97-H97</f>
        <v>-2.94923076923077</v>
      </c>
      <c r="J97" s="37" t="n">
        <f aca="false">J96+I97</f>
        <v>-22.5888461538463</v>
      </c>
      <c r="K97" s="37" t="n">
        <f aca="false">MIN(K96,J97)</f>
        <v>-22.5888461538463</v>
      </c>
    </row>
    <row r="98" customFormat="false" ht="15" hidden="false" customHeight="false" outlineLevel="0" collapsed="false">
      <c r="B98" s="44" t="n">
        <v>35</v>
      </c>
      <c r="C98" s="26" t="n">
        <f aca="false">MOD(B98-1,Inputs!$C$34)+1</f>
        <v>9</v>
      </c>
      <c r="D98" s="37" t="n">
        <f aca="false">INDEX($C$21:$O$21,1,C98)</f>
        <v>3.45076923076923</v>
      </c>
      <c r="E98" s="37" t="n">
        <f aca="false">IF(B98&gt;Inputs!$C$34,(Inputs!$C$42-Inputs!$C$43)*INDEX(Inputs!$C$56:$O$56,1,C98)-Inputs!$C$44*INDEX(Inputs!$C$57:$O$57,1,C98),0)</f>
        <v>0</v>
      </c>
      <c r="F98" s="37" t="n">
        <f aca="false">D98+E98</f>
        <v>3.45076923076923</v>
      </c>
      <c r="G98" s="37" t="n">
        <f aca="false">Inputs!$C$109*(1-Inputs!$C$110)</f>
        <v>2</v>
      </c>
      <c r="H98" s="37" t="n">
        <f aca="false">IF(B98&lt;=Inputs!$C$34,INDEX(Inputs!$C$128:$O$128,1,B98),0)*(Inputs!$C$112+Inputs!$C$113+Inputs!$C$114*Inputs!$C$45)</f>
        <v>0</v>
      </c>
      <c r="I98" s="37" t="n">
        <f aca="false">F98-G98-H98</f>
        <v>1.45076923076923</v>
      </c>
      <c r="J98" s="37" t="n">
        <f aca="false">J97+I98</f>
        <v>-21.1380769230771</v>
      </c>
      <c r="K98" s="37" t="n">
        <f aca="false">MIN(K97,J98)</f>
        <v>-22.5888461538463</v>
      </c>
    </row>
    <row r="99" customFormat="false" ht="15" hidden="false" customHeight="false" outlineLevel="0" collapsed="false">
      <c r="B99" s="44" t="n">
        <v>36</v>
      </c>
      <c r="C99" s="26" t="n">
        <f aca="false">MOD(B99-1,Inputs!$C$34)+1</f>
        <v>10</v>
      </c>
      <c r="D99" s="37" t="n">
        <f aca="false">INDEX($C$21:$O$21,1,C99)</f>
        <v>0.250769230769226</v>
      </c>
      <c r="E99" s="37" t="n">
        <f aca="false">IF(B99&gt;Inputs!$C$34,(Inputs!$C$42-Inputs!$C$43)*INDEX(Inputs!$C$56:$O$56,1,C99)-Inputs!$C$44*INDEX(Inputs!$C$57:$O$57,1,C99),0)</f>
        <v>-1.2</v>
      </c>
      <c r="F99" s="37" t="n">
        <f aca="false">D99+E99</f>
        <v>-0.949230769230774</v>
      </c>
      <c r="G99" s="37" t="n">
        <f aca="false">Inputs!$C$109*(1-Inputs!$C$110)</f>
        <v>2</v>
      </c>
      <c r="H99" s="37" t="n">
        <f aca="false">IF(B99&lt;=Inputs!$C$34,INDEX(Inputs!$C$128:$O$128,1,B99),0)*(Inputs!$C$112+Inputs!$C$113+Inputs!$C$114*Inputs!$C$45)</f>
        <v>0</v>
      </c>
      <c r="I99" s="37" t="n">
        <f aca="false">F99-G99-H99</f>
        <v>-2.94923076923077</v>
      </c>
      <c r="J99" s="37" t="n">
        <f aca="false">J98+I99</f>
        <v>-24.0873076923079</v>
      </c>
      <c r="K99" s="37" t="n">
        <f aca="false">MIN(K98,J99)</f>
        <v>-24.0873076923079</v>
      </c>
    </row>
    <row r="100" customFormat="false" ht="15" hidden="false" customHeight="false" outlineLevel="0" collapsed="false">
      <c r="B100" s="44" t="n">
        <v>37</v>
      </c>
      <c r="C100" s="26" t="n">
        <f aca="false">MOD(B100-1,Inputs!$C$34)+1</f>
        <v>11</v>
      </c>
      <c r="D100" s="37" t="n">
        <f aca="false">INDEX($C$21:$O$21,1,C100)</f>
        <v>6.25076923076923</v>
      </c>
      <c r="E100" s="37" t="n">
        <f aca="false">IF(B100&gt;Inputs!$C$34,(Inputs!$C$42-Inputs!$C$43)*INDEX(Inputs!$C$56:$O$56,1,C100)-Inputs!$C$44*INDEX(Inputs!$C$57:$O$57,1,C100),0)</f>
        <v>0</v>
      </c>
      <c r="F100" s="37" t="n">
        <f aca="false">D100+E100</f>
        <v>6.25076923076923</v>
      </c>
      <c r="G100" s="37" t="n">
        <f aca="false">Inputs!$C$109*(1-Inputs!$C$110)</f>
        <v>2</v>
      </c>
      <c r="H100" s="37" t="n">
        <f aca="false">IF(B100&lt;=Inputs!$C$34,INDEX(Inputs!$C$128:$O$128,1,B100),0)*(Inputs!$C$112+Inputs!$C$113+Inputs!$C$114*Inputs!$C$45)</f>
        <v>0</v>
      </c>
      <c r="I100" s="37" t="n">
        <f aca="false">F100-G100-H100</f>
        <v>4.25076923076923</v>
      </c>
      <c r="J100" s="37" t="n">
        <f aca="false">J99+I100</f>
        <v>-19.8365384615386</v>
      </c>
      <c r="K100" s="37" t="n">
        <f aca="false">MIN(K99,J100)</f>
        <v>-24.0873076923079</v>
      </c>
    </row>
    <row r="101" customFormat="false" ht="15" hidden="false" customHeight="false" outlineLevel="0" collapsed="false">
      <c r="B101" s="44" t="n">
        <v>38</v>
      </c>
      <c r="C101" s="26" t="n">
        <f aca="false">MOD(B101-1,Inputs!$C$34)+1</f>
        <v>12</v>
      </c>
      <c r="D101" s="37" t="n">
        <f aca="false">INDEX($C$21:$O$21,1,C101)</f>
        <v>-0.949230769230773</v>
      </c>
      <c r="E101" s="37" t="n">
        <f aca="false">IF(B101&gt;Inputs!$C$34,(Inputs!$C$42-Inputs!$C$43)*INDEX(Inputs!$C$56:$O$56,1,C101)-Inputs!$C$44*INDEX(Inputs!$C$57:$O$57,1,C101),0)</f>
        <v>0</v>
      </c>
      <c r="F101" s="37" t="n">
        <f aca="false">D101+E101</f>
        <v>-0.949230769230773</v>
      </c>
      <c r="G101" s="37" t="n">
        <f aca="false">Inputs!$C$109*(1-Inputs!$C$110)</f>
        <v>2</v>
      </c>
      <c r="H101" s="37" t="n">
        <f aca="false">IF(B101&lt;=Inputs!$C$34,INDEX(Inputs!$C$128:$O$128,1,B101),0)*(Inputs!$C$112+Inputs!$C$113+Inputs!$C$114*Inputs!$C$45)</f>
        <v>0</v>
      </c>
      <c r="I101" s="37" t="n">
        <f aca="false">F101-G101-H101</f>
        <v>-2.94923076923077</v>
      </c>
      <c r="J101" s="37" t="n">
        <f aca="false">J100+I101</f>
        <v>-22.7857692307694</v>
      </c>
      <c r="K101" s="37" t="n">
        <f aca="false">MIN(K100,J101)</f>
        <v>-24.0873076923079</v>
      </c>
    </row>
    <row r="102" customFormat="false" ht="15" hidden="false" customHeight="false" outlineLevel="0" collapsed="false">
      <c r="B102" s="44" t="n">
        <v>39</v>
      </c>
      <c r="C102" s="26" t="n">
        <f aca="false">MOD(B102-1,Inputs!$C$34)+1</f>
        <v>13</v>
      </c>
      <c r="D102" s="37" t="n">
        <f aca="false">INDEX($C$21:$O$21,1,C102)</f>
        <v>0.450769230769229</v>
      </c>
      <c r="E102" s="37" t="n">
        <f aca="false">IF(B102&gt;Inputs!$C$34,(Inputs!$C$42-Inputs!$C$43)*INDEX(Inputs!$C$56:$O$56,1,C102)-Inputs!$C$44*INDEX(Inputs!$C$57:$O$57,1,C102),0)</f>
        <v>0</v>
      </c>
      <c r="F102" s="37" t="n">
        <f aca="false">D102+E102</f>
        <v>0.450769230769229</v>
      </c>
      <c r="G102" s="37" t="n">
        <f aca="false">Inputs!$C$109*(1-Inputs!$C$110)</f>
        <v>2</v>
      </c>
      <c r="H102" s="37" t="n">
        <f aca="false">IF(B102&lt;=Inputs!$C$34,INDEX(Inputs!$C$128:$O$128,1,B102),0)*(Inputs!$C$112+Inputs!$C$113+Inputs!$C$114*Inputs!$C$45)</f>
        <v>0</v>
      </c>
      <c r="I102" s="37" t="n">
        <f aca="false">F102-G102-H102</f>
        <v>-1.54923076923077</v>
      </c>
      <c r="J102" s="37" t="n">
        <f aca="false">J101+I102</f>
        <v>-24.3350000000002</v>
      </c>
      <c r="K102" s="37" t="n">
        <f aca="false">MIN(K101,J102)</f>
        <v>-24.3350000000002</v>
      </c>
    </row>
    <row r="104" customFormat="false" ht="15" hidden="false" customHeight="false" outlineLevel="0" collapsed="false">
      <c r="B104" s="2" t="s">
        <v>453</v>
      </c>
    </row>
    <row r="105" customFormat="false" ht="15" hidden="false" customHeight="false" outlineLevel="0" collapsed="false">
      <c r="B105" s="5" t="s">
        <v>255</v>
      </c>
      <c r="C105" s="6" t="s">
        <v>21</v>
      </c>
      <c r="D105" s="7" t="s">
        <v>89</v>
      </c>
    </row>
    <row r="106" customFormat="false" ht="15" hidden="false" customHeight="false" outlineLevel="0" collapsed="false">
      <c r="B106" s="8" t="s">
        <v>454</v>
      </c>
      <c r="C106" s="41" t="n">
        <f aca="false">J76-O46</f>
        <v>0</v>
      </c>
    </row>
    <row r="107" customFormat="false" ht="15" hidden="false" customHeight="false" outlineLevel="0" collapsed="false">
      <c r="B107" s="8" t="s">
        <v>455</v>
      </c>
      <c r="C107" s="26" t="n">
        <f aca="false">Inputs!$C$119</f>
        <v>12</v>
      </c>
    </row>
    <row r="108" customFormat="false" ht="15" hidden="false" customHeight="false" outlineLevel="0" collapsed="false">
      <c r="B108" s="8" t="s">
        <v>456</v>
      </c>
      <c r="C108" s="37" t="n">
        <f aca="false">INDEX($J$64:$J$102,$C$107)</f>
        <v>-15.5057692307693</v>
      </c>
    </row>
    <row r="109" customFormat="false" ht="15" hidden="false" customHeight="false" outlineLevel="0" collapsed="false">
      <c r="B109" s="2" t="s">
        <v>457</v>
      </c>
      <c r="C109" s="39" t="n">
        <f aca="false">$C$108+$C$58</f>
        <v>47.5442307692307</v>
      </c>
    </row>
    <row r="110" customFormat="false" ht="15" hidden="false" customHeight="false" outlineLevel="0" collapsed="false">
      <c r="B110" s="2" t="s">
        <v>458</v>
      </c>
      <c r="C110" s="39" t="n">
        <f aca="false">MAX(0,$C$109-Inputs!$C$9)</f>
        <v>22.5442307692307</v>
      </c>
    </row>
    <row r="111" customFormat="false" ht="15" hidden="false" customHeight="false" outlineLevel="0" collapsed="false">
      <c r="B111" s="8" t="s">
        <v>266</v>
      </c>
      <c r="C111" s="33" t="n">
        <f aca="false">$C$56*$C$59*$C$107/Inputs!$C$32</f>
        <v>1.395</v>
      </c>
    </row>
    <row r="112" customFormat="false" ht="15" hidden="false" customHeight="false" outlineLevel="0" collapsed="false">
      <c r="B112" s="8" t="s">
        <v>459</v>
      </c>
      <c r="C112" s="37" t="n">
        <f aca="false">Inputs!$C$109*Inputs!$C$110*$C$107</f>
        <v>6</v>
      </c>
    </row>
    <row r="113" customFormat="false" ht="15" hidden="false" customHeight="false" outlineLevel="0" collapsed="false">
      <c r="B113" s="8" t="s">
        <v>460</v>
      </c>
      <c r="C113" s="37" t="n">
        <f aca="false">$C$112+Inputs!$C$111</f>
        <v>14</v>
      </c>
      <c r="D113" s="4" t="s">
        <v>461</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8"/>
    <col collapsed="false" customWidth="true" hidden="false" outlineLevel="0" max="6" min="3" style="0" width="12"/>
    <col collapsed="false" customWidth="true" hidden="false" outlineLevel="0" max="7" min="7" style="0" width="44"/>
    <col collapsed="false" customWidth="true" hidden="false" outlineLevel="0" max="39" min="8" style="0" width="11"/>
  </cols>
  <sheetData>
    <row r="1" customFormat="false" ht="6" hidden="false" customHeight="true" outlineLevel="0" collapsed="false"/>
    <row r="2" customFormat="false" ht="15" hidden="false" customHeight="false" outlineLevel="0" collapsed="false">
      <c r="B2" s="1" t="s">
        <v>462</v>
      </c>
    </row>
    <row r="3" customFormat="false" ht="15" hidden="false" customHeight="false" outlineLevel="0" collapsed="false">
      <c r="B3" s="4" t="s">
        <v>463</v>
      </c>
    </row>
    <row r="5" customFormat="false" ht="15" hidden="false" customHeight="false" outlineLevel="0" collapsed="false">
      <c r="B5" s="5" t="s">
        <v>28</v>
      </c>
      <c r="C5" s="6" t="s">
        <v>464</v>
      </c>
      <c r="D5" s="6" t="s">
        <v>465</v>
      </c>
      <c r="E5" s="6" t="s">
        <v>466</v>
      </c>
      <c r="F5" s="6" t="s">
        <v>467</v>
      </c>
      <c r="G5" s="7" t="s">
        <v>89</v>
      </c>
    </row>
    <row r="6" customFormat="false" ht="15" hidden="false" customHeight="false" outlineLevel="0" collapsed="false">
      <c r="B6" s="8" t="s">
        <v>468</v>
      </c>
      <c r="C6" s="26" t="n">
        <f aca="false">Inputs!$C$120</f>
        <v>7</v>
      </c>
      <c r="D6" s="26" t="n">
        <f aca="false">Inputs!$C$119</f>
        <v>12</v>
      </c>
      <c r="E6" s="26" t="n">
        <f aca="false">Inputs!$C$121</f>
        <v>39</v>
      </c>
      <c r="F6" s="26" t="n">
        <f aca="false">E6-D6</f>
        <v>27</v>
      </c>
      <c r="G6" s="4"/>
    </row>
    <row r="7" customFormat="false" ht="15" hidden="false" customHeight="false" outlineLevel="0" collapsed="false">
      <c r="B7" s="8" t="s">
        <v>469</v>
      </c>
      <c r="C7" s="21" t="n">
        <f aca="false">Inputs!$C$109*C6+Inputs!$C$111</f>
        <v>25.5</v>
      </c>
      <c r="D7" s="21" t="n">
        <f aca="false">Inputs!$C$109*D6+Inputs!$C$111</f>
        <v>38</v>
      </c>
      <c r="E7" s="21" t="n">
        <f aca="false">Inputs!$C$109*E6+Inputs!$C$111</f>
        <v>105.5</v>
      </c>
      <c r="F7" s="21" t="n">
        <f aca="false">E7-D7</f>
        <v>67.5</v>
      </c>
      <c r="G7" s="4"/>
    </row>
    <row r="8" customFormat="false" ht="15" hidden="false" customHeight="false" outlineLevel="0" collapsed="false">
      <c r="B8" s="8" t="s">
        <v>470</v>
      </c>
      <c r="C8" s="26" t="n">
        <f aca="false">MAX(C6,Inputs!$C$34)</f>
        <v>13</v>
      </c>
      <c r="D8" s="26" t="n">
        <f aca="false">MAX(D6,Inputs!$C$34)</f>
        <v>13</v>
      </c>
      <c r="E8" s="26" t="n">
        <f aca="false">MAX(E6,Inputs!$C$34)</f>
        <v>39</v>
      </c>
      <c r="G8" s="4"/>
    </row>
    <row r="9" customFormat="false" ht="15" hidden="false" customHeight="false" outlineLevel="0" collapsed="false">
      <c r="B9" s="8" t="s">
        <v>471</v>
      </c>
      <c r="C9" s="37" t="n">
        <f aca="false">INDEX(DIP!$K$64:$K$102,C8)</f>
        <v>-17.0550000000001</v>
      </c>
      <c r="D9" s="37" t="n">
        <f aca="false">INDEX(DIP!$K$64:$K$102,D8)</f>
        <v>-17.0550000000001</v>
      </c>
      <c r="E9" s="37" t="n">
        <f aca="false">INDEX(DIP!$K$64:$K$102,E8)</f>
        <v>-24.3350000000002</v>
      </c>
      <c r="G9" s="4"/>
    </row>
    <row r="10" customFormat="false" ht="15" hidden="false" customHeight="false" outlineLevel="0" collapsed="false">
      <c r="B10" s="8" t="s">
        <v>472</v>
      </c>
      <c r="C10" s="37" t="n">
        <f aca="false">Inputs!$C$9-C9+Inputs!$C$115</f>
        <v>62.0550000000001</v>
      </c>
      <c r="D10" s="37" t="n">
        <f aca="false">Inputs!$C$9-D9+Inputs!$C$115</f>
        <v>62.0550000000001</v>
      </c>
      <c r="E10" s="37" t="n">
        <f aca="false">Inputs!$C$9-E9+Inputs!$C$115</f>
        <v>69.3350000000002</v>
      </c>
      <c r="G10" s="4"/>
    </row>
    <row r="11" customFormat="false" ht="15" hidden="false" customHeight="false" outlineLevel="0" collapsed="false">
      <c r="B11" s="8" t="s">
        <v>473</v>
      </c>
      <c r="C11" s="21" t="n">
        <f aca="false">ROUNDUP(C10/(1-Inputs!$C$116)/Inputs!$C$118,0)*Inputs!$C$118</f>
        <v>65</v>
      </c>
      <c r="D11" s="21" t="n">
        <f aca="false">ROUNDUP(D10/(1-Inputs!$C$116)/Inputs!$C$118,0)*Inputs!$C$118</f>
        <v>65</v>
      </c>
      <c r="E11" s="21" t="n">
        <f aca="false">ROUNDUP(E10/(1-Inputs!$C$116)/Inputs!$C$118,0)*Inputs!$C$118</f>
        <v>75</v>
      </c>
      <c r="F11" s="21" t="n">
        <f aca="false">E11-D11</f>
        <v>10</v>
      </c>
      <c r="G11" s="4"/>
    </row>
    <row r="12" customFormat="false" ht="15" hidden="false" customHeight="false" outlineLevel="0" collapsed="false">
      <c r="B12" s="8" t="s">
        <v>441</v>
      </c>
      <c r="C12" s="37" t="n">
        <f aca="false">C11*Inputs!$C$116</f>
        <v>1.95</v>
      </c>
      <c r="D12" s="37" t="n">
        <f aca="false">D11*Inputs!$C$116</f>
        <v>1.95</v>
      </c>
      <c r="E12" s="37" t="n">
        <f aca="false">E11*Inputs!$C$116</f>
        <v>2.25</v>
      </c>
      <c r="F12" s="37" t="n">
        <f aca="false">E12-D12</f>
        <v>0.3</v>
      </c>
      <c r="G12" s="4"/>
    </row>
    <row r="13" customFormat="false" ht="15" hidden="false" customHeight="false" outlineLevel="0" collapsed="false">
      <c r="B13" s="8" t="s">
        <v>474</v>
      </c>
      <c r="C13" s="37" t="n">
        <f aca="false">C11*DIP!$C$59*C6/Inputs!$C$32</f>
        <v>0.81375</v>
      </c>
      <c r="D13" s="37" t="n">
        <f aca="false">D11*DIP!$C$59*D6/Inputs!$C$32</f>
        <v>1.395</v>
      </c>
      <c r="E13" s="37" t="n">
        <f aca="false">E11*DIP!$C$59*E6/Inputs!$C$32</f>
        <v>5.23125</v>
      </c>
      <c r="F13" s="37" t="n">
        <f aca="false">E13-D13</f>
        <v>3.83625</v>
      </c>
      <c r="G13" s="4"/>
    </row>
    <row r="14" customFormat="false" ht="15" hidden="false" customHeight="false" outlineLevel="0" collapsed="false">
      <c r="B14" s="8" t="s">
        <v>475</v>
      </c>
      <c r="C14" s="20" t="n">
        <f aca="false">Inputs!$C$122</f>
        <v>0.005</v>
      </c>
      <c r="D14" s="20" t="n">
        <f aca="false">Inputs!$C$123</f>
        <v>0.01</v>
      </c>
      <c r="E14" s="20" t="n">
        <f aca="false">Inputs!$C$124</f>
        <v>0.03</v>
      </c>
      <c r="G14" s="4"/>
    </row>
    <row r="15" customFormat="false" ht="15" hidden="false" customHeight="false" outlineLevel="0" collapsed="false">
      <c r="B15" s="8" t="s">
        <v>476</v>
      </c>
      <c r="C15" s="37" t="n">
        <f aca="false">Inputs!$C$69*C14</f>
        <v>5.25</v>
      </c>
      <c r="D15" s="37" t="n">
        <f aca="false">Inputs!$C$69*D14</f>
        <v>10.5</v>
      </c>
      <c r="E15" s="37" t="n">
        <f aca="false">Inputs!$C$69*E14</f>
        <v>31.5</v>
      </c>
      <c r="F15" s="37" t="n">
        <f aca="false">E15-D15</f>
        <v>21</v>
      </c>
      <c r="G15" s="4"/>
    </row>
    <row r="16" customFormat="false" ht="15" hidden="false" customHeight="false" outlineLevel="0" collapsed="false">
      <c r="B16" s="8" t="s">
        <v>477</v>
      </c>
      <c r="C16" s="33" t="n">
        <f aca="false">C15*Inputs!$C$125</f>
        <v>1.575</v>
      </c>
      <c r="D16" s="33" t="n">
        <f aca="false">D15*Inputs!$C$125</f>
        <v>3.15</v>
      </c>
      <c r="E16" s="33" t="n">
        <f aca="false">E15*Inputs!$C$125</f>
        <v>9.45</v>
      </c>
      <c r="F16" s="33" t="n">
        <f aca="false">E16-D16</f>
        <v>6.3</v>
      </c>
      <c r="G16" s="4"/>
    </row>
    <row r="17" customFormat="false" ht="15" hidden="false" customHeight="false" outlineLevel="0" collapsed="false">
      <c r="B17" s="8" t="s">
        <v>478</v>
      </c>
      <c r="C17" s="37" t="n">
        <f aca="false">C16*Inputs!$C$76</f>
        <v>11.025</v>
      </c>
      <c r="D17" s="37" t="n">
        <f aca="false">D16*Inputs!$C$76</f>
        <v>22.05</v>
      </c>
      <c r="E17" s="37" t="n">
        <f aca="false">E16*Inputs!$C$76</f>
        <v>66.15</v>
      </c>
      <c r="F17" s="37" t="n">
        <f aca="false">E17-D17</f>
        <v>44.1</v>
      </c>
      <c r="G17" s="4"/>
    </row>
    <row r="18" customFormat="false" ht="15" hidden="false" customHeight="false" outlineLevel="0" collapsed="false">
      <c r="B18" s="2" t="s">
        <v>479</v>
      </c>
      <c r="C18" s="19" t="n">
        <f aca="false">C7+C12+C13+C17</f>
        <v>39.28875</v>
      </c>
      <c r="D18" s="19" t="n">
        <f aca="false">D7+D12+D13+D17</f>
        <v>63.395</v>
      </c>
      <c r="E18" s="19" t="n">
        <f aca="false">E7+E12+E13+E17</f>
        <v>179.13125</v>
      </c>
      <c r="F18" s="19" t="n">
        <f aca="false">E18-D18</f>
        <v>115.73625</v>
      </c>
      <c r="G18" s="4"/>
    </row>
    <row r="20" customFormat="false" ht="15" hidden="false" customHeight="false" outlineLevel="0" collapsed="false">
      <c r="B20" s="5" t="s">
        <v>480</v>
      </c>
      <c r="C20" s="6" t="s">
        <v>21</v>
      </c>
      <c r="D20" s="6"/>
      <c r="E20" s="6"/>
      <c r="F20" s="6"/>
      <c r="G20" s="7" t="s">
        <v>89</v>
      </c>
    </row>
    <row r="21" customFormat="false" ht="15" hidden="false" customHeight="false" outlineLevel="0" collapsed="false">
      <c r="B21" s="2" t="s">
        <v>481</v>
      </c>
      <c r="C21" s="19" t="n">
        <f aca="false">F18</f>
        <v>115.73625</v>
      </c>
    </row>
    <row r="22" customFormat="false" ht="15" hidden="false" customHeight="false" outlineLevel="0" collapsed="false">
      <c r="B22" s="8" t="s">
        <v>482</v>
      </c>
      <c r="C22" s="20" t="n">
        <f aca="false">$C$21/Waterfall!$C$26</f>
        <v>0.120541871945849</v>
      </c>
    </row>
    <row r="23" customFormat="false" ht="15" hidden="false" customHeight="false" outlineLevel="0" collapsed="false">
      <c r="B23" s="8" t="s">
        <v>483</v>
      </c>
      <c r="C23" s="50" t="n">
        <f aca="false">F7/$C$21</f>
        <v>0.583222629038007</v>
      </c>
    </row>
    <row r="24" customFormat="false" ht="15" hidden="false" customHeight="false" outlineLevel="0" collapsed="false">
      <c r="B24" s="8" t="s">
        <v>484</v>
      </c>
      <c r="C24" s="50" t="n">
        <f aca="false">F17/$C$21</f>
        <v>0.381038784304831</v>
      </c>
    </row>
    <row r="25" customFormat="false" ht="15" hidden="false" customHeight="false" outlineLevel="0" collapsed="false">
      <c r="B25" s="8" t="s">
        <v>485</v>
      </c>
      <c r="C25" s="37" t="n">
        <f aca="false">F12+F13</f>
        <v>4.13625</v>
      </c>
    </row>
    <row r="26" customFormat="false" ht="15" hidden="false" customHeight="false" outlineLevel="0" collapsed="false">
      <c r="B26" s="2" t="s">
        <v>486</v>
      </c>
      <c r="C26" s="19" t="n">
        <f aca="false">D18-C18</f>
        <v>24.10625</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9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60"/>
    <col collapsed="false" customWidth="true" hidden="false" outlineLevel="0" max="7" min="3" style="0" width="12"/>
    <col collapsed="false" customWidth="true" hidden="false" outlineLevel="0" max="8" min="8" style="0" width="40"/>
    <col collapsed="false" customWidth="true" hidden="false" outlineLevel="0" max="39" min="9" style="0" width="11"/>
  </cols>
  <sheetData>
    <row r="1" customFormat="false" ht="6" hidden="false" customHeight="true" outlineLevel="0" collapsed="false"/>
    <row r="2" customFormat="false" ht="15" hidden="false" customHeight="false" outlineLevel="0" collapsed="false">
      <c r="B2" s="1" t="s">
        <v>487</v>
      </c>
    </row>
    <row r="3" customFormat="false" ht="15" hidden="false" customHeight="false" outlineLevel="0" collapsed="false">
      <c r="B3" s="4" t="s">
        <v>488</v>
      </c>
    </row>
    <row r="5" customFormat="false" ht="15" hidden="false" customHeight="false" outlineLevel="0" collapsed="false">
      <c r="B5" s="2" t="s">
        <v>489</v>
      </c>
    </row>
    <row r="6" customFormat="false" ht="15" hidden="false" customHeight="false" outlineLevel="0" collapsed="false">
      <c r="B6" s="5" t="s">
        <v>255</v>
      </c>
      <c r="C6" s="6" t="s">
        <v>21</v>
      </c>
      <c r="D6" s="7" t="s">
        <v>89</v>
      </c>
    </row>
    <row r="7" customFormat="false" ht="15" hidden="false" customHeight="false" outlineLevel="0" collapsed="false">
      <c r="B7" s="22" t="s">
        <v>490</v>
      </c>
      <c r="C7" s="21" t="n">
        <f aca="false">Waterfall!$C$7</f>
        <v>65</v>
      </c>
    </row>
    <row r="8" customFormat="false" ht="15" hidden="false" customHeight="false" outlineLevel="0" collapsed="false">
      <c r="B8" s="22" t="s">
        <v>491</v>
      </c>
      <c r="C8" s="33" t="n">
        <f aca="false">Waterfall!$C$8</f>
        <v>1.395</v>
      </c>
    </row>
    <row r="9" customFormat="false" ht="15" hidden="false" customHeight="false" outlineLevel="0" collapsed="false">
      <c r="B9" s="22" t="s">
        <v>492</v>
      </c>
      <c r="C9" s="21" t="n">
        <f aca="false">Waterfall!$C$9</f>
        <v>14</v>
      </c>
    </row>
    <row r="10" customFormat="false" ht="15" hidden="false" customHeight="false" outlineLevel="0" collapsed="false">
      <c r="B10" s="22" t="s">
        <v>493</v>
      </c>
      <c r="C10" s="21" t="n">
        <f aca="false">Waterfall!$C$11</f>
        <v>7</v>
      </c>
    </row>
    <row r="11" customFormat="false" ht="15" hidden="false" customHeight="false" outlineLevel="0" collapsed="false">
      <c r="B11" s="22" t="s">
        <v>494</v>
      </c>
      <c r="C11" s="21" t="n">
        <f aca="false">Waterfall!$C$12</f>
        <v>5</v>
      </c>
    </row>
    <row r="12" customFormat="false" ht="15" hidden="false" customHeight="false" outlineLevel="0" collapsed="false">
      <c r="B12" s="23" t="s">
        <v>495</v>
      </c>
      <c r="C12" s="36" t="n">
        <f aca="false">SUM($C$7:$C$11)</f>
        <v>92.395</v>
      </c>
    </row>
    <row r="13" customFormat="false" ht="15" hidden="false" customHeight="false" outlineLevel="0" collapsed="false">
      <c r="B13" s="22" t="s">
        <v>496</v>
      </c>
      <c r="C13" s="21" t="n">
        <f aca="false">Inputs!$C$149</f>
        <v>50</v>
      </c>
    </row>
    <row r="14" customFormat="false" ht="15" hidden="false" customHeight="false" outlineLevel="0" collapsed="false">
      <c r="B14" s="22" t="s">
        <v>497</v>
      </c>
      <c r="C14" s="37" t="n">
        <f aca="false">Waterfall!$C$15</f>
        <v>22.5442307692307</v>
      </c>
      <c r="D14" s="4" t="s">
        <v>498</v>
      </c>
    </row>
    <row r="15" customFormat="false" ht="15" hidden="false" customHeight="false" outlineLevel="0" collapsed="false">
      <c r="B15" s="22" t="s">
        <v>499</v>
      </c>
      <c r="C15" s="37" t="n">
        <f aca="false">$C$12-$C$13-$C$14</f>
        <v>19.8507692307693</v>
      </c>
      <c r="D15" s="4" t="s">
        <v>500</v>
      </c>
    </row>
    <row r="16" customFormat="false" ht="15" hidden="false" customHeight="false" outlineLevel="0" collapsed="false">
      <c r="B16" s="23" t="s">
        <v>501</v>
      </c>
      <c r="C16" s="36" t="n">
        <f aca="false">$C$13+$C$14+$C$15</f>
        <v>92.395</v>
      </c>
    </row>
    <row r="17" customFormat="false" ht="15" hidden="false" customHeight="false" outlineLevel="0" collapsed="false">
      <c r="B17" s="8" t="s">
        <v>184</v>
      </c>
      <c r="C17" s="21" t="n">
        <f aca="false">Inputs!$C$146</f>
        <v>75</v>
      </c>
    </row>
    <row r="18" customFormat="false" ht="15" hidden="false" customHeight="false" outlineLevel="0" collapsed="false">
      <c r="B18" s="8" t="s">
        <v>502</v>
      </c>
      <c r="C18" s="37" t="n">
        <f aca="false">$C$17-$C$15</f>
        <v>55.1492307692307</v>
      </c>
      <c r="D18" s="4" t="s">
        <v>503</v>
      </c>
    </row>
    <row r="19" customFormat="false" ht="15" hidden="false" customHeight="false" outlineLevel="0" collapsed="false">
      <c r="B19" s="8" t="s">
        <v>504</v>
      </c>
      <c r="C19" s="26" t="n">
        <f aca="false">IF($C$15&lt;=$C$17,1,0)</f>
        <v>1</v>
      </c>
    </row>
    <row r="21" customFormat="false" ht="15" hidden="false" customHeight="false" outlineLevel="0" collapsed="false">
      <c r="B21" s="2" t="s">
        <v>505</v>
      </c>
    </row>
    <row r="22" customFormat="false" ht="15" hidden="false" customHeight="false" outlineLevel="0" collapsed="false">
      <c r="B22" s="5" t="s">
        <v>255</v>
      </c>
      <c r="C22" s="6" t="s">
        <v>21</v>
      </c>
      <c r="D22" s="7" t="s">
        <v>89</v>
      </c>
    </row>
    <row r="23" customFormat="false" ht="15" hidden="false" customHeight="false" outlineLevel="0" collapsed="false">
      <c r="B23" s="8" t="s">
        <v>506</v>
      </c>
      <c r="C23" s="21" t="n">
        <f aca="false">Inputs!C83</f>
        <v>138</v>
      </c>
    </row>
    <row r="24" customFormat="false" ht="15" hidden="false" customHeight="false" outlineLevel="0" collapsed="false">
      <c r="B24" s="2" t="s">
        <v>507</v>
      </c>
      <c r="C24" s="19" t="n">
        <f aca="false">ROUND((Inputs!$C$147*$C$23-$C$15)/Inputs!$C$148,0)*Inputs!$C$148</f>
        <v>395</v>
      </c>
      <c r="D24" s="4" t="s">
        <v>508</v>
      </c>
    </row>
    <row r="25" customFormat="false" ht="15" hidden="false" customHeight="false" outlineLevel="0" collapsed="false">
      <c r="B25" s="2" t="s">
        <v>509</v>
      </c>
      <c r="C25" s="39" t="n">
        <f aca="false">$C$15+$C$24</f>
        <v>414.850769230769</v>
      </c>
    </row>
    <row r="26" customFormat="false" ht="15" hidden="false" customHeight="false" outlineLevel="0" collapsed="false">
      <c r="B26" s="8" t="s">
        <v>510</v>
      </c>
      <c r="C26" s="51" t="n">
        <f aca="false">$C$25/$C$23</f>
        <v>3.00616499442586</v>
      </c>
    </row>
    <row r="28" customFormat="false" ht="15" hidden="false" customHeight="false" outlineLevel="0" collapsed="false">
      <c r="B28" s="2" t="s">
        <v>511</v>
      </c>
    </row>
    <row r="29" customFormat="false" ht="15" hidden="false" customHeight="false" outlineLevel="0" collapsed="false">
      <c r="B29" s="5" t="s">
        <v>255</v>
      </c>
      <c r="C29" s="6" t="s">
        <v>21</v>
      </c>
      <c r="D29" s="7" t="s">
        <v>89</v>
      </c>
    </row>
    <row r="30" customFormat="false" ht="15" hidden="false" customHeight="false" outlineLevel="0" collapsed="false">
      <c r="B30" s="8" t="s">
        <v>512</v>
      </c>
      <c r="C30" s="21" t="n">
        <f aca="false">Multiples!$C$16</f>
        <v>975</v>
      </c>
    </row>
    <row r="31" customFormat="false" ht="15" hidden="false" customHeight="false" outlineLevel="0" collapsed="false">
      <c r="B31" s="8" t="s">
        <v>513</v>
      </c>
      <c r="C31" s="37" t="n">
        <f aca="false">$C$30-$C$25</f>
        <v>560.149230769231</v>
      </c>
    </row>
    <row r="32" customFormat="false" ht="15" hidden="false" customHeight="false" outlineLevel="0" collapsed="false">
      <c r="B32" s="2" t="s">
        <v>514</v>
      </c>
      <c r="C32" s="39" t="n">
        <f aca="false">$C$31-Inputs!$C$149</f>
        <v>510.149230769231</v>
      </c>
    </row>
    <row r="33" customFormat="false" ht="15" hidden="false" customHeight="false" outlineLevel="0" collapsed="false">
      <c r="B33" s="8" t="s">
        <v>515</v>
      </c>
      <c r="C33" s="21" t="n">
        <f aca="false">Waterfall!J67</f>
        <v>851.953831171394</v>
      </c>
    </row>
    <row r="34" customFormat="false" ht="15" hidden="false" customHeight="false" outlineLevel="0" collapsed="false">
      <c r="B34" s="8" t="s">
        <v>516</v>
      </c>
      <c r="C34" s="21" t="n">
        <f aca="false">Waterfall!J69</f>
        <v>53.1953995978372</v>
      </c>
    </row>
    <row r="35" customFormat="false" ht="15" hidden="false" customHeight="false" outlineLevel="0" collapsed="false">
      <c r="B35" s="8" t="s">
        <v>517</v>
      </c>
      <c r="C35" s="37" t="n">
        <f aca="false">$C$33-$C$24</f>
        <v>456.953831171394</v>
      </c>
    </row>
    <row r="36" customFormat="false" ht="15" hidden="false" customHeight="false" outlineLevel="0" collapsed="false">
      <c r="B36" s="8" t="s">
        <v>518</v>
      </c>
      <c r="C36" s="37" t="n">
        <f aca="false">$C$34</f>
        <v>53.1953995978372</v>
      </c>
    </row>
    <row r="37" customFormat="false" ht="15" hidden="false" customHeight="false" outlineLevel="0" collapsed="false">
      <c r="B37" s="8" t="s">
        <v>519</v>
      </c>
      <c r="C37" s="38" t="n">
        <f aca="false">$C$35/$C$32</f>
        <v>0.89572580651033</v>
      </c>
    </row>
    <row r="38" customFormat="false" ht="15" hidden="false" customHeight="false" outlineLevel="0" collapsed="false">
      <c r="B38" s="8" t="s">
        <v>520</v>
      </c>
      <c r="C38" s="38" t="n">
        <f aca="false">$C$36/$C$32</f>
        <v>0.10427419348967</v>
      </c>
    </row>
    <row r="39" customFormat="false" ht="15" hidden="false" customHeight="false" outlineLevel="0" collapsed="false">
      <c r="B39" s="8" t="s">
        <v>521</v>
      </c>
      <c r="C39" s="41" t="n">
        <f aca="false">$C$32+$C$24-Waterfall!J53</f>
        <v>0</v>
      </c>
    </row>
    <row r="41" customFormat="false" ht="15" hidden="false" customHeight="false" outlineLevel="0" collapsed="false">
      <c r="B41" s="2" t="s">
        <v>522</v>
      </c>
    </row>
    <row r="42" customFormat="false" ht="15" hidden="false" customHeight="false" outlineLevel="0" collapsed="false">
      <c r="B42" s="5" t="s">
        <v>255</v>
      </c>
      <c r="C42" s="6" t="s">
        <v>523</v>
      </c>
      <c r="D42" s="6" t="s">
        <v>524</v>
      </c>
      <c r="E42" s="6" t="s">
        <v>525</v>
      </c>
      <c r="F42" s="6"/>
      <c r="G42" s="6"/>
      <c r="H42" s="7" t="s">
        <v>89</v>
      </c>
    </row>
    <row r="43" customFormat="false" ht="15" hidden="false" customHeight="false" outlineLevel="0" collapsed="false">
      <c r="B43" s="8" t="s">
        <v>526</v>
      </c>
      <c r="C43" s="37" t="n">
        <f aca="false">$C$32</f>
        <v>510.149230769231</v>
      </c>
      <c r="D43" s="38" t="n">
        <f aca="false">C43/$C$50</f>
        <v>0.806676638393853</v>
      </c>
      <c r="E43" s="37" t="n">
        <f aca="false">C43*$C$53</f>
        <v>451.859298475825</v>
      </c>
      <c r="H43" s="4"/>
    </row>
    <row r="44" customFormat="false" ht="15" hidden="false" customHeight="false" outlineLevel="0" collapsed="false">
      <c r="B44" s="8" t="s">
        <v>527</v>
      </c>
      <c r="C44" s="37" t="n">
        <f aca="false">C43*$C$37</f>
        <v>456.953831171394</v>
      </c>
      <c r="D44" s="38" t="n">
        <f aca="false">C44/$C$50</f>
        <v>0.722561082518375</v>
      </c>
      <c r="E44" s="37" t="n">
        <f aca="false">C44*$C$53</f>
        <v>404.742034556451</v>
      </c>
      <c r="H44" s="4" t="s">
        <v>528</v>
      </c>
    </row>
    <row r="45" customFormat="false" ht="15" hidden="false" customHeight="false" outlineLevel="0" collapsed="false">
      <c r="B45" s="8" t="s">
        <v>529</v>
      </c>
      <c r="C45" s="37" t="n">
        <f aca="false">C43*$C$38</f>
        <v>53.1953995978372</v>
      </c>
      <c r="D45" s="38" t="n">
        <f aca="false">C45/$C$50</f>
        <v>0.0841155558754773</v>
      </c>
      <c r="E45" s="37" t="n">
        <f aca="false">C45*$C$53</f>
        <v>47.1172639193749</v>
      </c>
      <c r="H45" s="4"/>
    </row>
    <row r="46" customFormat="false" ht="15" hidden="false" customHeight="false" outlineLevel="0" collapsed="false">
      <c r="B46" s="8" t="s">
        <v>530</v>
      </c>
      <c r="C46" s="37" t="n">
        <f aca="false">Inputs!$C$149/(1-Inputs!$C$150)</f>
        <v>66.6666666666667</v>
      </c>
      <c r="D46" s="38" t="n">
        <f aca="false">C46/$C$50</f>
        <v>0.105417080563858</v>
      </c>
      <c r="E46" s="37" t="n">
        <f aca="false">C46*$C$53</f>
        <v>59.0492965877831</v>
      </c>
      <c r="H46" s="4"/>
    </row>
    <row r="47" customFormat="false" ht="15" hidden="false" customHeight="false" outlineLevel="0" collapsed="false">
      <c r="B47" s="8" t="s">
        <v>531</v>
      </c>
      <c r="C47" s="37" t="n">
        <f aca="false">Inputs!$C$151*Inputs!$C$149</f>
        <v>5</v>
      </c>
      <c r="D47" s="38" t="n">
        <f aca="false">C47/$C$50</f>
        <v>0.00790628104228935</v>
      </c>
      <c r="E47" s="37" t="n">
        <f aca="false">C47*$C$53</f>
        <v>4.42869724408373</v>
      </c>
      <c r="H47" s="4"/>
    </row>
    <row r="48" customFormat="false" ht="15" hidden="false" customHeight="false" outlineLevel="0" collapsed="false">
      <c r="B48" s="25" t="s">
        <v>532</v>
      </c>
      <c r="C48" s="52" t="n">
        <f aca="false">C43+C46+C47</f>
        <v>581.815897435897</v>
      </c>
    </row>
    <row r="49" customFormat="false" ht="15" hidden="false" customHeight="false" outlineLevel="0" collapsed="false">
      <c r="B49" s="8" t="s">
        <v>533</v>
      </c>
      <c r="C49" s="37" t="n">
        <f aca="false">Inputs!$C$152/(1-Inputs!$C$152)*$C$48</f>
        <v>50.5926867335563</v>
      </c>
      <c r="D49" s="38" t="n">
        <f aca="false">C49/$C$50</f>
        <v>0.08</v>
      </c>
      <c r="E49" s="37" t="n">
        <f aca="false">C49*$C$53</f>
        <v>44.8119384615385</v>
      </c>
      <c r="H49" s="4"/>
    </row>
    <row r="50" customFormat="false" ht="15" hidden="false" customHeight="false" outlineLevel="0" collapsed="false">
      <c r="B50" s="23" t="s">
        <v>534</v>
      </c>
      <c r="C50" s="53" t="n">
        <f aca="false">$C$48+C49</f>
        <v>632.408584169454</v>
      </c>
    </row>
    <row r="51" customFormat="false" ht="15" hidden="false" customHeight="false" outlineLevel="0" collapsed="false">
      <c r="B51" s="8" t="s">
        <v>535</v>
      </c>
      <c r="C51" s="37" t="n">
        <f aca="false">$C$32+Inputs!$C$149</f>
        <v>560.149230769231</v>
      </c>
    </row>
    <row r="52" customFormat="false" ht="15" hidden="false" customHeight="false" outlineLevel="0" collapsed="false">
      <c r="B52" s="8" t="s">
        <v>536</v>
      </c>
      <c r="C52" s="41" t="n">
        <f aca="false">$C$51/$C$48</f>
        <v>0.962760270452985</v>
      </c>
    </row>
    <row r="53" customFormat="false" ht="15" hidden="false" customHeight="false" outlineLevel="0" collapsed="false">
      <c r="B53" s="2" t="s">
        <v>537</v>
      </c>
      <c r="C53" s="54" t="n">
        <f aca="false">$C$51/$C$50</f>
        <v>0.885739448816746</v>
      </c>
      <c r="D53" s="4" t="s">
        <v>538</v>
      </c>
    </row>
    <row r="54" customFormat="false" ht="15" hidden="false" customHeight="false" outlineLevel="0" collapsed="false">
      <c r="B54" s="8" t="s">
        <v>539</v>
      </c>
      <c r="C54" s="38" t="n">
        <f aca="false">D43+D46+D47+D49</f>
        <v>1</v>
      </c>
    </row>
    <row r="56" customFormat="false" ht="15" hidden="false" customHeight="false" outlineLevel="0" collapsed="false">
      <c r="B56" s="2" t="s">
        <v>540</v>
      </c>
    </row>
    <row r="57" customFormat="false" ht="15" hidden="false" customHeight="false" outlineLevel="0" collapsed="false">
      <c r="B57" s="5" t="s">
        <v>255</v>
      </c>
      <c r="C57" s="6" t="s">
        <v>21</v>
      </c>
      <c r="D57" s="7" t="s">
        <v>89</v>
      </c>
    </row>
    <row r="58" customFormat="false" ht="15" hidden="false" customHeight="false" outlineLevel="0" collapsed="false">
      <c r="B58" s="8" t="s">
        <v>541</v>
      </c>
      <c r="C58" s="21" t="n">
        <f aca="false">Inputs!$C$149</f>
        <v>50</v>
      </c>
    </row>
    <row r="59" customFormat="false" ht="15" hidden="false" customHeight="false" outlineLevel="0" collapsed="false">
      <c r="B59" s="8" t="s">
        <v>542</v>
      </c>
      <c r="C59" s="37" t="n">
        <f aca="false">E46</f>
        <v>59.0492965877831</v>
      </c>
    </row>
    <row r="60" customFormat="false" ht="15" hidden="false" customHeight="false" outlineLevel="0" collapsed="false">
      <c r="B60" s="2" t="s">
        <v>543</v>
      </c>
      <c r="C60" s="39" t="n">
        <f aca="false">$C$59-$C$58</f>
        <v>9.04929658778308</v>
      </c>
    </row>
    <row r="61" customFormat="false" ht="15" hidden="false" customHeight="false" outlineLevel="0" collapsed="false">
      <c r="B61" s="8" t="s">
        <v>544</v>
      </c>
      <c r="C61" s="37" t="n">
        <f aca="false">E47</f>
        <v>4.42869724408373</v>
      </c>
    </row>
    <row r="63" customFormat="false" ht="15" hidden="false" customHeight="false" outlineLevel="0" collapsed="false">
      <c r="B63" s="2" t="s">
        <v>545</v>
      </c>
    </row>
    <row r="64" customFormat="false" ht="15" hidden="false" customHeight="false" outlineLevel="0" collapsed="false">
      <c r="B64" s="5" t="s">
        <v>28</v>
      </c>
      <c r="C64" s="6" t="s">
        <v>512</v>
      </c>
      <c r="D64" s="6" t="s">
        <v>244</v>
      </c>
      <c r="E64" s="6" t="s">
        <v>246</v>
      </c>
      <c r="F64" s="6" t="s">
        <v>546</v>
      </c>
      <c r="G64" s="6" t="s">
        <v>547</v>
      </c>
      <c r="H64" s="7" t="s">
        <v>89</v>
      </c>
    </row>
    <row r="65" customFormat="false" ht="15" hidden="false" customHeight="false" outlineLevel="0" collapsed="false">
      <c r="B65" s="2" t="s">
        <v>319</v>
      </c>
      <c r="C65" s="19" t="n">
        <f aca="false">$C$30</f>
        <v>975</v>
      </c>
      <c r="D65" s="19" t="n">
        <f aca="false">Multiples!$C$15</f>
        <v>1170</v>
      </c>
      <c r="E65" s="19" t="n">
        <f aca="false">Multiples!$C$17</f>
        <v>815</v>
      </c>
      <c r="F65" s="19" t="n">
        <f aca="false">$C$84</f>
        <v>1196.97588882237</v>
      </c>
      <c r="G65" s="19" t="n">
        <f aca="false">$C$85</f>
        <v>1150.75772072476</v>
      </c>
    </row>
    <row r="66" customFormat="false" ht="15" hidden="false" customHeight="false" outlineLevel="0" collapsed="false">
      <c r="B66" s="8" t="s">
        <v>548</v>
      </c>
      <c r="C66" s="37" t="n">
        <f aca="false">C65-$C$25</f>
        <v>560.149230769231</v>
      </c>
      <c r="D66" s="37" t="n">
        <f aca="false">D65-$C$25</f>
        <v>755.149230769231</v>
      </c>
      <c r="E66" s="37" t="n">
        <f aca="false">E65-$C$25</f>
        <v>400.149230769231</v>
      </c>
      <c r="F66" s="37" t="n">
        <f aca="false">F65-$C$25</f>
        <v>782.125119591604</v>
      </c>
      <c r="G66" s="37" t="n">
        <f aca="false">G65-$C$25</f>
        <v>735.906951493987</v>
      </c>
    </row>
    <row r="67" customFormat="false" ht="15" hidden="false" customHeight="false" outlineLevel="0" collapsed="false">
      <c r="B67" s="8" t="s">
        <v>549</v>
      </c>
      <c r="C67" s="41" t="n">
        <f aca="false">C66/$C$50</f>
        <v>0.885739448816746</v>
      </c>
      <c r="D67" s="41" t="n">
        <f aca="false">D66/$C$50</f>
        <v>1.19408440946603</v>
      </c>
      <c r="E67" s="41" t="n">
        <f aca="false">E66/$C$50</f>
        <v>0.632738455463487</v>
      </c>
      <c r="F67" s="41" t="n">
        <f aca="false">F66/$C$50</f>
        <v>1.23674020114508</v>
      </c>
      <c r="G67" s="41" t="n">
        <f aca="false">G66/$C$50</f>
        <v>1.16365743589717</v>
      </c>
    </row>
    <row r="68" customFormat="false" ht="15" hidden="false" customHeight="false" outlineLevel="0" collapsed="false">
      <c r="B68" s="22" t="s">
        <v>550</v>
      </c>
      <c r="C68" s="21" t="n">
        <f aca="false">$C$24</f>
        <v>395</v>
      </c>
      <c r="D68" s="21" t="n">
        <f aca="false">$C$24</f>
        <v>395</v>
      </c>
      <c r="E68" s="21" t="n">
        <f aca="false">$C$24</f>
        <v>395</v>
      </c>
      <c r="F68" s="21" t="n">
        <f aca="false">$C$24</f>
        <v>395</v>
      </c>
      <c r="G68" s="21" t="n">
        <f aca="false">$C$24</f>
        <v>395</v>
      </c>
    </row>
    <row r="69" customFormat="false" ht="15" hidden="false" customHeight="false" outlineLevel="0" collapsed="false">
      <c r="B69" s="22" t="s">
        <v>551</v>
      </c>
      <c r="C69" s="37" t="n">
        <f aca="false">C44*C67</f>
        <v>404.742034556451</v>
      </c>
      <c r="D69" s="37" t="n">
        <f aca="false">C44*D67</f>
        <v>545.641445647534</v>
      </c>
      <c r="E69" s="37" t="n">
        <f aca="false">C44*E67</f>
        <v>289.132261353511</v>
      </c>
      <c r="F69" s="37" t="n">
        <f aca="false">C44*F67</f>
        <v>565.133173076923</v>
      </c>
      <c r="G69" s="37" t="n">
        <f aca="false">C44*G67</f>
        <v>531.737723504293</v>
      </c>
    </row>
    <row r="70" customFormat="false" ht="15" hidden="false" customHeight="false" outlineLevel="0" collapsed="false">
      <c r="B70" s="2" t="s">
        <v>335</v>
      </c>
      <c r="C70" s="39" t="n">
        <f aca="false">C68+C69</f>
        <v>799.742034556451</v>
      </c>
      <c r="D70" s="39" t="n">
        <f aca="false">D68+D69</f>
        <v>940.641445647534</v>
      </c>
      <c r="E70" s="39" t="n">
        <f aca="false">E68+E69</f>
        <v>684.132261353511</v>
      </c>
      <c r="F70" s="39" t="n">
        <f aca="false">F68+F69</f>
        <v>960.133173076923</v>
      </c>
      <c r="G70" s="39" t="n">
        <f aca="false">G68+G69</f>
        <v>926.737723504293</v>
      </c>
    </row>
    <row r="71" customFormat="false" ht="15" hidden="false" customHeight="false" outlineLevel="0" collapsed="false">
      <c r="B71" s="2" t="s">
        <v>336</v>
      </c>
      <c r="C71" s="30" t="n">
        <f aca="false">C70/Waterfall!$C$26</f>
        <v>0.832949071005984</v>
      </c>
      <c r="D71" s="30" t="n">
        <f aca="false">D70/Waterfall!$C$26</f>
        <v>0.979698933464694</v>
      </c>
      <c r="E71" s="30" t="n">
        <f aca="false">E70/Waterfall!$C$26</f>
        <v>0.712538927450119</v>
      </c>
      <c r="F71" s="30" t="n">
        <f aca="false">F70/Waterfall!$C$26</f>
        <v>1</v>
      </c>
      <c r="G71" s="30" t="n">
        <f aca="false">G70/Waterfall!$C$26</f>
        <v>0.96521789840298</v>
      </c>
    </row>
    <row r="72" customFormat="false" ht="15" hidden="false" customHeight="false" outlineLevel="0" collapsed="false">
      <c r="B72" s="8" t="s">
        <v>552</v>
      </c>
      <c r="C72" s="37" t="n">
        <f aca="false">C45*C67</f>
        <v>47.1172639193749</v>
      </c>
      <c r="D72" s="37" t="n">
        <f aca="false">C45*D67</f>
        <v>63.5197973150929</v>
      </c>
      <c r="E72" s="37" t="n">
        <f aca="false">C45*E67</f>
        <v>33.6587749792985</v>
      </c>
      <c r="F72" s="37" t="n">
        <f aca="false">C45*F67</f>
        <v>65.7888891986219</v>
      </c>
      <c r="G72" s="37" t="n">
        <f aca="false">C45*G67</f>
        <v>61.9012222975446</v>
      </c>
    </row>
    <row r="73" customFormat="false" ht="15" hidden="false" customHeight="false" outlineLevel="0" collapsed="false">
      <c r="B73" s="2" t="s">
        <v>338</v>
      </c>
      <c r="C73" s="30" t="n">
        <f aca="false">C72/Waterfall!$C$33</f>
        <v>0.093744173699399</v>
      </c>
      <c r="D73" s="30" t="n">
        <f aca="false">D72/Waterfall!$C$33</f>
        <v>0.126378537663944</v>
      </c>
      <c r="E73" s="30" t="n">
        <f aca="false">E72/Waterfall!$C$33</f>
        <v>0.0669672596772085</v>
      </c>
      <c r="F73" s="30" t="n">
        <f aca="false">F72/Waterfall!$C$33</f>
        <v>0.130893106761874</v>
      </c>
      <c r="G73" s="30" t="n">
        <f aca="false">G72/Waterfall!$C$33</f>
        <v>0.123158232303043</v>
      </c>
    </row>
    <row r="74" customFormat="false" ht="15" hidden="false" customHeight="false" outlineLevel="0" collapsed="false">
      <c r="B74" s="22" t="s">
        <v>553</v>
      </c>
      <c r="C74" s="37" t="n">
        <f aca="false">C46*C67-Inputs!$C$149</f>
        <v>9.04929658778308</v>
      </c>
      <c r="D74" s="37" t="n">
        <f aca="false">C46*D67-Inputs!$C$149</f>
        <v>29.6056272977354</v>
      </c>
      <c r="E74" s="37" t="n">
        <f aca="false">C46*E67-Inputs!$C$149</f>
        <v>-7.8174363024342</v>
      </c>
      <c r="F74" s="37" t="n">
        <f aca="false">C46*F67-Inputs!$C$149</f>
        <v>32.4493467430052</v>
      </c>
      <c r="G74" s="37" t="n">
        <f aca="false">C46*G67-Inputs!$C$149</f>
        <v>27.5771623931447</v>
      </c>
    </row>
    <row r="75" customFormat="false" ht="15" hidden="false" customHeight="false" outlineLevel="0" collapsed="false">
      <c r="B75" s="22" t="s">
        <v>554</v>
      </c>
      <c r="C75" s="37" t="n">
        <f aca="false">C47*C67</f>
        <v>4.42869724408373</v>
      </c>
      <c r="D75" s="37" t="n">
        <f aca="false">C47*D67</f>
        <v>5.97042204733015</v>
      </c>
      <c r="E75" s="37" t="n">
        <f aca="false">C47*E67</f>
        <v>3.16369227731744</v>
      </c>
      <c r="F75" s="37" t="n">
        <f aca="false">C47*F67</f>
        <v>6.18370100572539</v>
      </c>
      <c r="G75" s="37" t="n">
        <f aca="false">C47*G67</f>
        <v>5.81828717948586</v>
      </c>
    </row>
    <row r="76" customFormat="false" ht="15" hidden="false" customHeight="false" outlineLevel="0" collapsed="false">
      <c r="B76" s="2" t="s">
        <v>555</v>
      </c>
      <c r="C76" s="39" t="n">
        <f aca="false">C70+C74+C75</f>
        <v>813.220028388317</v>
      </c>
      <c r="D76" s="39" t="n">
        <f aca="false">D70+D74+D75</f>
        <v>976.217494992599</v>
      </c>
      <c r="E76" s="39" t="n">
        <f aca="false">E70+E74+E75</f>
        <v>679.478517328394</v>
      </c>
      <c r="F76" s="39" t="n">
        <f aca="false">F70+F74+F75</f>
        <v>998.766220825654</v>
      </c>
      <c r="G76" s="39" t="n">
        <f aca="false">G70+G74+G75</f>
        <v>960.133173076923</v>
      </c>
    </row>
    <row r="77" customFormat="false" ht="15" hidden="false" customHeight="false" outlineLevel="0" collapsed="false">
      <c r="B77" s="2" t="s">
        <v>556</v>
      </c>
      <c r="C77" s="30" t="n">
        <f aca="false">C76/Waterfall!$C$26</f>
        <v>0.846986700586758</v>
      </c>
      <c r="D77" s="30" t="n">
        <f aca="false">D76/Waterfall!$C$26</f>
        <v>1.0167521781006</v>
      </c>
      <c r="E77" s="30" t="n">
        <f aca="false">E76/Waterfall!$C$26</f>
        <v>0.707691949806171</v>
      </c>
      <c r="F77" s="30" t="n">
        <f aca="false">F76/Waterfall!$C$26</f>
        <v>1.04023717629183</v>
      </c>
      <c r="G77" s="30" t="n">
        <f aca="false">G76/Waterfall!$C$26</f>
        <v>1</v>
      </c>
    </row>
    <row r="79" customFormat="false" ht="15" hidden="false" customHeight="false" outlineLevel="0" collapsed="false">
      <c r="B79" s="5" t="s">
        <v>255</v>
      </c>
      <c r="C79" s="6" t="s">
        <v>21</v>
      </c>
      <c r="D79" s="7" t="s">
        <v>89</v>
      </c>
    </row>
    <row r="80" customFormat="false" ht="15" hidden="false" customHeight="false" outlineLevel="0" collapsed="false">
      <c r="B80" s="8" t="s">
        <v>557</v>
      </c>
      <c r="C80" s="20" t="n">
        <f aca="false">Waterfall!J68</f>
        <v>0.887328815482076</v>
      </c>
      <c r="D80" s="4" t="s">
        <v>558</v>
      </c>
    </row>
    <row r="81" customFormat="false" ht="15" hidden="false" customHeight="false" outlineLevel="0" collapsed="false">
      <c r="B81" s="8" t="s">
        <v>559</v>
      </c>
      <c r="C81" s="20" t="n">
        <f aca="false">Waterfall!J70</f>
        <v>0.105837189282504</v>
      </c>
    </row>
    <row r="82" customFormat="false" ht="15" hidden="false" customHeight="false" outlineLevel="0" collapsed="false">
      <c r="B82" s="2" t="s">
        <v>560</v>
      </c>
      <c r="C82" s="39" t="n">
        <f aca="false">C76</f>
        <v>813.220028388317</v>
      </c>
    </row>
    <row r="83" customFormat="false" ht="15" hidden="false" customHeight="false" outlineLevel="0" collapsed="false">
      <c r="B83" s="8" t="s">
        <v>556</v>
      </c>
      <c r="C83" s="20" t="n">
        <f aca="false">$C$82/Waterfall!$C$26</f>
        <v>0.846986700586758</v>
      </c>
    </row>
    <row r="84" customFormat="false" ht="15" hidden="false" customHeight="false" outlineLevel="0" collapsed="false">
      <c r="B84" s="2" t="s">
        <v>561</v>
      </c>
      <c r="C84" s="19" t="n">
        <f aca="false">$C$25+(Waterfall!$C$26-$C$24)*$C$50/C44</f>
        <v>1196.97588882237</v>
      </c>
      <c r="D84" s="4" t="s">
        <v>562</v>
      </c>
    </row>
    <row r="85" customFormat="false" ht="15" hidden="false" customHeight="false" outlineLevel="0" collapsed="false">
      <c r="B85" s="2" t="s">
        <v>563</v>
      </c>
      <c r="C85" s="19" t="n">
        <f aca="false">$C$25+(Waterfall!$C$26-$C$24+Inputs!$C$149)*$C$50/(C44+C46+C47)</f>
        <v>1150.75772072476</v>
      </c>
      <c r="D85" s="4" t="s">
        <v>564</v>
      </c>
    </row>
    <row r="86" customFormat="false" ht="15" hidden="false" customHeight="false" outlineLevel="0" collapsed="false">
      <c r="B86" s="8" t="s">
        <v>565</v>
      </c>
      <c r="C86" s="21" t="n">
        <f aca="false">Multiples!$C$15-$C$85</f>
        <v>19.2422792752441</v>
      </c>
      <c r="D86" s="4" t="s">
        <v>566</v>
      </c>
    </row>
    <row r="88" customFormat="false" ht="15" hidden="false" customHeight="false" outlineLevel="0" collapsed="false">
      <c r="B88" s="2" t="s">
        <v>567</v>
      </c>
    </row>
    <row r="89" customFormat="false" ht="15" hidden="false" customHeight="false" outlineLevel="0" collapsed="false">
      <c r="B89" s="5" t="s">
        <v>255</v>
      </c>
      <c r="C89" s="6" t="s">
        <v>21</v>
      </c>
      <c r="D89" s="7" t="s">
        <v>89</v>
      </c>
    </row>
    <row r="90" customFormat="false" ht="15" hidden="false" customHeight="false" outlineLevel="0" collapsed="false">
      <c r="B90" s="8" t="s">
        <v>568</v>
      </c>
      <c r="C90" s="21" t="n">
        <f aca="false">Inputs!$C$153*$C$51/(1-Inputs!$C$153)</f>
        <v>62.2388034188034</v>
      </c>
      <c r="D90" s="4" t="s">
        <v>569</v>
      </c>
    </row>
    <row r="91" customFormat="false" ht="15" hidden="false" customHeight="false" outlineLevel="0" collapsed="false">
      <c r="B91" s="22" t="s">
        <v>570</v>
      </c>
      <c r="C91" s="37" t="n">
        <f aca="false">$C$90/$C$52</f>
        <v>64.6462108262108</v>
      </c>
    </row>
    <row r="92" customFormat="false" ht="15" hidden="false" customHeight="false" outlineLevel="0" collapsed="false">
      <c r="B92" s="22" t="s">
        <v>571</v>
      </c>
      <c r="C92" s="37" t="n">
        <f aca="false">$C$48+$C$91</f>
        <v>646.462108262108</v>
      </c>
    </row>
    <row r="93" customFormat="false" ht="15" hidden="false" customHeight="false" outlineLevel="0" collapsed="false">
      <c r="B93" s="22" t="s">
        <v>572</v>
      </c>
      <c r="C93" s="37" t="n">
        <f aca="false">Inputs!$C$152/(1-Inputs!$C$152)*$C$92</f>
        <v>56.2140963706181</v>
      </c>
    </row>
    <row r="94" customFormat="false" ht="15" hidden="false" customHeight="false" outlineLevel="0" collapsed="false">
      <c r="B94" s="2" t="s">
        <v>573</v>
      </c>
      <c r="C94" s="30" t="n">
        <f aca="false">$C$91/($C$92+$C$93)</f>
        <v>0.092</v>
      </c>
      <c r="D94" s="4" t="s">
        <v>574</v>
      </c>
    </row>
    <row r="95" customFormat="false" ht="15" hidden="false" customHeight="false" outlineLevel="0" collapsed="false">
      <c r="B95" s="2" t="s">
        <v>575</v>
      </c>
      <c r="C95" s="19" t="n">
        <f aca="false">Inputs!$C$153*$C$51/(1-Inputs!$C$152-Inputs!$C$153)</f>
        <v>68.3108818011257</v>
      </c>
    </row>
    <row r="96" customFormat="false" ht="15" hidden="false" customHeight="false" outlineLevel="0" collapsed="false">
      <c r="B96" s="8" t="s">
        <v>576</v>
      </c>
      <c r="C96" s="20" t="n">
        <f aca="false">($C$95/$C$52)/(($C$48+$C$95/$C$52)/(1-Inputs!$C$152))</f>
        <v>0.1</v>
      </c>
      <c r="D96" s="4" t="s">
        <v>577</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8"/>
    <col collapsed="false" customWidth="true" hidden="false" outlineLevel="0" max="4" min="3" style="0" width="12"/>
    <col collapsed="false" customWidth="true" hidden="false" outlineLevel="0" max="5" min="5" style="0" width="44"/>
    <col collapsed="false" customWidth="true" hidden="false" outlineLevel="0" max="39" min="6" style="0" width="11"/>
  </cols>
  <sheetData>
    <row r="1" customFormat="false" ht="6" hidden="false" customHeight="true" outlineLevel="0" collapsed="false"/>
    <row r="2" customFormat="false" ht="15" hidden="false" customHeight="false" outlineLevel="0" collapsed="false">
      <c r="B2" s="1" t="s">
        <v>578</v>
      </c>
    </row>
    <row r="3" customFormat="false" ht="15" hidden="false" customHeight="false" outlineLevel="0" collapsed="false">
      <c r="B3" s="4" t="s">
        <v>579</v>
      </c>
    </row>
    <row r="5" customFormat="false" ht="15" hidden="false" customHeight="false" outlineLevel="0" collapsed="false">
      <c r="B5" s="5" t="s">
        <v>255</v>
      </c>
      <c r="C5" s="6" t="s">
        <v>580</v>
      </c>
      <c r="D5" s="6" t="s">
        <v>581</v>
      </c>
      <c r="E5" s="7" t="s">
        <v>89</v>
      </c>
    </row>
    <row r="6" customFormat="false" ht="15" hidden="false" customHeight="false" outlineLevel="0" collapsed="false">
      <c r="B6" s="8" t="s">
        <v>199</v>
      </c>
      <c r="C6" s="26" t="n">
        <f aca="false">Inputs!C160</f>
        <v>46</v>
      </c>
      <c r="D6" s="26" t="n">
        <f aca="false">Inputs!D160</f>
        <v>210</v>
      </c>
    </row>
    <row r="7" customFormat="false" ht="15" hidden="false" customHeight="false" outlineLevel="0" collapsed="false">
      <c r="B7" s="8" t="s">
        <v>200</v>
      </c>
      <c r="C7" s="26" t="n">
        <f aca="false">Inputs!C161</f>
        <v>38</v>
      </c>
      <c r="D7" s="26" t="n">
        <f aca="false">Inputs!D161</f>
        <v>121</v>
      </c>
    </row>
    <row r="8" customFormat="false" ht="15" hidden="false" customHeight="false" outlineLevel="0" collapsed="false">
      <c r="B8" s="8" t="s">
        <v>582</v>
      </c>
      <c r="C8" s="21" t="n">
        <f aca="false">Inputs!C162</f>
        <v>842</v>
      </c>
      <c r="D8" s="21" t="n">
        <f aca="false">Inputs!D162</f>
        <v>431</v>
      </c>
    </row>
    <row r="9" customFormat="false" ht="15" hidden="false" customHeight="false" outlineLevel="0" collapsed="false">
      <c r="B9" s="8" t="s">
        <v>202</v>
      </c>
      <c r="C9" s="26" t="n">
        <f aca="false">Inputs!C163</f>
        <v>31</v>
      </c>
      <c r="D9" s="26" t="n">
        <f aca="false">Inputs!D163</f>
        <v>74</v>
      </c>
    </row>
    <row r="10" customFormat="false" ht="15" hidden="false" customHeight="false" outlineLevel="0" collapsed="false">
      <c r="B10" s="8" t="s">
        <v>583</v>
      </c>
      <c r="C10" s="21" t="n">
        <f aca="false">Inputs!C164</f>
        <v>806</v>
      </c>
      <c r="D10" s="21" t="n">
        <f aca="false">Inputs!D164</f>
        <v>180</v>
      </c>
    </row>
    <row r="11" customFormat="false" ht="15" hidden="false" customHeight="false" outlineLevel="0" collapsed="false">
      <c r="B11" s="2" t="s">
        <v>584</v>
      </c>
      <c r="C11" s="30" t="n">
        <f aca="false">C10/C8</f>
        <v>0.957244655581948</v>
      </c>
      <c r="D11" s="30" t="n">
        <f aca="false">D10/D8</f>
        <v>0.417633410672854</v>
      </c>
    </row>
    <row r="12" customFormat="false" ht="15" hidden="false" customHeight="false" outlineLevel="0" collapsed="false">
      <c r="B12" s="2" t="s">
        <v>585</v>
      </c>
      <c r="C12" s="30" t="n">
        <f aca="false">C9/C7</f>
        <v>0.815789473684211</v>
      </c>
      <c r="D12" s="30" t="n">
        <f aca="false">D9/D7</f>
        <v>0.611570247933884</v>
      </c>
    </row>
    <row r="13" customFormat="false" ht="15" hidden="false" customHeight="false" outlineLevel="0" collapsed="false">
      <c r="B13" s="8" t="s">
        <v>586</v>
      </c>
      <c r="C13" s="26" t="n">
        <f aca="false">IF(C11&gt;=Inputs!$C$165-0.000000000001,1,0)</f>
        <v>1</v>
      </c>
      <c r="D13" s="26" t="n">
        <f aca="false">IF(D11&gt;=Inputs!$C$165-0.000000000001,1,0)</f>
        <v>0</v>
      </c>
    </row>
    <row r="14" customFormat="false" ht="15" hidden="false" customHeight="false" outlineLevel="0" collapsed="false">
      <c r="B14" s="8" t="s">
        <v>587</v>
      </c>
      <c r="C14" s="26" t="n">
        <f aca="false">IF(C12&gt;Inputs!$C$166,1,0)</f>
        <v>1</v>
      </c>
      <c r="D14" s="26" t="n">
        <f aca="false">IF(D12&gt;Inputs!$C$166,1,0)</f>
        <v>1</v>
      </c>
    </row>
    <row r="15" customFormat="false" ht="15" hidden="false" customHeight="false" outlineLevel="0" collapsed="false">
      <c r="B15" s="2" t="s">
        <v>588</v>
      </c>
      <c r="C15" s="55" t="n">
        <f aca="false">C13*C14</f>
        <v>1</v>
      </c>
      <c r="D15" s="55" t="n">
        <f aca="false">D13*D14</f>
        <v>0</v>
      </c>
    </row>
    <row r="16" customFormat="false" ht="15" hidden="false" customHeight="false" outlineLevel="0" collapsed="false">
      <c r="B16" s="2" t="s">
        <v>362</v>
      </c>
      <c r="C16" s="2" t="str">
        <f aca="false">IF(C15=1,"ACCEPTS","REJECTS")</f>
        <v>ACCEPTS</v>
      </c>
      <c r="D16" s="2" t="str">
        <f aca="false">IF(D15=1,"ACCEPTS","REJECTS")</f>
        <v>REJECTS</v>
      </c>
    </row>
    <row r="17" customFormat="false" ht="15" hidden="false" customHeight="false" outlineLevel="0" collapsed="false">
      <c r="B17" s="8" t="s">
        <v>589</v>
      </c>
      <c r="C17" s="26" t="n">
        <f aca="false">IF(C11&gt;=Inputs!$C$167,1,0)</f>
        <v>1</v>
      </c>
      <c r="D17" s="26" t="n">
        <f aca="false">IF(D11&gt;=Inputs!$C$167,1,0)</f>
        <v>0</v>
      </c>
    </row>
    <row r="19" customFormat="false" ht="15" hidden="false" customHeight="false" outlineLevel="0" collapsed="false">
      <c r="B19" s="5" t="s">
        <v>255</v>
      </c>
      <c r="C19" s="6" t="s">
        <v>21</v>
      </c>
      <c r="D19" s="6"/>
      <c r="E19" s="7" t="s">
        <v>89</v>
      </c>
    </row>
    <row r="20" customFormat="false" ht="15" hidden="false" customHeight="false" outlineLevel="0" collapsed="false">
      <c r="B20" s="8" t="s">
        <v>590</v>
      </c>
      <c r="C20" s="37" t="n">
        <f aca="false">Inputs!$C$168+Waterfall!$C$23*Inputs!$C$168/Inputs!$C$18</f>
        <v>606.703846153846</v>
      </c>
    </row>
    <row r="21" customFormat="false" ht="15" hidden="false" customHeight="false" outlineLevel="0" collapsed="false">
      <c r="B21" s="8" t="s">
        <v>591</v>
      </c>
      <c r="C21" s="20" t="n">
        <f aca="false">$C$20/Waterfall!$C$26</f>
        <v>0.631895515295605</v>
      </c>
      <c r="E21" s="4" t="s">
        <v>592</v>
      </c>
    </row>
    <row r="22" customFormat="false" ht="15" hidden="false" customHeight="false" outlineLevel="0" collapsed="false">
      <c r="B22" s="8" t="s">
        <v>593</v>
      </c>
      <c r="C22" s="37" t="n">
        <f aca="false">Inputs!$C$12+Waterfall!$C$24</f>
        <v>50.0774038461539</v>
      </c>
    </row>
    <row r="23" customFormat="false" ht="15" hidden="false" customHeight="false" outlineLevel="0" collapsed="false">
      <c r="B23" s="8" t="s">
        <v>594</v>
      </c>
      <c r="C23" s="20" t="n">
        <f aca="false">($C$20+$C$22)/Waterfall!$C$26</f>
        <v>0.684052242352198</v>
      </c>
      <c r="E23" s="4" t="s">
        <v>595</v>
      </c>
    </row>
    <row r="24" customFormat="false" ht="15" hidden="false" customHeight="false" outlineLevel="0" collapsed="false">
      <c r="B24" s="8" t="s">
        <v>596</v>
      </c>
      <c r="C24" s="26" t="n">
        <f aca="false">IF($C$23&gt;=Inputs!$C$165-0.000000000001,1,0)</f>
        <v>1</v>
      </c>
    </row>
    <row r="25" customFormat="false" ht="15" hidden="false" customHeight="false" outlineLevel="0" collapsed="false">
      <c r="B25" s="8" t="s">
        <v>597</v>
      </c>
      <c r="C25" s="26" t="n">
        <f aca="false">INT(Inputs!C160*Inputs!$C$166)+1</f>
        <v>24</v>
      </c>
      <c r="E25" s="4" t="s">
        <v>598</v>
      </c>
    </row>
    <row r="26" customFormat="false" ht="15" hidden="false" customHeight="false" outlineLevel="0" collapsed="false">
      <c r="B26" s="8" t="s">
        <v>599</v>
      </c>
      <c r="C26" s="20" t="n">
        <f aca="false">Plan!C73</f>
        <v>0.093744173699399</v>
      </c>
    </row>
    <row r="27" customFormat="false" ht="15" hidden="false" customHeight="false" outlineLevel="0" collapsed="false">
      <c r="B27" s="8" t="s">
        <v>600</v>
      </c>
      <c r="C27" s="20" t="n">
        <f aca="false">Liquidation!$E$30</f>
        <v>0.011214787330362</v>
      </c>
    </row>
    <row r="28" customFormat="false" ht="15" hidden="false" customHeight="false" outlineLevel="0" collapsed="false">
      <c r="B28" s="8" t="s">
        <v>601</v>
      </c>
      <c r="C28" s="26" t="n">
        <f aca="false">IF($C$26&gt;=$C$27,1,0)</f>
        <v>1</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60"/>
    <col collapsed="false" customWidth="true" hidden="false" outlineLevel="0" max="3" min="3" style="0" width="12"/>
    <col collapsed="false" customWidth="true" hidden="false" outlineLevel="0" max="4" min="4" style="0" width="46"/>
    <col collapsed="false" customWidth="true" hidden="false" outlineLevel="0" max="39" min="5" style="0" width="11"/>
  </cols>
  <sheetData>
    <row r="1" customFormat="false" ht="6" hidden="false" customHeight="true" outlineLevel="0" collapsed="false"/>
    <row r="2" customFormat="false" ht="15" hidden="false" customHeight="false" outlineLevel="0" collapsed="false">
      <c r="B2" s="1" t="s">
        <v>602</v>
      </c>
    </row>
    <row r="3" customFormat="false" ht="15" hidden="false" customHeight="false" outlineLevel="0" collapsed="false">
      <c r="B3" s="4" t="s">
        <v>603</v>
      </c>
    </row>
    <row r="5" customFormat="false" ht="15" hidden="false" customHeight="false" outlineLevel="0" collapsed="false">
      <c r="B5" s="2" t="s">
        <v>604</v>
      </c>
    </row>
    <row r="6" customFormat="false" ht="15" hidden="false" customHeight="false" outlineLevel="0" collapsed="false">
      <c r="B6" s="5" t="s">
        <v>255</v>
      </c>
      <c r="C6" s="6" t="s">
        <v>21</v>
      </c>
      <c r="D6" s="7" t="s">
        <v>89</v>
      </c>
    </row>
    <row r="7" customFormat="false" ht="15" hidden="false" customHeight="false" outlineLevel="0" collapsed="false">
      <c r="B7" s="8" t="s">
        <v>605</v>
      </c>
      <c r="C7" s="38" t="n">
        <f aca="false">Inputs!$C$7+Inputs!$C$145</f>
        <v>0.088</v>
      </c>
    </row>
    <row r="8" customFormat="false" ht="15" hidden="false" customHeight="false" outlineLevel="0" collapsed="false">
      <c r="B8" s="8" t="s">
        <v>213</v>
      </c>
      <c r="C8" s="21" t="n">
        <f aca="false">Plan!$C$23</f>
        <v>138</v>
      </c>
    </row>
    <row r="9" customFormat="false" ht="15" hidden="false" customHeight="false" outlineLevel="0" collapsed="false">
      <c r="B9" s="8" t="s">
        <v>606</v>
      </c>
      <c r="C9" s="21" t="n">
        <f aca="false">Inputs!$C$154*$C$8</f>
        <v>483</v>
      </c>
    </row>
    <row r="10" customFormat="false" ht="15" hidden="false" customHeight="false" outlineLevel="0" collapsed="false">
      <c r="B10" s="8" t="s">
        <v>607</v>
      </c>
      <c r="C10" s="21" t="n">
        <f aca="false">($C$8-Inputs!$C$73)/(Inputs!$C$155*$C$7)</f>
        <v>636.363636363636</v>
      </c>
    </row>
    <row r="11" customFormat="false" ht="15" hidden="false" customHeight="false" outlineLevel="0" collapsed="false">
      <c r="B11" s="8" t="s">
        <v>608</v>
      </c>
      <c r="C11" s="21" t="n">
        <f aca="false">($C$8-Inputs!$C$73-Inputs!$C$71*($C$8-Inputs!$C$70))/(Inputs!$C$156+$C$7*(1-Inputs!$C$71))</f>
        <v>511.986301369863</v>
      </c>
      <c r="D11" s="4" t="s">
        <v>609</v>
      </c>
    </row>
    <row r="12" customFormat="false" ht="15" hidden="false" customHeight="false" outlineLevel="0" collapsed="false">
      <c r="B12" s="2" t="s">
        <v>610</v>
      </c>
      <c r="C12" s="19" t="n">
        <f aca="false">MIN($C$9,$C$10,$C$11)</f>
        <v>483</v>
      </c>
    </row>
    <row r="13" customFormat="false" ht="15" hidden="false" customHeight="false" outlineLevel="0" collapsed="false">
      <c r="B13" s="8" t="s">
        <v>611</v>
      </c>
      <c r="C13" s="8" t="str">
        <f aca="false">IF($C$12=$C$9,"Leverage",IF($C$12=$C$10,"Fixed charge","FCF / debt"))</f>
        <v>Leverage</v>
      </c>
    </row>
    <row r="15" customFormat="false" ht="15" hidden="false" customHeight="false" outlineLevel="0" collapsed="false">
      <c r="B15" s="2" t="s">
        <v>612</v>
      </c>
    </row>
    <row r="16" customFormat="false" ht="15" hidden="false" customHeight="false" outlineLevel="0" collapsed="false">
      <c r="B16" s="5" t="s">
        <v>255</v>
      </c>
      <c r="C16" s="6" t="s">
        <v>21</v>
      </c>
      <c r="D16" s="7" t="s">
        <v>89</v>
      </c>
    </row>
    <row r="17" customFormat="false" ht="15" hidden="false" customHeight="false" outlineLevel="0" collapsed="false">
      <c r="B17" s="8" t="s">
        <v>613</v>
      </c>
      <c r="C17" s="37" t="n">
        <f aca="false">Plan!$C$25</f>
        <v>414.850769230769</v>
      </c>
    </row>
    <row r="18" customFormat="false" ht="15" hidden="false" customHeight="false" outlineLevel="0" collapsed="false">
      <c r="B18" s="8" t="s">
        <v>510</v>
      </c>
      <c r="C18" s="51" t="n">
        <f aca="false">$C$17/$C$8</f>
        <v>3.00616499442586</v>
      </c>
    </row>
    <row r="19" customFormat="false" ht="15" hidden="false" customHeight="false" outlineLevel="0" collapsed="false">
      <c r="B19" s="8" t="s">
        <v>614</v>
      </c>
      <c r="C19" s="20" t="n">
        <f aca="false">$C$17/$C$12</f>
        <v>0.858904284121676</v>
      </c>
    </row>
    <row r="20" customFormat="false" ht="15" hidden="false" customHeight="false" outlineLevel="0" collapsed="false">
      <c r="B20" s="8" t="s">
        <v>615</v>
      </c>
      <c r="C20" s="37" t="n">
        <f aca="false">$C$17*$C$7</f>
        <v>36.5068676923077</v>
      </c>
    </row>
    <row r="21" customFormat="false" ht="15" hidden="false" customHeight="false" outlineLevel="0" collapsed="false">
      <c r="B21" s="8" t="s">
        <v>616</v>
      </c>
      <c r="C21" s="37" t="n">
        <f aca="false">MAX(0,Inputs!$C$71*($C$8-Inputs!$C$70-$C$20))</f>
        <v>14.1232830769231</v>
      </c>
    </row>
    <row r="22" customFormat="false" ht="15" hidden="false" customHeight="false" outlineLevel="0" collapsed="false">
      <c r="B22" s="2" t="s">
        <v>617</v>
      </c>
      <c r="C22" s="39" t="n">
        <f aca="false">$C$8-Inputs!$C$73-$C$21-$C$20</f>
        <v>47.3698492307692</v>
      </c>
    </row>
    <row r="23" customFormat="false" ht="15" hidden="false" customHeight="false" outlineLevel="0" collapsed="false">
      <c r="B23" s="8" t="s">
        <v>618</v>
      </c>
      <c r="C23" s="51" t="n">
        <f aca="false">($C$8-Inputs!$C$73)/$C$20</f>
        <v>2.68442641603704</v>
      </c>
    </row>
    <row r="25" customFormat="false" ht="15" hidden="false" customHeight="false" outlineLevel="0" collapsed="false">
      <c r="B25" s="2" t="s">
        <v>619</v>
      </c>
    </row>
    <row r="26" customFormat="false" ht="15" hidden="false" customHeight="false" outlineLevel="0" collapsed="false">
      <c r="B26" s="5" t="s">
        <v>255</v>
      </c>
      <c r="C26" s="6" t="s">
        <v>21</v>
      </c>
      <c r="D26" s="7" t="s">
        <v>89</v>
      </c>
    </row>
    <row r="27" customFormat="false" ht="15" hidden="false" customHeight="false" outlineLevel="0" collapsed="false">
      <c r="B27" s="8" t="s">
        <v>620</v>
      </c>
      <c r="C27" s="37" t="n">
        <f aca="false">Inputs!$C$70+$C$20</f>
        <v>81.5068676923077</v>
      </c>
    </row>
    <row r="28" customFormat="false" ht="15" hidden="false" customHeight="false" outlineLevel="0" collapsed="false">
      <c r="B28" s="8" t="s">
        <v>621</v>
      </c>
      <c r="C28" s="37" t="n">
        <f aca="false">Inputs!$C$73+$C$20</f>
        <v>76.5068676923077</v>
      </c>
    </row>
    <row r="29" customFormat="false" ht="15" hidden="false" customHeight="false" outlineLevel="0" collapsed="false">
      <c r="B29" s="8" t="s">
        <v>622</v>
      </c>
      <c r="C29" s="37" t="n">
        <f aca="false">(Inputs!$C$73-Inputs!$C$71*Inputs!$C$70+$C$20*(1-Inputs!$C$71))/(1-Inputs!$C$71)</f>
        <v>74.840201025641</v>
      </c>
    </row>
    <row r="30" customFormat="false" ht="15" hidden="false" customHeight="false" outlineLevel="0" collapsed="false">
      <c r="B30" s="2" t="s">
        <v>623</v>
      </c>
      <c r="C30" s="19" t="n">
        <f aca="false">IF($C$28&lt;=$C$27,$C$28,$C$29)</f>
        <v>76.5068676923077</v>
      </c>
      <c r="D30" s="4" t="s">
        <v>624</v>
      </c>
    </row>
    <row r="31" customFormat="false" ht="15" hidden="false" customHeight="false" outlineLevel="0" collapsed="false">
      <c r="B31" s="8" t="s">
        <v>625</v>
      </c>
      <c r="C31" s="41" t="n">
        <f aca="false">$C$30-Inputs!$C$73-MAX(0,Inputs!$C$71*($C$30-Inputs!$C$70-$C$20))-$C$20</f>
        <v>0</v>
      </c>
    </row>
    <row r="32" customFormat="false" ht="15" hidden="false" customHeight="false" outlineLevel="0" collapsed="false">
      <c r="B32" s="2" t="s">
        <v>626</v>
      </c>
      <c r="C32" s="30" t="n">
        <f aca="false">1-$C$30/$C$8</f>
        <v>0.445602408026756</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3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6"/>
    <col collapsed="false" customWidth="true" hidden="false" outlineLevel="0" max="3" min="3" style="0" width="18"/>
    <col collapsed="false" customWidth="true" hidden="false" outlineLevel="0" max="4" min="4" style="0" width="58"/>
    <col collapsed="false" customWidth="true" hidden="false" outlineLevel="0" max="5" min="5" style="0" width="12"/>
    <col collapsed="false" customWidth="true" hidden="false" outlineLevel="0" max="6" min="6" style="0" width="14"/>
    <col collapsed="false" customWidth="true" hidden="false" outlineLevel="0" max="7" min="7" style="0" width="12"/>
    <col collapsed="false" customWidth="true" hidden="false" outlineLevel="0" max="8" min="8" style="0" width="11"/>
    <col collapsed="false" customWidth="true" hidden="false" outlineLevel="0" max="9" min="9" style="0" width="9"/>
    <col collapsed="false" customWidth="true" hidden="false" outlineLevel="0" max="39" min="10" style="0" width="11"/>
  </cols>
  <sheetData>
    <row r="1" customFormat="false" ht="6" hidden="false" customHeight="true" outlineLevel="0" collapsed="false"/>
    <row r="2" customFormat="false" ht="15" hidden="false" customHeight="false" outlineLevel="0" collapsed="false">
      <c r="B2" s="1" t="s">
        <v>627</v>
      </c>
    </row>
    <row r="3" customFormat="false" ht="15" hidden="false" customHeight="false" outlineLevel="0" collapsed="false">
      <c r="B3" s="4" t="s">
        <v>628</v>
      </c>
    </row>
    <row r="5" customFormat="false" ht="15" hidden="false" customHeight="false" outlineLevel="0" collapsed="false">
      <c r="B5" s="2" t="s">
        <v>629</v>
      </c>
      <c r="E5" s="55" t="n">
        <f aca="false">COUNTA(D8:D366)</f>
        <v>359</v>
      </c>
      <c r="G5" s="2" t="s">
        <v>630</v>
      </c>
      <c r="J5" s="55" t="n">
        <f aca="false">COUNTIF(J8:J366,"differs")</f>
        <v>0</v>
      </c>
    </row>
    <row r="6" customFormat="false" ht="15" hidden="false" customHeight="false" outlineLevel="0" collapsed="false">
      <c r="B6" s="2" t="s">
        <v>631</v>
      </c>
      <c r="E6" s="55" t="n">
        <f aca="false">COUNTIF(I8:I366,"FAIL")</f>
        <v>0</v>
      </c>
    </row>
    <row r="7" customFormat="false" ht="15" hidden="false" customHeight="false" outlineLevel="0" collapsed="false">
      <c r="B7" s="5" t="s">
        <v>632</v>
      </c>
      <c r="C7" s="7" t="s">
        <v>633</v>
      </c>
      <c r="D7" s="7" t="s">
        <v>634</v>
      </c>
      <c r="E7" s="6" t="s">
        <v>366</v>
      </c>
      <c r="F7" s="6" t="s">
        <v>635</v>
      </c>
      <c r="G7" s="6" t="s">
        <v>636</v>
      </c>
      <c r="H7" s="6" t="s">
        <v>637</v>
      </c>
      <c r="I7" s="6" t="s">
        <v>638</v>
      </c>
      <c r="J7" s="6" t="s">
        <v>639</v>
      </c>
    </row>
    <row r="8" customFormat="false" ht="15" hidden="false" customHeight="false" outlineLevel="0" collapsed="false">
      <c r="B8" s="44" t="n">
        <v>1</v>
      </c>
      <c r="C8" s="8" t="s">
        <v>640</v>
      </c>
      <c r="D8" s="8" t="s">
        <v>641</v>
      </c>
      <c r="E8" s="56" t="n">
        <v>1111.1</v>
      </c>
      <c r="F8" s="57" t="n">
        <f aca="false">Cases!$C$9</f>
        <v>1111.11111111111</v>
      </c>
      <c r="G8" s="58" t="n">
        <f aca="false">IF(ISNUMBER(F8),F8-E8,"n/a")</f>
        <v>0.0111111111111768</v>
      </c>
      <c r="H8" s="59" t="n">
        <v>0.050000001</v>
      </c>
      <c r="I8" s="40" t="str">
        <f aca="false">IF(ISNUMBER(F8),IF(ABS(F8-E8)&lt;=H8,"PASS","FAIL"),"FAIL")</f>
        <v>PASS</v>
      </c>
      <c r="J8" s="40" t="str">
        <f aca="false">IF(ISNUMBER(F8),IF(ROUND(F8,1)=ROUND(E8,1),"same","differs"),"n/a")</f>
        <v>same</v>
      </c>
    </row>
    <row r="9" customFormat="false" ht="15" hidden="false" customHeight="false" outlineLevel="0" collapsed="false">
      <c r="B9" s="44" t="n">
        <v>2</v>
      </c>
      <c r="C9" s="8" t="s">
        <v>640</v>
      </c>
      <c r="D9" s="8" t="s">
        <v>642</v>
      </c>
      <c r="E9" s="56" t="n">
        <v>1162.2</v>
      </c>
      <c r="F9" s="57" t="n">
        <f aca="false">Cases!$D$9</f>
        <v>1162.16216216216</v>
      </c>
      <c r="G9" s="58" t="n">
        <f aca="false">IF(ISNUMBER(F9),F9-E9,"n/a")</f>
        <v>-0.037837837837742</v>
      </c>
      <c r="H9" s="59" t="n">
        <v>0.050000001</v>
      </c>
      <c r="I9" s="40" t="str">
        <f aca="false">IF(ISNUMBER(F9),IF(ABS(F9-E9)&lt;=H9,"PASS","FAIL"),"FAIL")</f>
        <v>PASS</v>
      </c>
      <c r="J9" s="40" t="str">
        <f aca="false">IF(ISNUMBER(F9),IF(ROUND(F9,1)=ROUND(E9,1),"same","differs"),"n/a")</f>
        <v>same</v>
      </c>
    </row>
    <row r="10" customFormat="false" ht="15" hidden="false" customHeight="false" outlineLevel="0" collapsed="false">
      <c r="B10" s="44" t="n">
        <v>3</v>
      </c>
      <c r="C10" s="8" t="s">
        <v>640</v>
      </c>
      <c r="D10" s="8" t="s">
        <v>643</v>
      </c>
      <c r="E10" s="56" t="n">
        <v>1210.2</v>
      </c>
      <c r="F10" s="57" t="n">
        <f aca="false">Cases!$E$9</f>
        <v>1210.19108280255</v>
      </c>
      <c r="G10" s="58" t="n">
        <f aca="false">IF(ISNUMBER(F10),F10-E10,"n/a")</f>
        <v>-0.00891719745231967</v>
      </c>
      <c r="H10" s="59" t="n">
        <v>0.050000001</v>
      </c>
      <c r="I10" s="40" t="str">
        <f aca="false">IF(ISNUMBER(F10),IF(ABS(F10-E10)&lt;=H10,"PASS","FAIL"),"FAIL")</f>
        <v>PASS</v>
      </c>
      <c r="J10" s="40" t="str">
        <f aca="false">IF(ISNUMBER(F10),IF(ROUND(F10,1)=ROUND(E10,1),"same","differs"),"n/a")</f>
        <v>same</v>
      </c>
    </row>
    <row r="11" customFormat="false" ht="15" hidden="false" customHeight="false" outlineLevel="0" collapsed="false">
      <c r="B11" s="44" t="n">
        <v>4</v>
      </c>
      <c r="C11" s="8" t="s">
        <v>640</v>
      </c>
      <c r="D11" s="8" t="s">
        <v>644</v>
      </c>
      <c r="E11" s="56" t="n">
        <v>1259.3</v>
      </c>
      <c r="F11" s="57" t="n">
        <f aca="false">Cases!$F$9</f>
        <v>1259.25925925926</v>
      </c>
      <c r="G11" s="58" t="n">
        <f aca="false">IF(ISNUMBER(F11),F11-E11,"n/a")</f>
        <v>-0.04074074074083</v>
      </c>
      <c r="H11" s="59" t="n">
        <v>0.050000001</v>
      </c>
      <c r="I11" s="40" t="str">
        <f aca="false">IF(ISNUMBER(F11),IF(ABS(F11-E11)&lt;=H11,"PASS","FAIL"),"FAIL")</f>
        <v>PASS</v>
      </c>
      <c r="J11" s="40" t="str">
        <f aca="false">IF(ISNUMBER(F11),IF(ROUND(F11,1)=ROUND(E11,1),"same","differs"),"n/a")</f>
        <v>same</v>
      </c>
    </row>
    <row r="12" customFormat="false" ht="15" hidden="false" customHeight="false" outlineLevel="0" collapsed="false">
      <c r="B12" s="44" t="n">
        <v>5</v>
      </c>
      <c r="C12" s="8" t="s">
        <v>640</v>
      </c>
      <c r="D12" s="8" t="s">
        <v>645</v>
      </c>
      <c r="E12" s="56" t="n">
        <v>1304.9</v>
      </c>
      <c r="F12" s="57" t="n">
        <f aca="false">Cases!$G$9</f>
        <v>1304.87804878049</v>
      </c>
      <c r="G12" s="58" t="n">
        <f aca="false">IF(ISNUMBER(F12),F12-E12,"n/a")</f>
        <v>-0.0219512195124025</v>
      </c>
      <c r="H12" s="59" t="n">
        <v>0.050000001</v>
      </c>
      <c r="I12" s="40" t="str">
        <f aca="false">IF(ISNUMBER(F12),IF(ABS(F12-E12)&lt;=H12,"PASS","FAIL"),"FAIL")</f>
        <v>PASS</v>
      </c>
      <c r="J12" s="40" t="str">
        <f aca="false">IF(ISNUMBER(F12),IF(ROUND(F12,1)=ROUND(E12,1),"same","differs"),"n/a")</f>
        <v>same</v>
      </c>
    </row>
    <row r="13" customFormat="false" ht="15" hidden="false" customHeight="false" outlineLevel="0" collapsed="false">
      <c r="B13" s="44" t="n">
        <v>6</v>
      </c>
      <c r="C13" s="8" t="s">
        <v>640</v>
      </c>
      <c r="D13" s="8" t="s">
        <v>646</v>
      </c>
      <c r="E13" s="56" t="n">
        <v>76.4</v>
      </c>
      <c r="F13" s="57" t="n">
        <f aca="false">Cases!$C$16</f>
        <v>76.4166666666667</v>
      </c>
      <c r="G13" s="58" t="n">
        <f aca="false">IF(ISNUMBER(F13),F13-E13,"n/a")</f>
        <v>0.0166666666666657</v>
      </c>
      <c r="H13" s="59" t="n">
        <v>0.050000001</v>
      </c>
      <c r="I13" s="40" t="str">
        <f aca="false">IF(ISNUMBER(F13),IF(ABS(F13-E13)&lt;=H13,"PASS","FAIL"),"FAIL")</f>
        <v>PASS</v>
      </c>
      <c r="J13" s="40" t="str">
        <f aca="false">IF(ISNUMBER(F13),IF(ROUND(F13,1)=ROUND(E13,1),"same","differs"),"n/a")</f>
        <v>same</v>
      </c>
    </row>
    <row r="14" customFormat="false" ht="15" hidden="false" customHeight="false" outlineLevel="0" collapsed="false">
      <c r="B14" s="44" t="n">
        <v>7</v>
      </c>
      <c r="C14" s="8" t="s">
        <v>640</v>
      </c>
      <c r="D14" s="8" t="s">
        <v>647</v>
      </c>
      <c r="E14" s="56" t="n">
        <v>94.1</v>
      </c>
      <c r="F14" s="57" t="n">
        <f aca="false">Cases!$D$16</f>
        <v>94.1238738738739</v>
      </c>
      <c r="G14" s="58" t="n">
        <f aca="false">IF(ISNUMBER(F14),F14-E14,"n/a")</f>
        <v>0.0238738738738533</v>
      </c>
      <c r="H14" s="59" t="n">
        <v>0.050000001</v>
      </c>
      <c r="I14" s="40" t="str">
        <f aca="false">IF(ISNUMBER(F14),IF(ABS(F14-E14)&lt;=H14,"PASS","FAIL"),"FAIL")</f>
        <v>PASS</v>
      </c>
      <c r="J14" s="40" t="str">
        <f aca="false">IF(ISNUMBER(F14),IF(ROUND(F14,1)=ROUND(E14,1),"same","differs"),"n/a")</f>
        <v>same</v>
      </c>
    </row>
    <row r="15" customFormat="false" ht="15" hidden="false" customHeight="false" outlineLevel="0" collapsed="false">
      <c r="B15" s="44" t="n">
        <v>8</v>
      </c>
      <c r="C15" s="8" t="s">
        <v>640</v>
      </c>
      <c r="D15" s="8" t="s">
        <v>648</v>
      </c>
      <c r="E15" s="56" t="n">
        <v>108</v>
      </c>
      <c r="F15" s="57" t="n">
        <f aca="false">Cases!$E$16</f>
        <v>107.986529523154</v>
      </c>
      <c r="G15" s="58" t="n">
        <f aca="false">IF(ISNUMBER(F15),F15-E15,"n/a")</f>
        <v>-0.0134704768462512</v>
      </c>
      <c r="H15" s="59" t="n">
        <v>0.050000001</v>
      </c>
      <c r="I15" s="40" t="str">
        <f aca="false">IF(ISNUMBER(F15),IF(ABS(F15-E15)&lt;=H15,"PASS","FAIL"),"FAIL")</f>
        <v>PASS</v>
      </c>
      <c r="J15" s="40" t="str">
        <f aca="false">IF(ISNUMBER(F15),IF(ROUND(F15,1)=ROUND(E15,1),"same","differs"),"n/a")</f>
        <v>same</v>
      </c>
    </row>
    <row r="16" customFormat="false" ht="15" hidden="false" customHeight="false" outlineLevel="0" collapsed="false">
      <c r="B16" s="44" t="n">
        <v>9</v>
      </c>
      <c r="C16" s="8" t="s">
        <v>640</v>
      </c>
      <c r="D16" s="8" t="s">
        <v>649</v>
      </c>
      <c r="E16" s="56" t="n">
        <v>118.4</v>
      </c>
      <c r="F16" s="57" t="n">
        <f aca="false">Cases!$F$16</f>
        <v>118.361818825195</v>
      </c>
      <c r="G16" s="58" t="n">
        <f aca="false">IF(ISNUMBER(F16),F16-E16,"n/a")</f>
        <v>-0.0381811748053735</v>
      </c>
      <c r="H16" s="59" t="n">
        <v>0.050000001</v>
      </c>
      <c r="I16" s="40" t="str">
        <f aca="false">IF(ISNUMBER(F16),IF(ABS(F16-E16)&lt;=H16,"PASS","FAIL"),"FAIL")</f>
        <v>PASS</v>
      </c>
      <c r="J16" s="40" t="str">
        <f aca="false">IF(ISNUMBER(F16),IF(ROUND(F16,1)=ROUND(E16,1),"same","differs"),"n/a")</f>
        <v>same</v>
      </c>
    </row>
    <row r="17" customFormat="false" ht="15" hidden="false" customHeight="false" outlineLevel="0" collapsed="false">
      <c r="B17" s="44" t="n">
        <v>10</v>
      </c>
      <c r="C17" s="8" t="s">
        <v>640</v>
      </c>
      <c r="D17" s="8" t="s">
        <v>650</v>
      </c>
      <c r="E17" s="56" t="n">
        <v>126.3</v>
      </c>
      <c r="F17" s="57" t="n">
        <f aca="false">Cases!$G$16</f>
        <v>126.275745257453</v>
      </c>
      <c r="G17" s="58" t="n">
        <f aca="false">IF(ISNUMBER(F17),F17-E17,"n/a")</f>
        <v>-0.0242547425474271</v>
      </c>
      <c r="H17" s="59" t="n">
        <v>0.050000001</v>
      </c>
      <c r="I17" s="40" t="str">
        <f aca="false">IF(ISNUMBER(F17),IF(ABS(F17-E17)&lt;=H17,"PASS","FAIL"),"FAIL")</f>
        <v>PASS</v>
      </c>
      <c r="J17" s="40" t="str">
        <f aca="false">IF(ISNUMBER(F17),IF(ROUND(F17,1)=ROUND(E17,1),"same","differs"),"n/a")</f>
        <v>same</v>
      </c>
    </row>
    <row r="18" customFormat="false" ht="15" hidden="false" customHeight="false" outlineLevel="0" collapsed="false">
      <c r="B18" s="44" t="n">
        <v>11</v>
      </c>
      <c r="C18" s="8" t="s">
        <v>640</v>
      </c>
      <c r="D18" s="8" t="s">
        <v>651</v>
      </c>
      <c r="E18" s="56" t="n">
        <v>1061.5</v>
      </c>
      <c r="F18" s="57" t="n">
        <f aca="false">Cases!$C$22</f>
        <v>1061.53846153846</v>
      </c>
      <c r="G18" s="58" t="n">
        <f aca="false">IF(ISNUMBER(F18),F18-E18,"n/a")</f>
        <v>0.0384615384614335</v>
      </c>
      <c r="H18" s="59" t="n">
        <v>0.050000001</v>
      </c>
      <c r="I18" s="40" t="str">
        <f aca="false">IF(ISNUMBER(F18),IF(ABS(F18-E18)&lt;=H18,"PASS","FAIL"),"FAIL")</f>
        <v>PASS</v>
      </c>
      <c r="J18" s="40" t="str">
        <f aca="false">IF(ISNUMBER(F18),IF(ROUND(F18,1)=ROUND(E18,1),"same","differs"),"n/a")</f>
        <v>same</v>
      </c>
    </row>
    <row r="19" customFormat="false" ht="15" hidden="false" customHeight="false" outlineLevel="0" collapsed="false">
      <c r="B19" s="44" t="n">
        <v>12</v>
      </c>
      <c r="C19" s="8" t="s">
        <v>640</v>
      </c>
      <c r="D19" s="8" t="s">
        <v>652</v>
      </c>
      <c r="E19" s="56" t="n">
        <v>1089.6</v>
      </c>
      <c r="F19" s="57" t="n">
        <f aca="false">Cases!$D$22</f>
        <v>1089.55223880597</v>
      </c>
      <c r="G19" s="58" t="n">
        <f aca="false">IF(ISNUMBER(F19),F19-E19,"n/a")</f>
        <v>-0.0477611940298175</v>
      </c>
      <c r="H19" s="59" t="n">
        <v>0.050000001</v>
      </c>
      <c r="I19" s="40" t="str">
        <f aca="false">IF(ISNUMBER(F19),IF(ABS(F19-E19)&lt;=H19,"PASS","FAIL"),"FAIL")</f>
        <v>PASS</v>
      </c>
      <c r="J19" s="40" t="str">
        <f aca="false">IF(ISNUMBER(F19),IF(ROUND(F19,1)=ROUND(E19,1),"same","differs"),"n/a")</f>
        <v>same</v>
      </c>
    </row>
    <row r="20" customFormat="false" ht="15" hidden="false" customHeight="false" outlineLevel="0" collapsed="false">
      <c r="B20" s="44" t="n">
        <v>13</v>
      </c>
      <c r="C20" s="8" t="s">
        <v>640</v>
      </c>
      <c r="D20" s="8" t="s">
        <v>653</v>
      </c>
      <c r="E20" s="56" t="n">
        <v>1115.9</v>
      </c>
      <c r="F20" s="57" t="n">
        <f aca="false">Cases!$E$22</f>
        <v>1115.94202898551</v>
      </c>
      <c r="G20" s="58" t="n">
        <f aca="false">IF(ISNUMBER(F20),F20-E20,"n/a")</f>
        <v>0.0420289855071587</v>
      </c>
      <c r="H20" s="59" t="n">
        <v>0.050000001</v>
      </c>
      <c r="I20" s="40" t="str">
        <f aca="false">IF(ISNUMBER(F20),IF(ABS(F20-E20)&lt;=H20,"PASS","FAIL"),"FAIL")</f>
        <v>PASS</v>
      </c>
      <c r="J20" s="40" t="str">
        <f aca="false">IF(ISNUMBER(F20),IF(ROUND(F20,1)=ROUND(E20,1),"same","differs"),"n/a")</f>
        <v>same</v>
      </c>
    </row>
    <row r="21" customFormat="false" ht="15" hidden="false" customHeight="false" outlineLevel="0" collapsed="false">
      <c r="B21" s="44" t="n">
        <v>14</v>
      </c>
      <c r="C21" s="8" t="s">
        <v>640</v>
      </c>
      <c r="D21" s="8" t="s">
        <v>654</v>
      </c>
      <c r="E21" s="56" t="n">
        <v>1141.8</v>
      </c>
      <c r="F21" s="57" t="n">
        <f aca="false">Cases!$F$22</f>
        <v>1141.84397163121</v>
      </c>
      <c r="G21" s="58" t="n">
        <f aca="false">IF(ISNUMBER(F21),F21-E21,"n/a")</f>
        <v>0.0439716312057499</v>
      </c>
      <c r="H21" s="59" t="n">
        <v>0.050000001</v>
      </c>
      <c r="I21" s="40" t="str">
        <f aca="false">IF(ISNUMBER(F21),IF(ABS(F21-E21)&lt;=H21,"PASS","FAIL"),"FAIL")</f>
        <v>PASS</v>
      </c>
      <c r="J21" s="40" t="str">
        <f aca="false">IF(ISNUMBER(F21),IF(ROUND(F21,1)=ROUND(E21,1),"same","differs"),"n/a")</f>
        <v>same</v>
      </c>
    </row>
    <row r="22" customFormat="false" ht="15" hidden="false" customHeight="false" outlineLevel="0" collapsed="false">
      <c r="B22" s="44" t="n">
        <v>15</v>
      </c>
      <c r="C22" s="8" t="s">
        <v>640</v>
      </c>
      <c r="D22" s="8" t="s">
        <v>655</v>
      </c>
      <c r="E22" s="56" t="n">
        <v>1167.8</v>
      </c>
      <c r="F22" s="57" t="n">
        <f aca="false">Cases!$G$22</f>
        <v>1167.83216783217</v>
      </c>
      <c r="G22" s="58" t="n">
        <f aca="false">IF(ISNUMBER(F22),F22-E22,"n/a")</f>
        <v>0.0321678321679428</v>
      </c>
      <c r="H22" s="59" t="n">
        <v>0.050000001</v>
      </c>
      <c r="I22" s="40" t="str">
        <f aca="false">IF(ISNUMBER(F22),IF(ABS(F22-E22)&lt;=H22,"PASS","FAIL"),"FAIL")</f>
        <v>PASS</v>
      </c>
      <c r="J22" s="40" t="str">
        <f aca="false">IF(ISNUMBER(F22),IF(ROUND(F22,1)=ROUND(E22,1),"same","differs"),"n/a")</f>
        <v>same</v>
      </c>
    </row>
    <row r="23" customFormat="false" ht="15" hidden="false" customHeight="false" outlineLevel="0" collapsed="false">
      <c r="B23" s="44" t="n">
        <v>16</v>
      </c>
      <c r="C23" s="8" t="s">
        <v>640</v>
      </c>
      <c r="D23" s="8" t="s">
        <v>656</v>
      </c>
      <c r="E23" s="56" t="n">
        <v>73.4</v>
      </c>
      <c r="F23" s="57" t="n">
        <f aca="false">Cases!$C$29</f>
        <v>73.3653846153846</v>
      </c>
      <c r="G23" s="58" t="n">
        <f aca="false">IF(ISNUMBER(F23),F23-E23,"n/a")</f>
        <v>-0.0346153846153783</v>
      </c>
      <c r="H23" s="59" t="n">
        <v>0.050000001</v>
      </c>
      <c r="I23" s="40" t="str">
        <f aca="false">IF(ISNUMBER(F23),IF(ABS(F23-E23)&lt;=H23,"PASS","FAIL"),"FAIL")</f>
        <v>PASS</v>
      </c>
      <c r="J23" s="40" t="str">
        <f aca="false">IF(ISNUMBER(F23),IF(ROUND(F23,1)=ROUND(E23,1),"same","differs"),"n/a")</f>
        <v>same</v>
      </c>
    </row>
    <row r="24" customFormat="false" ht="15" hidden="false" customHeight="false" outlineLevel="0" collapsed="false">
      <c r="B24" s="44" t="n">
        <v>17</v>
      </c>
      <c r="C24" s="8" t="s">
        <v>640</v>
      </c>
      <c r="D24" s="8" t="s">
        <v>657</v>
      </c>
      <c r="E24" s="56" t="n">
        <v>77.4</v>
      </c>
      <c r="F24" s="57" t="n">
        <f aca="false">Cases!$D$29</f>
        <v>77.388346727899</v>
      </c>
      <c r="G24" s="58" t="n">
        <f aca="false">IF(ISNUMBER(F24),F24-E24,"n/a")</f>
        <v>-0.0116532721010429</v>
      </c>
      <c r="H24" s="59" t="n">
        <v>0.050000001</v>
      </c>
      <c r="I24" s="40" t="str">
        <f aca="false">IF(ISNUMBER(F24),IF(ABS(F24-E24)&lt;=H24,"PASS","FAIL"),"FAIL")</f>
        <v>PASS</v>
      </c>
      <c r="J24" s="40" t="str">
        <f aca="false">IF(ISNUMBER(F24),IF(ROUND(F24,1)=ROUND(E24,1),"same","differs"),"n/a")</f>
        <v>same</v>
      </c>
    </row>
    <row r="25" customFormat="false" ht="15" hidden="false" customHeight="false" outlineLevel="0" collapsed="false">
      <c r="B25" s="44" t="n">
        <v>18</v>
      </c>
      <c r="C25" s="8" t="s">
        <v>640</v>
      </c>
      <c r="D25" s="8" t="s">
        <v>658</v>
      </c>
      <c r="E25" s="56" t="n">
        <v>83.6</v>
      </c>
      <c r="F25" s="57" t="n">
        <f aca="false">Cases!$E$29</f>
        <v>83.5832251784555</v>
      </c>
      <c r="G25" s="58" t="n">
        <f aca="false">IF(ISNUMBER(F25),F25-E25,"n/a")</f>
        <v>-0.016774821544459</v>
      </c>
      <c r="H25" s="59" t="n">
        <v>0.050000001</v>
      </c>
      <c r="I25" s="40" t="str">
        <f aca="false">IF(ISNUMBER(F25),IF(ABS(F25-E25)&lt;=H25,"PASS","FAIL"),"FAIL")</f>
        <v>PASS</v>
      </c>
      <c r="J25" s="40" t="str">
        <f aca="false">IF(ISNUMBER(F25),IF(ROUND(F25,1)=ROUND(E25,1),"same","differs"),"n/a")</f>
        <v>same</v>
      </c>
    </row>
    <row r="26" customFormat="false" ht="15" hidden="false" customHeight="false" outlineLevel="0" collapsed="false">
      <c r="B26" s="44" t="n">
        <v>19</v>
      </c>
      <c r="C26" s="8" t="s">
        <v>640</v>
      </c>
      <c r="D26" s="8" t="s">
        <v>659</v>
      </c>
      <c r="E26" s="56" t="n">
        <v>88.9</v>
      </c>
      <c r="F26" s="57" t="n">
        <f aca="false">Cases!$F$29</f>
        <v>88.8917668825162</v>
      </c>
      <c r="G26" s="58" t="n">
        <f aca="false">IF(ISNUMBER(F26),F26-E26,"n/a")</f>
        <v>-0.00823311748382594</v>
      </c>
      <c r="H26" s="59" t="n">
        <v>0.050000001</v>
      </c>
      <c r="I26" s="40" t="str">
        <f aca="false">IF(ISNUMBER(F26),IF(ABS(F26-E26)&lt;=H26,"PASS","FAIL"),"FAIL")</f>
        <v>PASS</v>
      </c>
      <c r="J26" s="40" t="str">
        <f aca="false">IF(ISNUMBER(F26),IF(ROUND(F26,1)=ROUND(E26,1),"same","differs"),"n/a")</f>
        <v>same</v>
      </c>
    </row>
    <row r="27" customFormat="false" ht="15" hidden="false" customHeight="false" outlineLevel="0" collapsed="false">
      <c r="B27" s="44" t="n">
        <v>20</v>
      </c>
      <c r="C27" s="8" t="s">
        <v>640</v>
      </c>
      <c r="D27" s="8" t="s">
        <v>660</v>
      </c>
      <c r="E27" s="56" t="n">
        <v>93.4</v>
      </c>
      <c r="F27" s="57" t="n">
        <f aca="false">Cases!$G$29</f>
        <v>93.3814164558845</v>
      </c>
      <c r="G27" s="58" t="n">
        <f aca="false">IF(ISNUMBER(F27),F27-E27,"n/a")</f>
        <v>-0.0185835441154723</v>
      </c>
      <c r="H27" s="59" t="n">
        <v>0.050000001</v>
      </c>
      <c r="I27" s="40" t="str">
        <f aca="false">IF(ISNUMBER(F27),IF(ABS(F27-E27)&lt;=H27,"PASS","FAIL"),"FAIL")</f>
        <v>PASS</v>
      </c>
      <c r="J27" s="40" t="str">
        <f aca="false">IF(ISNUMBER(F27),IF(ROUND(F27,1)=ROUND(E27,1),"same","differs"),"n/a")</f>
        <v>same</v>
      </c>
    </row>
    <row r="28" customFormat="false" ht="15" hidden="false" customHeight="false" outlineLevel="0" collapsed="false">
      <c r="B28" s="44" t="n">
        <v>21</v>
      </c>
      <c r="C28" s="8" t="s">
        <v>640</v>
      </c>
      <c r="D28" s="8" t="s">
        <v>661</v>
      </c>
      <c r="E28" s="56" t="n">
        <v>1000</v>
      </c>
      <c r="F28" s="57" t="n">
        <f aca="false">Cases!$C$35</f>
        <v>1000</v>
      </c>
      <c r="G28" s="58" t="n">
        <f aca="false">IF(ISNUMBER(F28),F28-E28,"n/a")</f>
        <v>0</v>
      </c>
      <c r="H28" s="59" t="n">
        <v>0.050000001</v>
      </c>
      <c r="I28" s="40" t="str">
        <f aca="false">IF(ISNUMBER(F28),IF(ABS(F28-E28)&lt;=H28,"PASS","FAIL"),"FAIL")</f>
        <v>PASS</v>
      </c>
      <c r="J28" s="40" t="str">
        <f aca="false">IF(ISNUMBER(F28),IF(ROUND(F28,1)=ROUND(E28,1),"same","differs"),"n/a")</f>
        <v>same</v>
      </c>
    </row>
    <row r="29" customFormat="false" ht="15" hidden="false" customHeight="false" outlineLevel="0" collapsed="false">
      <c r="B29" s="44" t="n">
        <v>22</v>
      </c>
      <c r="C29" s="8" t="s">
        <v>640</v>
      </c>
      <c r="D29" s="8" t="s">
        <v>662</v>
      </c>
      <c r="E29" s="56" t="n">
        <v>1024.8</v>
      </c>
      <c r="F29" s="57" t="n">
        <f aca="false">Cases!$D$35</f>
        <v>1024.79338842975</v>
      </c>
      <c r="G29" s="58" t="n">
        <f aca="false">IF(ISNUMBER(F29),F29-E29,"n/a")</f>
        <v>-0.00661157024796921</v>
      </c>
      <c r="H29" s="59" t="n">
        <v>0.050000001</v>
      </c>
      <c r="I29" s="40" t="str">
        <f aca="false">IF(ISNUMBER(F29),IF(ABS(F29-E29)&lt;=H29,"PASS","FAIL"),"FAIL")</f>
        <v>PASS</v>
      </c>
      <c r="J29" s="40" t="str">
        <f aca="false">IF(ISNUMBER(F29),IF(ROUND(F29,1)=ROUND(E29,1),"same","differs"),"n/a")</f>
        <v>same</v>
      </c>
    </row>
    <row r="30" customFormat="false" ht="15" hidden="false" customHeight="false" outlineLevel="0" collapsed="false">
      <c r="B30" s="44" t="n">
        <v>23</v>
      </c>
      <c r="C30" s="8" t="s">
        <v>640</v>
      </c>
      <c r="D30" s="8" t="s">
        <v>663</v>
      </c>
      <c r="E30" s="56" t="n">
        <v>1048.4</v>
      </c>
      <c r="F30" s="57" t="n">
        <f aca="false">Cases!$E$35</f>
        <v>1048.38709677419</v>
      </c>
      <c r="G30" s="58" t="n">
        <f aca="false">IF(ISNUMBER(F30),F30-E30,"n/a")</f>
        <v>-0.0129032258064399</v>
      </c>
      <c r="H30" s="59" t="n">
        <v>0.050000001</v>
      </c>
      <c r="I30" s="40" t="str">
        <f aca="false">IF(ISNUMBER(F30),IF(ABS(F30-E30)&lt;=H30,"PASS","FAIL"),"FAIL")</f>
        <v>PASS</v>
      </c>
      <c r="J30" s="40" t="str">
        <f aca="false">IF(ISNUMBER(F30),IF(ROUND(F30,1)=ROUND(E30,1),"same","differs"),"n/a")</f>
        <v>same</v>
      </c>
    </row>
    <row r="31" customFormat="false" ht="15" hidden="false" customHeight="false" outlineLevel="0" collapsed="false">
      <c r="B31" s="44" t="n">
        <v>24</v>
      </c>
      <c r="C31" s="8" t="s">
        <v>640</v>
      </c>
      <c r="D31" s="8" t="s">
        <v>664</v>
      </c>
      <c r="E31" s="56" t="n">
        <v>1070.9</v>
      </c>
      <c r="F31" s="57" t="n">
        <f aca="false">Cases!$F$35</f>
        <v>1070.86614173228</v>
      </c>
      <c r="G31" s="58" t="n">
        <f aca="false">IF(ISNUMBER(F31),F31-E31,"n/a")</f>
        <v>-0.033858267716596</v>
      </c>
      <c r="H31" s="59" t="n">
        <v>0.050000001</v>
      </c>
      <c r="I31" s="40" t="str">
        <f aca="false">IF(ISNUMBER(F31),IF(ABS(F31-E31)&lt;=H31,"PASS","FAIL"),"FAIL")</f>
        <v>PASS</v>
      </c>
      <c r="J31" s="40" t="str">
        <f aca="false">IF(ISNUMBER(F31),IF(ROUND(F31,1)=ROUND(E31,1),"same","differs"),"n/a")</f>
        <v>same</v>
      </c>
    </row>
    <row r="32" customFormat="false" ht="15" hidden="false" customHeight="false" outlineLevel="0" collapsed="false">
      <c r="B32" s="44" t="n">
        <v>25</v>
      </c>
      <c r="C32" s="8" t="s">
        <v>640</v>
      </c>
      <c r="D32" s="8" t="s">
        <v>665</v>
      </c>
      <c r="E32" s="56" t="n">
        <v>1085.3</v>
      </c>
      <c r="F32" s="57" t="n">
        <f aca="false">Cases!$G$35</f>
        <v>1085.27131782946</v>
      </c>
      <c r="G32" s="58" t="n">
        <f aca="false">IF(ISNUMBER(F32),F32-E32,"n/a")</f>
        <v>-0.0286821705426519</v>
      </c>
      <c r="H32" s="59" t="n">
        <v>0.050000001</v>
      </c>
      <c r="I32" s="40" t="str">
        <f aca="false">IF(ISNUMBER(F32),IF(ABS(F32-E32)&lt;=H32,"PASS","FAIL"),"FAIL")</f>
        <v>PASS</v>
      </c>
      <c r="J32" s="40" t="str">
        <f aca="false">IF(ISNUMBER(F32),IF(ROUND(F32,1)=ROUND(E32,1),"same","differs"),"n/a")</f>
        <v>same</v>
      </c>
    </row>
    <row r="33" customFormat="false" ht="15" hidden="false" customHeight="false" outlineLevel="0" collapsed="false">
      <c r="B33" s="44" t="n">
        <v>26</v>
      </c>
      <c r="C33" s="8" t="s">
        <v>640</v>
      </c>
      <c r="D33" s="8" t="s">
        <v>666</v>
      </c>
      <c r="E33" s="56" t="n">
        <v>67.3</v>
      </c>
      <c r="F33" s="57" t="n">
        <f aca="false">Cases!$C$42</f>
        <v>67.25</v>
      </c>
      <c r="G33" s="58" t="n">
        <f aca="false">IF(ISNUMBER(F33),F33-E33,"n/a")</f>
        <v>-0.0499999999999972</v>
      </c>
      <c r="H33" s="59" t="n">
        <v>0.050000001</v>
      </c>
      <c r="I33" s="40" t="str">
        <f aca="false">IF(ISNUMBER(F33),IF(ABS(F33-E33)&lt;=H33,"PASS","FAIL"),"FAIL")</f>
        <v>PASS</v>
      </c>
      <c r="J33" s="40" t="str">
        <f aca="false">IF(ISNUMBER(F33),IF(ROUND(F33,1)=ROUND(E33,1),"same","differs"),"n/a")</f>
        <v>same</v>
      </c>
    </row>
    <row r="34" customFormat="false" ht="15" hidden="false" customHeight="false" outlineLevel="0" collapsed="false">
      <c r="B34" s="44" t="n">
        <v>27</v>
      </c>
      <c r="C34" s="8" t="s">
        <v>640</v>
      </c>
      <c r="D34" s="8" t="s">
        <v>667</v>
      </c>
      <c r="E34" s="56" t="n">
        <v>61.3</v>
      </c>
      <c r="F34" s="57" t="n">
        <f aca="false">Cases!$D$42</f>
        <v>61.2747933884298</v>
      </c>
      <c r="G34" s="58" t="n">
        <f aca="false">IF(ISNUMBER(F34),F34-E34,"n/a")</f>
        <v>-0.0252066115702334</v>
      </c>
      <c r="H34" s="59" t="n">
        <v>0.050000001</v>
      </c>
      <c r="I34" s="40" t="str">
        <f aca="false">IF(ISNUMBER(F34),IF(ABS(F34-E34)&lt;=H34,"PASS","FAIL"),"FAIL")</f>
        <v>PASS</v>
      </c>
      <c r="J34" s="40" t="str">
        <f aca="false">IF(ISNUMBER(F34),IF(ROUND(F34,1)=ROUND(E34,1),"same","differs"),"n/a")</f>
        <v>same</v>
      </c>
    </row>
    <row r="35" customFormat="false" ht="15" hidden="false" customHeight="false" outlineLevel="0" collapsed="false">
      <c r="B35" s="44" t="n">
        <v>28</v>
      </c>
      <c r="C35" s="8" t="s">
        <v>640</v>
      </c>
      <c r="D35" s="8" t="s">
        <v>668</v>
      </c>
      <c r="E35" s="56" t="n">
        <v>65.9</v>
      </c>
      <c r="F35" s="57" t="n">
        <f aca="false">Cases!$E$42</f>
        <v>65.918754998667</v>
      </c>
      <c r="G35" s="58" t="n">
        <f aca="false">IF(ISNUMBER(F35),F35-E35,"n/a")</f>
        <v>0.0187549986669922</v>
      </c>
      <c r="H35" s="59" t="n">
        <v>0.050000001</v>
      </c>
      <c r="I35" s="40" t="str">
        <f aca="false">IF(ISNUMBER(F35),IF(ABS(F35-E35)&lt;=H35,"PASS","FAIL"),"FAIL")</f>
        <v>PASS</v>
      </c>
      <c r="J35" s="40" t="str">
        <f aca="false">IF(ISNUMBER(F35),IF(ROUND(F35,1)=ROUND(E35,1),"same","differs"),"n/a")</f>
        <v>same</v>
      </c>
    </row>
    <row r="36" customFormat="false" ht="15" hidden="false" customHeight="false" outlineLevel="0" collapsed="false">
      <c r="B36" s="44" t="n">
        <v>29</v>
      </c>
      <c r="C36" s="8" t="s">
        <v>640</v>
      </c>
      <c r="D36" s="8" t="s">
        <v>669</v>
      </c>
      <c r="E36" s="56" t="n">
        <v>70.6</v>
      </c>
      <c r="F36" s="57" t="n">
        <f aca="false">Cases!$F$42</f>
        <v>70.5525146050292</v>
      </c>
      <c r="G36" s="58" t="n">
        <f aca="false">IF(ISNUMBER(F36),F36-E36,"n/a")</f>
        <v>-0.0474853949707779</v>
      </c>
      <c r="H36" s="59" t="n">
        <v>0.050000001</v>
      </c>
      <c r="I36" s="40" t="str">
        <f aca="false">IF(ISNUMBER(F36),IF(ABS(F36-E36)&lt;=H36,"PASS","FAIL"),"FAIL")</f>
        <v>PASS</v>
      </c>
      <c r="J36" s="40" t="str">
        <f aca="false">IF(ISNUMBER(F36),IF(ROUND(F36,1)=ROUND(E36,1),"same","differs"),"n/a")</f>
        <v>same</v>
      </c>
    </row>
    <row r="37" customFormat="false" ht="15" hidden="false" customHeight="false" outlineLevel="0" collapsed="false">
      <c r="B37" s="44" t="n">
        <v>30</v>
      </c>
      <c r="C37" s="8" t="s">
        <v>640</v>
      </c>
      <c r="D37" s="8" t="s">
        <v>670</v>
      </c>
      <c r="E37" s="56" t="n">
        <v>74.5</v>
      </c>
      <c r="F37" s="57" t="n">
        <f aca="false">Cases!$G$42</f>
        <v>74.5213788683391</v>
      </c>
      <c r="G37" s="58" t="n">
        <f aca="false">IF(ISNUMBER(F37),F37-E37,"n/a")</f>
        <v>0.0213788683391414</v>
      </c>
      <c r="H37" s="59" t="n">
        <v>0.050000001</v>
      </c>
      <c r="I37" s="40" t="str">
        <f aca="false">IF(ISNUMBER(F37),IF(ABS(F37-E37)&lt;=H37,"PASS","FAIL"),"FAIL")</f>
        <v>PASS</v>
      </c>
      <c r="J37" s="40" t="str">
        <f aca="false">IF(ISNUMBER(F37),IF(ROUND(F37,1)=ROUND(E37,1),"same","differs"),"n/a")</f>
        <v>same</v>
      </c>
    </row>
    <row r="38" customFormat="false" ht="15" hidden="false" customHeight="false" outlineLevel="0" collapsed="false">
      <c r="B38" s="44" t="n">
        <v>31</v>
      </c>
      <c r="C38" s="8" t="s">
        <v>671</v>
      </c>
      <c r="D38" s="8" t="s">
        <v>672</v>
      </c>
      <c r="E38" s="56" t="n">
        <v>1292.1</v>
      </c>
      <c r="F38" s="57" t="n">
        <f aca="false">DCF!$C$18</f>
        <v>1292.09880797061</v>
      </c>
      <c r="G38" s="58" t="n">
        <f aca="false">IF(ISNUMBER(F38),F38-E38,"n/a")</f>
        <v>-0.00119202938776652</v>
      </c>
      <c r="H38" s="59" t="n">
        <v>0.050000001</v>
      </c>
      <c r="I38" s="40" t="str">
        <f aca="false">IF(ISNUMBER(F38),IF(ABS(F38-E38)&lt;=H38,"PASS","FAIL"),"FAIL")</f>
        <v>PASS</v>
      </c>
      <c r="J38" s="40" t="str">
        <f aca="false">IF(ISNUMBER(F38),IF(ROUND(F38,1)=ROUND(E38,1),"same","differs"),"n/a")</f>
        <v>same</v>
      </c>
    </row>
    <row r="39" customFormat="false" ht="15" hidden="false" customHeight="false" outlineLevel="0" collapsed="false">
      <c r="B39" s="44" t="n">
        <v>32</v>
      </c>
      <c r="C39" s="8" t="s">
        <v>671</v>
      </c>
      <c r="D39" s="8" t="s">
        <v>673</v>
      </c>
      <c r="E39" s="12" t="n">
        <v>0.693</v>
      </c>
      <c r="F39" s="60" t="n">
        <f aca="false">DCF!$C$19</f>
        <v>0.692513863941103</v>
      </c>
      <c r="G39" s="58" t="n">
        <f aca="false">IF(ISNUMBER(F39),F39-E39,"n/a")</f>
        <v>-0.000486136058897135</v>
      </c>
      <c r="H39" s="59" t="n">
        <v>0.000500001</v>
      </c>
      <c r="I39" s="40" t="str">
        <f aca="false">IF(ISNUMBER(F39),IF(ABS(F39-E39)&lt;=H39,"PASS","FAIL"),"FAIL")</f>
        <v>PASS</v>
      </c>
      <c r="J39" s="40" t="str">
        <f aca="false">IF(ISNUMBER(F39),IF(ROUND(F39,3)=ROUND(E39,3),"same","differs"),"n/a")</f>
        <v>same</v>
      </c>
    </row>
    <row r="40" customFormat="false" ht="15" hidden="false" customHeight="false" outlineLevel="0" collapsed="false">
      <c r="B40" s="44" t="n">
        <v>33</v>
      </c>
      <c r="C40" s="8" t="s">
        <v>671</v>
      </c>
      <c r="D40" s="8" t="s">
        <v>674</v>
      </c>
      <c r="E40" s="56" t="n">
        <v>6.7</v>
      </c>
      <c r="F40" s="57" t="n">
        <f aca="false">DCF!$C$20</f>
        <v>6.68750052765325</v>
      </c>
      <c r="G40" s="58" t="n">
        <f aca="false">IF(ISNUMBER(F40),F40-E40,"n/a")</f>
        <v>-0.0124994723467475</v>
      </c>
      <c r="H40" s="59" t="n">
        <v>0.050000001</v>
      </c>
      <c r="I40" s="40" t="str">
        <f aca="false">IF(ISNUMBER(F40),IF(ABS(F40-E40)&lt;=H40,"PASS","FAIL"),"FAIL")</f>
        <v>PASS</v>
      </c>
      <c r="J40" s="40" t="str">
        <f aca="false">IF(ISNUMBER(F40),IF(ROUND(F40,1)=ROUND(E40,1),"same","differs"),"n/a")</f>
        <v>same</v>
      </c>
    </row>
    <row r="41" customFormat="false" ht="15" hidden="false" customHeight="false" outlineLevel="0" collapsed="false">
      <c r="B41" s="44" t="n">
        <v>34</v>
      </c>
      <c r="C41" s="8" t="s">
        <v>675</v>
      </c>
      <c r="D41" s="8" t="s">
        <v>676</v>
      </c>
      <c r="E41" s="56" t="n">
        <v>1050</v>
      </c>
      <c r="F41" s="57" t="n">
        <f aca="false">Multiples!$C$8</f>
        <v>1050</v>
      </c>
      <c r="G41" s="58" t="n">
        <f aca="false">IF(ISNUMBER(F41),F41-E41,"n/a")</f>
        <v>0</v>
      </c>
      <c r="H41" s="59" t="n">
        <v>0.050000001</v>
      </c>
      <c r="I41" s="40" t="str">
        <f aca="false">IF(ISNUMBER(F41),IF(ABS(F41-E41)&lt;=H41,"PASS","FAIL"),"FAIL")</f>
        <v>PASS</v>
      </c>
      <c r="J41" s="40" t="str">
        <f aca="false">IF(ISNUMBER(F41),IF(ROUND(F41,1)=ROUND(E41,1),"same","differs"),"n/a")</f>
        <v>same</v>
      </c>
    </row>
    <row r="42" customFormat="false" ht="15" hidden="false" customHeight="false" outlineLevel="0" collapsed="false">
      <c r="B42" s="44" t="n">
        <v>35</v>
      </c>
      <c r="C42" s="8" t="s">
        <v>675</v>
      </c>
      <c r="D42" s="8" t="s">
        <v>677</v>
      </c>
      <c r="E42" s="61" t="n">
        <v>900</v>
      </c>
      <c r="F42" s="62" t="n">
        <f aca="false">Multiples!$C$7</f>
        <v>900</v>
      </c>
      <c r="G42" s="58" t="n">
        <f aca="false">IF(ISNUMBER(F42),F42-E42,"n/a")</f>
        <v>0</v>
      </c>
      <c r="H42" s="59" t="n">
        <v>0.500000001</v>
      </c>
      <c r="I42" s="40" t="str">
        <f aca="false">IF(ISNUMBER(F42),IF(ABS(F42-E42)&lt;=H42,"PASS","FAIL"),"FAIL")</f>
        <v>PASS</v>
      </c>
      <c r="J42" s="40" t="str">
        <f aca="false">IF(ISNUMBER(F42),IF(ROUND(F42,0)=ROUND(E42,0),"same","differs"),"n/a")</f>
        <v>same</v>
      </c>
    </row>
    <row r="43" customFormat="false" ht="15" hidden="false" customHeight="false" outlineLevel="0" collapsed="false">
      <c r="B43" s="44" t="n">
        <v>36</v>
      </c>
      <c r="C43" s="8" t="s">
        <v>675</v>
      </c>
      <c r="D43" s="8" t="s">
        <v>678</v>
      </c>
      <c r="E43" s="61" t="n">
        <v>1200</v>
      </c>
      <c r="F43" s="62" t="n">
        <f aca="false">Multiples!$C$9</f>
        <v>1200</v>
      </c>
      <c r="G43" s="58" t="n">
        <f aca="false">IF(ISNUMBER(F43),F43-E43,"n/a")</f>
        <v>0</v>
      </c>
      <c r="H43" s="59" t="n">
        <v>0.500000001</v>
      </c>
      <c r="I43" s="40" t="str">
        <f aca="false">IF(ISNUMBER(F43),IF(ABS(F43-E43)&lt;=H43,"PASS","FAIL"),"FAIL")</f>
        <v>PASS</v>
      </c>
      <c r="J43" s="40" t="str">
        <f aca="false">IF(ISNUMBER(F43),IF(ROUND(F43,0)=ROUND(E43,0),"same","differs"),"n/a")</f>
        <v>same</v>
      </c>
    </row>
    <row r="44" customFormat="false" ht="15" hidden="false" customHeight="false" outlineLevel="0" collapsed="false">
      <c r="B44" s="44" t="n">
        <v>37</v>
      </c>
      <c r="C44" s="8" t="s">
        <v>675</v>
      </c>
      <c r="D44" s="8" t="s">
        <v>679</v>
      </c>
      <c r="E44" s="56" t="n">
        <v>1171</v>
      </c>
      <c r="F44" s="57" t="n">
        <f aca="false">Multiples!$C$11</f>
        <v>1171.04940398531</v>
      </c>
      <c r="G44" s="58" t="n">
        <f aca="false">IF(ISNUMBER(F44),F44-E44,"n/a")</f>
        <v>0.0494039853060713</v>
      </c>
      <c r="H44" s="59" t="n">
        <v>0.050000001</v>
      </c>
      <c r="I44" s="40" t="str">
        <f aca="false">IF(ISNUMBER(F44),IF(ABS(F44-E44)&lt;=H44,"PASS","FAIL"),"FAIL")</f>
        <v>PASS</v>
      </c>
      <c r="J44" s="40" t="str">
        <f aca="false">IF(ISNUMBER(F44),IF(ROUND(F44,1)=ROUND(E44,1),"same","differs"),"n/a")</f>
        <v>same</v>
      </c>
    </row>
    <row r="45" customFormat="false" ht="15" hidden="false" customHeight="false" outlineLevel="0" collapsed="false">
      <c r="B45" s="44" t="n">
        <v>38</v>
      </c>
      <c r="C45" s="8" t="s">
        <v>675</v>
      </c>
      <c r="D45" s="8" t="s">
        <v>680</v>
      </c>
      <c r="E45" s="61" t="n">
        <v>1170</v>
      </c>
      <c r="F45" s="62" t="n">
        <f aca="false">Multiples!$C$12</f>
        <v>1170</v>
      </c>
      <c r="G45" s="58" t="n">
        <f aca="false">IF(ISNUMBER(F45),F45-E45,"n/a")</f>
        <v>0</v>
      </c>
      <c r="H45" s="59" t="n">
        <v>0.500000001</v>
      </c>
      <c r="I45" s="40" t="str">
        <f aca="false">IF(ISNUMBER(F45),IF(ABS(F45-E45)&lt;=H45,"PASS","FAIL"),"FAIL")</f>
        <v>PASS</v>
      </c>
      <c r="J45" s="40" t="str">
        <f aca="false">IF(ISNUMBER(F45),IF(ROUND(F45,0)=ROUND(E45,0),"same","differs"),"n/a")</f>
        <v>same</v>
      </c>
    </row>
    <row r="46" customFormat="false" ht="15" hidden="false" customHeight="false" outlineLevel="0" collapsed="false">
      <c r="B46" s="44" t="n">
        <v>39</v>
      </c>
      <c r="C46" s="8" t="s">
        <v>671</v>
      </c>
      <c r="D46" s="8" t="s">
        <v>681</v>
      </c>
      <c r="E46" s="56" t="n">
        <v>982</v>
      </c>
      <c r="F46" s="57" t="n">
        <f aca="false">DCF!$C$29</f>
        <v>981.982458997495</v>
      </c>
      <c r="G46" s="58" t="n">
        <f aca="false">IF(ISNUMBER(F46),F46-E46,"n/a")</f>
        <v>-0.0175410025051406</v>
      </c>
      <c r="H46" s="59" t="n">
        <v>0.050000001</v>
      </c>
      <c r="I46" s="40" t="str">
        <f aca="false">IF(ISNUMBER(F46),IF(ABS(F46-E46)&lt;=H46,"PASS","FAIL"),"FAIL")</f>
        <v>PASS</v>
      </c>
      <c r="J46" s="40" t="str">
        <f aca="false">IF(ISNUMBER(F46),IF(ROUND(F46,1)=ROUND(E46,1),"same","differs"),"n/a")</f>
        <v>same</v>
      </c>
    </row>
    <row r="47" customFormat="false" ht="15" hidden="false" customHeight="false" outlineLevel="0" collapsed="false">
      <c r="B47" s="44" t="n">
        <v>40</v>
      </c>
      <c r="C47" s="8" t="s">
        <v>671</v>
      </c>
      <c r="D47" s="8" t="s">
        <v>682</v>
      </c>
      <c r="E47" s="12" t="n">
        <v>0.674</v>
      </c>
      <c r="F47" s="60" t="n">
        <f aca="false">DCF!$C$30</f>
        <v>0.673846512326815</v>
      </c>
      <c r="G47" s="58" t="n">
        <f aca="false">IF(ISNUMBER(F47),F47-E47,"n/a")</f>
        <v>-0.000153487673185015</v>
      </c>
      <c r="H47" s="59" t="n">
        <v>0.000500001</v>
      </c>
      <c r="I47" s="40" t="str">
        <f aca="false">IF(ISNUMBER(F47),IF(ABS(F47-E47)&lt;=H47,"PASS","FAIL"),"FAIL")</f>
        <v>PASS</v>
      </c>
      <c r="J47" s="40" t="str">
        <f aca="false">IF(ISNUMBER(F47),IF(ROUND(F47,3)=ROUND(E47,3),"same","differs"),"n/a")</f>
        <v>same</v>
      </c>
    </row>
    <row r="48" customFormat="false" ht="15" hidden="false" customHeight="false" outlineLevel="0" collapsed="false">
      <c r="B48" s="44" t="n">
        <v>41</v>
      </c>
      <c r="C48" s="8" t="s">
        <v>671</v>
      </c>
      <c r="D48" s="8" t="s">
        <v>683</v>
      </c>
      <c r="E48" s="56" t="n">
        <v>6.3</v>
      </c>
      <c r="F48" s="57" t="n">
        <f aca="false">DCF!$C$31</f>
        <v>6.33726179540933</v>
      </c>
      <c r="G48" s="58" t="n">
        <f aca="false">IF(ISNUMBER(F48),F48-E48,"n/a")</f>
        <v>0.0372617954093304</v>
      </c>
      <c r="H48" s="59" t="n">
        <v>0.050000001</v>
      </c>
      <c r="I48" s="40" t="str">
        <f aca="false">IF(ISNUMBER(F48),IF(ABS(F48-E48)&lt;=H48,"PASS","FAIL"),"FAIL")</f>
        <v>PASS</v>
      </c>
      <c r="J48" s="40" t="str">
        <f aca="false">IF(ISNUMBER(F48),IF(ROUND(F48,1)=ROUND(E48,1),"same","differs"),"n/a")</f>
        <v>same</v>
      </c>
    </row>
    <row r="49" customFormat="false" ht="15" hidden="false" customHeight="false" outlineLevel="0" collapsed="false">
      <c r="B49" s="44" t="n">
        <v>42</v>
      </c>
      <c r="C49" s="8" t="s">
        <v>675</v>
      </c>
      <c r="D49" s="8" t="s">
        <v>684</v>
      </c>
      <c r="E49" s="56" t="n">
        <v>966</v>
      </c>
      <c r="F49" s="57" t="n">
        <f aca="false">Multiples!$D$8</f>
        <v>966</v>
      </c>
      <c r="G49" s="58" t="n">
        <f aca="false">IF(ISNUMBER(F49),F49-E49,"n/a")</f>
        <v>0</v>
      </c>
      <c r="H49" s="59" t="n">
        <v>0.050000001</v>
      </c>
      <c r="I49" s="40" t="str">
        <f aca="false">IF(ISNUMBER(F49),IF(ABS(F49-E49)&lt;=H49,"PASS","FAIL"),"FAIL")</f>
        <v>PASS</v>
      </c>
      <c r="J49" s="40" t="str">
        <f aca="false">IF(ISNUMBER(F49),IF(ROUND(F49,1)=ROUND(E49,1),"same","differs"),"n/a")</f>
        <v>same</v>
      </c>
    </row>
    <row r="50" customFormat="false" ht="15" hidden="false" customHeight="false" outlineLevel="0" collapsed="false">
      <c r="B50" s="44" t="n">
        <v>43</v>
      </c>
      <c r="C50" s="8" t="s">
        <v>675</v>
      </c>
      <c r="D50" s="8" t="s">
        <v>685</v>
      </c>
      <c r="E50" s="61" t="n">
        <v>828</v>
      </c>
      <c r="F50" s="62" t="n">
        <f aca="false">Multiples!$D$7</f>
        <v>828</v>
      </c>
      <c r="G50" s="58" t="n">
        <f aca="false">IF(ISNUMBER(F50),F50-E50,"n/a")</f>
        <v>0</v>
      </c>
      <c r="H50" s="59" t="n">
        <v>0.500000001</v>
      </c>
      <c r="I50" s="40" t="str">
        <f aca="false">IF(ISNUMBER(F50),IF(ABS(F50-E50)&lt;=H50,"PASS","FAIL"),"FAIL")</f>
        <v>PASS</v>
      </c>
      <c r="J50" s="40" t="str">
        <f aca="false">IF(ISNUMBER(F50),IF(ROUND(F50,0)=ROUND(E50,0),"same","differs"),"n/a")</f>
        <v>same</v>
      </c>
    </row>
    <row r="51" customFormat="false" ht="15" hidden="false" customHeight="false" outlineLevel="0" collapsed="false">
      <c r="B51" s="44" t="n">
        <v>44</v>
      </c>
      <c r="C51" s="8" t="s">
        <v>675</v>
      </c>
      <c r="D51" s="8" t="s">
        <v>686</v>
      </c>
      <c r="E51" s="61" t="n">
        <v>1104</v>
      </c>
      <c r="F51" s="62" t="n">
        <f aca="false">Multiples!$D$9</f>
        <v>1104</v>
      </c>
      <c r="G51" s="58" t="n">
        <f aca="false">IF(ISNUMBER(F51),F51-E51,"n/a")</f>
        <v>0</v>
      </c>
      <c r="H51" s="59" t="n">
        <v>0.500000001</v>
      </c>
      <c r="I51" s="40" t="str">
        <f aca="false">IF(ISNUMBER(F51),IF(ABS(F51-E51)&lt;=H51,"PASS","FAIL"),"FAIL")</f>
        <v>PASS</v>
      </c>
      <c r="J51" s="40" t="str">
        <f aca="false">IF(ISNUMBER(F51),IF(ROUND(F51,0)=ROUND(E51,0),"same","differs"),"n/a")</f>
        <v>same</v>
      </c>
    </row>
    <row r="52" customFormat="false" ht="15" hidden="false" customHeight="false" outlineLevel="0" collapsed="false">
      <c r="B52" s="44" t="n">
        <v>45</v>
      </c>
      <c r="C52" s="8" t="s">
        <v>675</v>
      </c>
      <c r="D52" s="8" t="s">
        <v>687</v>
      </c>
      <c r="E52" s="56" t="n">
        <v>974</v>
      </c>
      <c r="F52" s="57" t="n">
        <f aca="false">Multiples!$D$11</f>
        <v>973.991229498747</v>
      </c>
      <c r="G52" s="58" t="n">
        <f aca="false">IF(ISNUMBER(F52),F52-E52,"n/a")</f>
        <v>-0.00877050125257028</v>
      </c>
      <c r="H52" s="59" t="n">
        <v>0.050000001</v>
      </c>
      <c r="I52" s="40" t="str">
        <f aca="false">IF(ISNUMBER(F52),IF(ABS(F52-E52)&lt;=H52,"PASS","FAIL"),"FAIL")</f>
        <v>PASS</v>
      </c>
      <c r="J52" s="40" t="str">
        <f aca="false">IF(ISNUMBER(F52),IF(ROUND(F52,1)=ROUND(E52,1),"same","differs"),"n/a")</f>
        <v>same</v>
      </c>
    </row>
    <row r="53" customFormat="false" ht="15" hidden="false" customHeight="false" outlineLevel="0" collapsed="false">
      <c r="B53" s="44" t="n">
        <v>46</v>
      </c>
      <c r="C53" s="8" t="s">
        <v>675</v>
      </c>
      <c r="D53" s="8" t="s">
        <v>688</v>
      </c>
      <c r="E53" s="61" t="n">
        <v>975</v>
      </c>
      <c r="F53" s="62" t="n">
        <f aca="false">Multiples!$D$12</f>
        <v>975</v>
      </c>
      <c r="G53" s="58" t="n">
        <f aca="false">IF(ISNUMBER(F53),F53-E53,"n/a")</f>
        <v>0</v>
      </c>
      <c r="H53" s="59" t="n">
        <v>0.500000001</v>
      </c>
      <c r="I53" s="40" t="str">
        <f aca="false">IF(ISNUMBER(F53),IF(ABS(F53-E53)&lt;=H53,"PASS","FAIL"),"FAIL")</f>
        <v>PASS</v>
      </c>
      <c r="J53" s="40" t="str">
        <f aca="false">IF(ISNUMBER(F53),IF(ROUND(F53,0)=ROUND(E53,0),"same","differs"),"n/a")</f>
        <v>same</v>
      </c>
    </row>
    <row r="54" customFormat="false" ht="15" hidden="false" customHeight="false" outlineLevel="0" collapsed="false">
      <c r="B54" s="44" t="n">
        <v>47</v>
      </c>
      <c r="C54" s="8" t="s">
        <v>671</v>
      </c>
      <c r="D54" s="8" t="s">
        <v>689</v>
      </c>
      <c r="E54" s="56" t="n">
        <v>790.6</v>
      </c>
      <c r="F54" s="57" t="n">
        <f aca="false">DCF!$C$40</f>
        <v>790.628406330941</v>
      </c>
      <c r="G54" s="58" t="n">
        <f aca="false">IF(ISNUMBER(F54),F54-E54,"n/a")</f>
        <v>0.0284063309408111</v>
      </c>
      <c r="H54" s="59" t="n">
        <v>0.050000001</v>
      </c>
      <c r="I54" s="40" t="str">
        <f aca="false">IF(ISNUMBER(F54),IF(ABS(F54-E54)&lt;=H54,"PASS","FAIL"),"FAIL")</f>
        <v>PASS</v>
      </c>
      <c r="J54" s="40" t="str">
        <f aca="false">IF(ISNUMBER(F54),IF(ROUND(F54,1)=ROUND(E54,1),"same","differs"),"n/a")</f>
        <v>same</v>
      </c>
    </row>
    <row r="55" customFormat="false" ht="15" hidden="false" customHeight="false" outlineLevel="0" collapsed="false">
      <c r="B55" s="44" t="n">
        <v>48</v>
      </c>
      <c r="C55" s="8" t="s">
        <v>671</v>
      </c>
      <c r="D55" s="8" t="s">
        <v>690</v>
      </c>
      <c r="E55" s="12" t="n">
        <v>0.668</v>
      </c>
      <c r="F55" s="60" t="n">
        <f aca="false">DCF!$C$41</f>
        <v>0.66790197219463</v>
      </c>
      <c r="G55" s="58" t="n">
        <f aca="false">IF(ISNUMBER(F55),F55-E55,"n/a")</f>
        <v>-9.8027805370382E-005</v>
      </c>
      <c r="H55" s="59" t="n">
        <v>0.000500001</v>
      </c>
      <c r="I55" s="40" t="str">
        <f aca="false">IF(ISNUMBER(F55),IF(ABS(F55-E55)&lt;=H55,"PASS","FAIL"),"FAIL")</f>
        <v>PASS</v>
      </c>
      <c r="J55" s="40" t="str">
        <f aca="false">IF(ISNUMBER(F55),IF(ROUND(F55,3)=ROUND(E55,3),"same","differs"),"n/a")</f>
        <v>same</v>
      </c>
    </row>
    <row r="56" customFormat="false" ht="15" hidden="false" customHeight="false" outlineLevel="0" collapsed="false">
      <c r="B56" s="44" t="n">
        <v>49</v>
      </c>
      <c r="C56" s="8" t="s">
        <v>671</v>
      </c>
      <c r="D56" s="8" t="s">
        <v>691</v>
      </c>
      <c r="E56" s="56" t="n">
        <v>6</v>
      </c>
      <c r="F56" s="57" t="n">
        <f aca="false">DCF!$C$42</f>
        <v>6.0326830512465</v>
      </c>
      <c r="G56" s="58" t="n">
        <f aca="false">IF(ISNUMBER(F56),F56-E56,"n/a")</f>
        <v>0.0326830512465026</v>
      </c>
      <c r="H56" s="59" t="n">
        <v>0.050000001</v>
      </c>
      <c r="I56" s="40" t="str">
        <f aca="false">IF(ISNUMBER(F56),IF(ABS(F56-E56)&lt;=H56,"PASS","FAIL"),"FAIL")</f>
        <v>PASS</v>
      </c>
      <c r="J56" s="40" t="str">
        <f aca="false">IF(ISNUMBER(F56),IF(ROUND(F56,1)=ROUND(E56,1),"same","differs"),"n/a")</f>
        <v>same</v>
      </c>
    </row>
    <row r="57" customFormat="false" ht="15" hidden="false" customHeight="false" outlineLevel="0" collapsed="false">
      <c r="B57" s="44" t="n">
        <v>50</v>
      </c>
      <c r="C57" s="8" t="s">
        <v>675</v>
      </c>
      <c r="D57" s="8" t="s">
        <v>692</v>
      </c>
      <c r="E57" s="56" t="n">
        <v>840</v>
      </c>
      <c r="F57" s="57" t="n">
        <f aca="false">Multiples!$E$8</f>
        <v>840</v>
      </c>
      <c r="G57" s="58" t="n">
        <f aca="false">IF(ISNUMBER(F57),F57-E57,"n/a")</f>
        <v>0</v>
      </c>
      <c r="H57" s="59" t="n">
        <v>0.050000001</v>
      </c>
      <c r="I57" s="40" t="str">
        <f aca="false">IF(ISNUMBER(F57),IF(ABS(F57-E57)&lt;=H57,"PASS","FAIL"),"FAIL")</f>
        <v>PASS</v>
      </c>
      <c r="J57" s="40" t="str">
        <f aca="false">IF(ISNUMBER(F57),IF(ROUND(F57,1)=ROUND(E57,1),"same","differs"),"n/a")</f>
        <v>same</v>
      </c>
    </row>
    <row r="58" customFormat="false" ht="15" hidden="false" customHeight="false" outlineLevel="0" collapsed="false">
      <c r="B58" s="44" t="n">
        <v>51</v>
      </c>
      <c r="C58" s="8" t="s">
        <v>675</v>
      </c>
      <c r="D58" s="8" t="s">
        <v>693</v>
      </c>
      <c r="E58" s="61" t="n">
        <v>720</v>
      </c>
      <c r="F58" s="62" t="n">
        <f aca="false">Multiples!$E$7</f>
        <v>720</v>
      </c>
      <c r="G58" s="58" t="n">
        <f aca="false">IF(ISNUMBER(F58),F58-E58,"n/a")</f>
        <v>0</v>
      </c>
      <c r="H58" s="59" t="n">
        <v>0.500000001</v>
      </c>
      <c r="I58" s="40" t="str">
        <f aca="false">IF(ISNUMBER(F58),IF(ABS(F58-E58)&lt;=H58,"PASS","FAIL"),"FAIL")</f>
        <v>PASS</v>
      </c>
      <c r="J58" s="40" t="str">
        <f aca="false">IF(ISNUMBER(F58),IF(ROUND(F58,0)=ROUND(E58,0),"same","differs"),"n/a")</f>
        <v>same</v>
      </c>
    </row>
    <row r="59" customFormat="false" ht="15" hidden="false" customHeight="false" outlineLevel="0" collapsed="false">
      <c r="B59" s="44" t="n">
        <v>52</v>
      </c>
      <c r="C59" s="8" t="s">
        <v>675</v>
      </c>
      <c r="D59" s="8" t="s">
        <v>694</v>
      </c>
      <c r="E59" s="61" t="n">
        <v>960</v>
      </c>
      <c r="F59" s="62" t="n">
        <f aca="false">Multiples!$E$9</f>
        <v>960</v>
      </c>
      <c r="G59" s="58" t="n">
        <f aca="false">IF(ISNUMBER(F59),F59-E59,"n/a")</f>
        <v>0</v>
      </c>
      <c r="H59" s="59" t="n">
        <v>0.500000001</v>
      </c>
      <c r="I59" s="40" t="str">
        <f aca="false">IF(ISNUMBER(F59),IF(ABS(F59-E59)&lt;=H59,"PASS","FAIL"),"FAIL")</f>
        <v>PASS</v>
      </c>
      <c r="J59" s="40" t="str">
        <f aca="false">IF(ISNUMBER(F59),IF(ROUND(F59,0)=ROUND(E59,0),"same","differs"),"n/a")</f>
        <v>same</v>
      </c>
    </row>
    <row r="60" customFormat="false" ht="15" hidden="false" customHeight="false" outlineLevel="0" collapsed="false">
      <c r="B60" s="44" t="n">
        <v>53</v>
      </c>
      <c r="C60" s="8" t="s">
        <v>675</v>
      </c>
      <c r="D60" s="8" t="s">
        <v>695</v>
      </c>
      <c r="E60" s="56" t="n">
        <v>815.3</v>
      </c>
      <c r="F60" s="57" t="n">
        <f aca="false">Multiples!$E$11</f>
        <v>815.31420316547</v>
      </c>
      <c r="G60" s="58" t="n">
        <f aca="false">IF(ISNUMBER(F60),F60-E60,"n/a")</f>
        <v>0.0142031654704624</v>
      </c>
      <c r="H60" s="59" t="n">
        <v>0.050000001</v>
      </c>
      <c r="I60" s="40" t="str">
        <f aca="false">IF(ISNUMBER(F60),IF(ABS(F60-E60)&lt;=H60,"PASS","FAIL"),"FAIL")</f>
        <v>PASS</v>
      </c>
      <c r="J60" s="40" t="str">
        <f aca="false">IF(ISNUMBER(F60),IF(ROUND(F60,1)=ROUND(E60,1),"same","differs"),"n/a")</f>
        <v>same</v>
      </c>
    </row>
    <row r="61" customFormat="false" ht="15" hidden="false" customHeight="false" outlineLevel="0" collapsed="false">
      <c r="B61" s="44" t="n">
        <v>54</v>
      </c>
      <c r="C61" s="8" t="s">
        <v>675</v>
      </c>
      <c r="D61" s="8" t="s">
        <v>696</v>
      </c>
      <c r="E61" s="61" t="n">
        <v>815</v>
      </c>
      <c r="F61" s="62" t="n">
        <f aca="false">Multiples!$E$12</f>
        <v>815</v>
      </c>
      <c r="G61" s="58" t="n">
        <f aca="false">IF(ISNUMBER(F61),F61-E61,"n/a")</f>
        <v>0</v>
      </c>
      <c r="H61" s="59" t="n">
        <v>0.500000001</v>
      </c>
      <c r="I61" s="40" t="str">
        <f aca="false">IF(ISNUMBER(F61),IF(ABS(F61-E61)&lt;=H61,"PASS","FAIL"),"FAIL")</f>
        <v>PASS</v>
      </c>
      <c r="J61" s="40" t="str">
        <f aca="false">IF(ISNUMBER(F61),IF(ROUND(F61,0)=ROUND(E61,0),"same","differs"),"n/a")</f>
        <v>same</v>
      </c>
    </row>
    <row r="62" customFormat="false" ht="15" hidden="false" customHeight="false" outlineLevel="0" collapsed="false">
      <c r="B62" s="44" t="n">
        <v>55</v>
      </c>
      <c r="C62" s="8" t="s">
        <v>675</v>
      </c>
      <c r="D62" s="8" t="s">
        <v>697</v>
      </c>
      <c r="E62" s="61" t="n">
        <v>355</v>
      </c>
      <c r="F62" s="62" t="n">
        <f aca="false">Multiples!$C$18</f>
        <v>355</v>
      </c>
      <c r="G62" s="58" t="n">
        <f aca="false">IF(ISNUMBER(F62),F62-E62,"n/a")</f>
        <v>0</v>
      </c>
      <c r="H62" s="59" t="n">
        <v>0.500000001</v>
      </c>
      <c r="I62" s="40" t="str">
        <f aca="false">IF(ISNUMBER(F62),IF(ABS(F62-E62)&lt;=H62,"PASS","FAIL"),"FAIL")</f>
        <v>PASS</v>
      </c>
      <c r="J62" s="40" t="str">
        <f aca="false">IF(ISNUMBER(F62),IF(ROUND(F62,0)=ROUND(E62,0),"same","differs"),"n/a")</f>
        <v>same</v>
      </c>
    </row>
    <row r="63" customFormat="false" ht="15" hidden="false" customHeight="false" outlineLevel="0" collapsed="false">
      <c r="B63" s="44" t="n">
        <v>56</v>
      </c>
      <c r="C63" s="8" t="s">
        <v>671</v>
      </c>
      <c r="D63" s="8" t="s">
        <v>698</v>
      </c>
      <c r="E63" s="56" t="n">
        <v>1009.8</v>
      </c>
      <c r="F63" s="57" t="n">
        <f aca="false">DCF!$C$47</f>
        <v>1009.83496165268</v>
      </c>
      <c r="G63" s="58" t="n">
        <f aca="false">IF(ISNUMBER(F63),F63-E63,"n/a")</f>
        <v>0.0349616526791579</v>
      </c>
      <c r="H63" s="59" t="n">
        <v>0.050000001</v>
      </c>
      <c r="I63" s="40" t="str">
        <f aca="false">IF(ISNUMBER(F63),IF(ABS(F63-E63)&lt;=H63,"PASS","FAIL"),"FAIL")</f>
        <v>PASS</v>
      </c>
      <c r="J63" s="40" t="str">
        <f aca="false">IF(ISNUMBER(F63),IF(ROUND(F63,1)=ROUND(E63,1),"same","differs"),"n/a")</f>
        <v>same</v>
      </c>
    </row>
    <row r="64" customFormat="false" ht="15" hidden="false" customHeight="false" outlineLevel="0" collapsed="false">
      <c r="B64" s="44" t="n">
        <v>57</v>
      </c>
      <c r="C64" s="8" t="s">
        <v>671</v>
      </c>
      <c r="D64" s="8" t="s">
        <v>699</v>
      </c>
      <c r="E64" s="56" t="n">
        <v>1102.7</v>
      </c>
      <c r="F64" s="57" t="n">
        <f aca="false">DCF!$D$47</f>
        <v>1102.74305823988</v>
      </c>
      <c r="G64" s="58" t="n">
        <f aca="false">IF(ISNUMBER(F64),F64-E64,"n/a")</f>
        <v>0.0430582398823844</v>
      </c>
      <c r="H64" s="59" t="n">
        <v>0.050000001</v>
      </c>
      <c r="I64" s="40" t="str">
        <f aca="false">IF(ISNUMBER(F64),IF(ABS(F64-E64)&lt;=H64,"PASS","FAIL"),"FAIL")</f>
        <v>PASS</v>
      </c>
      <c r="J64" s="40" t="str">
        <f aca="false">IF(ISNUMBER(F64),IF(ROUND(F64,1)=ROUND(E64,1),"same","differs"),"n/a")</f>
        <v>same</v>
      </c>
    </row>
    <row r="65" customFormat="false" ht="15" hidden="false" customHeight="false" outlineLevel="0" collapsed="false">
      <c r="B65" s="44" t="n">
        <v>58</v>
      </c>
      <c r="C65" s="8" t="s">
        <v>671</v>
      </c>
      <c r="D65" s="8" t="s">
        <v>700</v>
      </c>
      <c r="E65" s="56" t="n">
        <v>1222.2</v>
      </c>
      <c r="F65" s="57" t="n">
        <f aca="false">DCF!$E$47</f>
        <v>1222.19632528057</v>
      </c>
      <c r="G65" s="58" t="n">
        <f aca="false">IF(ISNUMBER(F65),F65-E65,"n/a")</f>
        <v>-0.00367471942786324</v>
      </c>
      <c r="H65" s="59" t="n">
        <v>0.050000001</v>
      </c>
      <c r="I65" s="40" t="str">
        <f aca="false">IF(ISNUMBER(F65),IF(ABS(F65-E65)&lt;=H65,"PASS","FAIL"),"FAIL")</f>
        <v>PASS</v>
      </c>
      <c r="J65" s="40" t="str">
        <f aca="false">IF(ISNUMBER(F65),IF(ROUND(F65,1)=ROUND(E65,1),"same","differs"),"n/a")</f>
        <v>same</v>
      </c>
    </row>
    <row r="66" customFormat="false" ht="15" hidden="false" customHeight="false" outlineLevel="0" collapsed="false">
      <c r="B66" s="44" t="n">
        <v>59</v>
      </c>
      <c r="C66" s="8" t="s">
        <v>671</v>
      </c>
      <c r="D66" s="8" t="s">
        <v>701</v>
      </c>
      <c r="E66" s="56" t="n">
        <v>910</v>
      </c>
      <c r="F66" s="57" t="n">
        <f aca="false">DCF!$C$48</f>
        <v>909.973335935794</v>
      </c>
      <c r="G66" s="58" t="n">
        <f aca="false">IF(ISNUMBER(F66),F66-E66,"n/a")</f>
        <v>-0.026664064205761</v>
      </c>
      <c r="H66" s="59" t="n">
        <v>0.050000001</v>
      </c>
      <c r="I66" s="40" t="str">
        <f aca="false">IF(ISNUMBER(F66),IF(ABS(F66-E66)&lt;=H66,"PASS","FAIL"),"FAIL")</f>
        <v>PASS</v>
      </c>
      <c r="J66" s="40" t="str">
        <f aca="false">IF(ISNUMBER(F66),IF(ROUND(F66,1)=ROUND(E66,1),"same","differs"),"n/a")</f>
        <v>same</v>
      </c>
    </row>
    <row r="67" customFormat="false" ht="15" hidden="false" customHeight="false" outlineLevel="0" collapsed="false">
      <c r="B67" s="44" t="n">
        <v>60</v>
      </c>
      <c r="C67" s="8" t="s">
        <v>671</v>
      </c>
      <c r="D67" s="8" t="s">
        <v>702</v>
      </c>
      <c r="E67" s="56" t="n">
        <v>982</v>
      </c>
      <c r="F67" s="57" t="n">
        <f aca="false">DCF!$D$48</f>
        <v>981.982458997495</v>
      </c>
      <c r="G67" s="58" t="n">
        <f aca="false">IF(ISNUMBER(F67),F67-E67,"n/a")</f>
        <v>-0.0175410025051406</v>
      </c>
      <c r="H67" s="59" t="n">
        <v>0.050000001</v>
      </c>
      <c r="I67" s="40" t="str">
        <f aca="false">IF(ISNUMBER(F67),IF(ABS(F67-E67)&lt;=H67,"PASS","FAIL"),"FAIL")</f>
        <v>PASS</v>
      </c>
      <c r="J67" s="40" t="str">
        <f aca="false">IF(ISNUMBER(F67),IF(ROUND(F67,1)=ROUND(E67,1),"same","differs"),"n/a")</f>
        <v>same</v>
      </c>
    </row>
    <row r="68" customFormat="false" ht="15" hidden="false" customHeight="false" outlineLevel="0" collapsed="false">
      <c r="B68" s="44" t="n">
        <v>61</v>
      </c>
      <c r="C68" s="8" t="s">
        <v>671</v>
      </c>
      <c r="D68" s="8" t="s">
        <v>703</v>
      </c>
      <c r="E68" s="56" t="n">
        <v>1072</v>
      </c>
      <c r="F68" s="57" t="n">
        <f aca="false">DCF!$E$48</f>
        <v>1071.99386282462</v>
      </c>
      <c r="G68" s="58" t="n">
        <f aca="false">IF(ISNUMBER(F68),F68-E68,"n/a")</f>
        <v>-0.00613717537976299</v>
      </c>
      <c r="H68" s="59" t="n">
        <v>0.050000001</v>
      </c>
      <c r="I68" s="40" t="str">
        <f aca="false">IF(ISNUMBER(F68),IF(ABS(F68-E68)&lt;=H68,"PASS","FAIL"),"FAIL")</f>
        <v>PASS</v>
      </c>
      <c r="J68" s="40" t="str">
        <f aca="false">IF(ISNUMBER(F68),IF(ROUND(F68,1)=ROUND(E68,1),"same","differs"),"n/a")</f>
        <v>same</v>
      </c>
    </row>
    <row r="69" customFormat="false" ht="15" hidden="false" customHeight="false" outlineLevel="0" collapsed="false">
      <c r="B69" s="44" t="n">
        <v>62</v>
      </c>
      <c r="C69" s="8" t="s">
        <v>671</v>
      </c>
      <c r="D69" s="8" t="s">
        <v>704</v>
      </c>
      <c r="E69" s="56" t="n">
        <v>828.3</v>
      </c>
      <c r="F69" s="57" t="n">
        <f aca="false">DCF!$C$49</f>
        <v>828.319962404414</v>
      </c>
      <c r="G69" s="58" t="n">
        <f aca="false">IF(ISNUMBER(F69),F69-E69,"n/a")</f>
        <v>0.0199624044141729</v>
      </c>
      <c r="H69" s="59" t="n">
        <v>0.050000001</v>
      </c>
      <c r="I69" s="40" t="str">
        <f aca="false">IF(ISNUMBER(F69),IF(ABS(F69-E69)&lt;=H69,"PASS","FAIL"),"FAIL")</f>
        <v>PASS</v>
      </c>
      <c r="J69" s="40" t="str">
        <f aca="false">IF(ISNUMBER(F69),IF(ROUND(F69,1)=ROUND(E69,1),"same","differs"),"n/a")</f>
        <v>same</v>
      </c>
    </row>
    <row r="70" customFormat="false" ht="15" hidden="false" customHeight="false" outlineLevel="0" collapsed="false">
      <c r="B70" s="44" t="n">
        <v>63</v>
      </c>
      <c r="C70" s="8" t="s">
        <v>671</v>
      </c>
      <c r="D70" s="8" t="s">
        <v>705</v>
      </c>
      <c r="E70" s="56" t="n">
        <v>885.4</v>
      </c>
      <c r="F70" s="57" t="n">
        <f aca="false">DCF!$D$49</f>
        <v>885.415832117704</v>
      </c>
      <c r="G70" s="58" t="n">
        <f aca="false">IF(ISNUMBER(F70),F70-E70,"n/a")</f>
        <v>0.0158321177044627</v>
      </c>
      <c r="H70" s="59" t="n">
        <v>0.050000001</v>
      </c>
      <c r="I70" s="40" t="str">
        <f aca="false">IF(ISNUMBER(F70),IF(ABS(F70-E70)&lt;=H70,"PASS","FAIL"),"FAIL")</f>
        <v>PASS</v>
      </c>
      <c r="J70" s="40" t="str">
        <f aca="false">IF(ISNUMBER(F70),IF(ROUND(F70,1)=ROUND(E70,1),"same","differs"),"n/a")</f>
        <v>same</v>
      </c>
    </row>
    <row r="71" customFormat="false" ht="15" hidden="false" customHeight="false" outlineLevel="0" collapsed="false">
      <c r="B71" s="44" t="n">
        <v>64</v>
      </c>
      <c r="C71" s="8" t="s">
        <v>671</v>
      </c>
      <c r="D71" s="8" t="s">
        <v>706</v>
      </c>
      <c r="E71" s="56" t="n">
        <v>955.2</v>
      </c>
      <c r="F71" s="57" t="n">
        <f aca="false">DCF!$E$49</f>
        <v>955.199672878393</v>
      </c>
      <c r="G71" s="58" t="n">
        <f aca="false">IF(ISNUMBER(F71),F71-E71,"n/a")</f>
        <v>-0.000327121607369918</v>
      </c>
      <c r="H71" s="59" t="n">
        <v>0.050000001</v>
      </c>
      <c r="I71" s="40" t="str">
        <f aca="false">IF(ISNUMBER(F71),IF(ABS(F71-E71)&lt;=H71,"PASS","FAIL"),"FAIL")</f>
        <v>PASS</v>
      </c>
      <c r="J71" s="40" t="str">
        <f aca="false">IF(ISNUMBER(F71),IF(ROUND(F71,1)=ROUND(E71,1),"same","differs"),"n/a")</f>
        <v>same</v>
      </c>
    </row>
    <row r="72" customFormat="false" ht="15" hidden="false" customHeight="false" outlineLevel="0" collapsed="false">
      <c r="B72" s="44" t="n">
        <v>65</v>
      </c>
      <c r="C72" s="8" t="s">
        <v>707</v>
      </c>
      <c r="D72" s="8" t="s">
        <v>708</v>
      </c>
      <c r="E72" s="61" t="n">
        <v>13</v>
      </c>
      <c r="F72" s="62" t="n">
        <f aca="false">Inputs!$C$95</f>
        <v>13</v>
      </c>
      <c r="G72" s="58" t="n">
        <f aca="false">IF(ISNUMBER(F72),F72-E72,"n/a")</f>
        <v>0</v>
      </c>
      <c r="H72" s="59" t="n">
        <v>0.500000001</v>
      </c>
      <c r="I72" s="40" t="str">
        <f aca="false">IF(ISNUMBER(F72),IF(ABS(F72-E72)&lt;=H72,"PASS","FAIL"),"FAIL")</f>
        <v>PASS</v>
      </c>
      <c r="J72" s="40" t="str">
        <f aca="false">IF(ISNUMBER(F72),IF(ROUND(F72,0)=ROUND(E72,0),"same","differs"),"n/a")</f>
        <v>same</v>
      </c>
    </row>
    <row r="73" customFormat="false" ht="15" hidden="false" customHeight="false" outlineLevel="0" collapsed="false">
      <c r="B73" s="44" t="n">
        <v>66</v>
      </c>
      <c r="C73" s="8" t="s">
        <v>707</v>
      </c>
      <c r="D73" s="8" t="s">
        <v>455</v>
      </c>
      <c r="E73" s="61" t="n">
        <v>12</v>
      </c>
      <c r="F73" s="62" t="n">
        <f aca="false">DIP!$C$107</f>
        <v>12</v>
      </c>
      <c r="G73" s="58" t="n">
        <f aca="false">IF(ISNUMBER(F73),F73-E73,"n/a")</f>
        <v>0</v>
      </c>
      <c r="H73" s="59" t="n">
        <v>0.500000001</v>
      </c>
      <c r="I73" s="40" t="str">
        <f aca="false">IF(ISNUMBER(F73),IF(ABS(F73-E73)&lt;=H73,"PASS","FAIL"),"FAIL")</f>
        <v>PASS</v>
      </c>
      <c r="J73" s="40" t="str">
        <f aca="false">IF(ISNUMBER(F73),IF(ROUND(F73,0)=ROUND(E73,0),"same","differs"),"n/a")</f>
        <v>same</v>
      </c>
    </row>
    <row r="74" customFormat="false" ht="15" hidden="false" customHeight="false" outlineLevel="0" collapsed="false">
      <c r="B74" s="44" t="n">
        <v>67</v>
      </c>
      <c r="C74" s="8" t="s">
        <v>707</v>
      </c>
      <c r="D74" s="8" t="s">
        <v>265</v>
      </c>
      <c r="E74" s="61" t="n">
        <v>65</v>
      </c>
      <c r="F74" s="62" t="n">
        <f aca="false">Waterfall!$C$7</f>
        <v>65</v>
      </c>
      <c r="G74" s="58" t="n">
        <f aca="false">IF(ISNUMBER(F74),F74-E74,"n/a")</f>
        <v>0</v>
      </c>
      <c r="H74" s="59" t="n">
        <v>0.500000001</v>
      </c>
      <c r="I74" s="40" t="str">
        <f aca="false">IF(ISNUMBER(F74),IF(ABS(F74-E74)&lt;=H74,"PASS","FAIL"),"FAIL")</f>
        <v>PASS</v>
      </c>
      <c r="J74" s="40" t="str">
        <f aca="false">IF(ISNUMBER(F74),IF(ROUND(F74,0)=ROUND(E74,0),"same","differs"),"n/a")</f>
        <v>same</v>
      </c>
    </row>
    <row r="75" customFormat="false" ht="15" hidden="false" customHeight="false" outlineLevel="0" collapsed="false">
      <c r="B75" s="44" t="n">
        <v>68</v>
      </c>
      <c r="C75" s="8" t="s">
        <v>707</v>
      </c>
      <c r="D75" s="8" t="s">
        <v>709</v>
      </c>
      <c r="E75" s="63" t="n">
        <v>1.395</v>
      </c>
      <c r="F75" s="64" t="n">
        <f aca="false">Waterfall!$C$8</f>
        <v>1.395</v>
      </c>
      <c r="G75" s="58" t="n">
        <f aca="false">IF(ISNUMBER(F75),F75-E75,"n/a")</f>
        <v>0</v>
      </c>
      <c r="H75" s="59" t="n">
        <v>0.000500001</v>
      </c>
      <c r="I75" s="40" t="str">
        <f aca="false">IF(ISNUMBER(F75),IF(ABS(F75-E75)&lt;=H75,"PASS","FAIL"),"FAIL")</f>
        <v>PASS</v>
      </c>
      <c r="J75" s="40" t="str">
        <f aca="false">IF(ISNUMBER(F75),IF(ROUND(F75,3)=ROUND(E75,3),"same","differs"),"n/a")</f>
        <v>same</v>
      </c>
    </row>
    <row r="76" customFormat="false" ht="15" hidden="false" customHeight="false" outlineLevel="0" collapsed="false">
      <c r="B76" s="44" t="n">
        <v>69</v>
      </c>
      <c r="C76" s="8" t="s">
        <v>707</v>
      </c>
      <c r="D76" s="8" t="s">
        <v>710</v>
      </c>
      <c r="E76" s="56" t="n">
        <v>14</v>
      </c>
      <c r="F76" s="57" t="n">
        <f aca="false">Waterfall!$C$9</f>
        <v>14</v>
      </c>
      <c r="G76" s="58" t="n">
        <f aca="false">IF(ISNUMBER(F76),F76-E76,"n/a")</f>
        <v>0</v>
      </c>
      <c r="H76" s="59" t="n">
        <v>0.050000001</v>
      </c>
      <c r="I76" s="40" t="str">
        <f aca="false">IF(ISNUMBER(F76),IF(ABS(F76-E76)&lt;=H76,"PASS","FAIL"),"FAIL")</f>
        <v>PASS</v>
      </c>
      <c r="J76" s="40" t="str">
        <f aca="false">IF(ISNUMBER(F76),IF(ROUND(F76,1)=ROUND(E76,1),"same","differs"),"n/a")</f>
        <v>same</v>
      </c>
    </row>
    <row r="77" customFormat="false" ht="15" hidden="false" customHeight="false" outlineLevel="0" collapsed="false">
      <c r="B77" s="44" t="n">
        <v>70</v>
      </c>
      <c r="C77" s="8" t="s">
        <v>707</v>
      </c>
      <c r="D77" s="8" t="s">
        <v>711</v>
      </c>
      <c r="E77" s="56" t="n">
        <v>6</v>
      </c>
      <c r="F77" s="57" t="n">
        <f aca="false">DIP!$C$112</f>
        <v>6</v>
      </c>
      <c r="G77" s="58" t="n">
        <f aca="false">IF(ISNUMBER(F77),F77-E77,"n/a")</f>
        <v>0</v>
      </c>
      <c r="H77" s="59" t="n">
        <v>0.050000001</v>
      </c>
      <c r="I77" s="40" t="str">
        <f aca="false">IF(ISNUMBER(F77),IF(ABS(F77-E77)&lt;=H77,"PASS","FAIL"),"FAIL")</f>
        <v>PASS</v>
      </c>
      <c r="J77" s="40" t="str">
        <f aca="false">IF(ISNUMBER(F77),IF(ROUND(F77,1)=ROUND(E77,1),"same","differs"),"n/a")</f>
        <v>same</v>
      </c>
    </row>
    <row r="78" customFormat="false" ht="15" hidden="false" customHeight="false" outlineLevel="0" collapsed="false">
      <c r="B78" s="44" t="n">
        <v>71</v>
      </c>
      <c r="C78" s="8" t="s">
        <v>707</v>
      </c>
      <c r="D78" s="8" t="s">
        <v>712</v>
      </c>
      <c r="E78" s="61" t="n">
        <v>8</v>
      </c>
      <c r="F78" s="62" t="n">
        <f aca="false">Inputs!$C$111</f>
        <v>8</v>
      </c>
      <c r="G78" s="58" t="n">
        <f aca="false">IF(ISNUMBER(F78),F78-E78,"n/a")</f>
        <v>0</v>
      </c>
      <c r="H78" s="59" t="n">
        <v>0.500000001</v>
      </c>
      <c r="I78" s="40" t="str">
        <f aca="false">IF(ISNUMBER(F78),IF(ABS(F78-E78)&lt;=H78,"PASS","FAIL"),"FAIL")</f>
        <v>PASS</v>
      </c>
      <c r="J78" s="40" t="str">
        <f aca="false">IF(ISNUMBER(F78),IF(ROUND(F78,0)=ROUND(E78,0),"same","differs"),"n/a")</f>
        <v>same</v>
      </c>
    </row>
    <row r="79" customFormat="false" ht="15" hidden="false" customHeight="false" outlineLevel="0" collapsed="false">
      <c r="B79" s="44" t="n">
        <v>72</v>
      </c>
      <c r="C79" s="8" t="s">
        <v>707</v>
      </c>
      <c r="D79" s="8" t="s">
        <v>713</v>
      </c>
      <c r="E79" s="65" t="n">
        <v>0.2</v>
      </c>
      <c r="F79" s="38" t="n">
        <f aca="false">Inputs!$C$110</f>
        <v>0.2</v>
      </c>
      <c r="G79" s="58" t="n">
        <f aca="false">IF(ISNUMBER(F79),F79-E79,"n/a")</f>
        <v>0</v>
      </c>
      <c r="H79" s="59" t="n">
        <v>0.005000001</v>
      </c>
      <c r="I79" s="40" t="str">
        <f aca="false">IF(ISNUMBER(F79),IF(ABS(F79-E79)&lt;=H79,"PASS","FAIL"),"FAIL")</f>
        <v>PASS</v>
      </c>
      <c r="J79" s="40" t="str">
        <f aca="false">IF(ISNUMBER(F79),IF(ROUND(F79,2)=ROUND(E79,2),"same","differs"),"n/a")</f>
        <v>same</v>
      </c>
    </row>
    <row r="80" customFormat="false" ht="15" hidden="false" customHeight="false" outlineLevel="0" collapsed="false">
      <c r="B80" s="44" t="n">
        <v>73</v>
      </c>
      <c r="C80" s="8" t="s">
        <v>707</v>
      </c>
      <c r="D80" s="8" t="s">
        <v>714</v>
      </c>
      <c r="E80" s="61" t="n">
        <v>7</v>
      </c>
      <c r="F80" s="62" t="n">
        <f aca="false">Waterfall!$C$11</f>
        <v>7</v>
      </c>
      <c r="G80" s="58" t="n">
        <f aca="false">IF(ISNUMBER(F80),F80-E80,"n/a")</f>
        <v>0</v>
      </c>
      <c r="H80" s="59" t="n">
        <v>0.500000001</v>
      </c>
      <c r="I80" s="40" t="str">
        <f aca="false">IF(ISNUMBER(F80),IF(ABS(F80-E80)&lt;=H80,"PASS","FAIL"),"FAIL")</f>
        <v>PASS</v>
      </c>
      <c r="J80" s="40" t="str">
        <f aca="false">IF(ISNUMBER(F80),IF(ROUND(F80,0)=ROUND(E80,0),"same","differs"),"n/a")</f>
        <v>same</v>
      </c>
    </row>
    <row r="81" customFormat="false" ht="15" hidden="false" customHeight="false" outlineLevel="0" collapsed="false">
      <c r="B81" s="44" t="n">
        <v>74</v>
      </c>
      <c r="C81" s="8" t="s">
        <v>707</v>
      </c>
      <c r="D81" s="8" t="s">
        <v>269</v>
      </c>
      <c r="E81" s="61" t="n">
        <v>5</v>
      </c>
      <c r="F81" s="62" t="n">
        <f aca="false">Waterfall!$C$12</f>
        <v>5</v>
      </c>
      <c r="G81" s="58" t="n">
        <f aca="false">IF(ISNUMBER(F81),F81-E81,"n/a")</f>
        <v>0</v>
      </c>
      <c r="H81" s="59" t="n">
        <v>0.500000001</v>
      </c>
      <c r="I81" s="40" t="str">
        <f aca="false">IF(ISNUMBER(F81),IF(ABS(F81-E81)&lt;=H81,"PASS","FAIL"),"FAIL")</f>
        <v>PASS</v>
      </c>
      <c r="J81" s="40" t="str">
        <f aca="false">IF(ISNUMBER(F81),IF(ROUND(F81,0)=ROUND(E81,0),"same","differs"),"n/a")</f>
        <v>same</v>
      </c>
    </row>
    <row r="82" customFormat="false" ht="15" hidden="false" customHeight="false" outlineLevel="0" collapsed="false">
      <c r="B82" s="44" t="n">
        <v>75</v>
      </c>
      <c r="C82" s="8" t="s">
        <v>707</v>
      </c>
      <c r="D82" s="8" t="s">
        <v>715</v>
      </c>
      <c r="E82" s="63" t="n">
        <v>92.395</v>
      </c>
      <c r="F82" s="64" t="n">
        <f aca="false">Waterfall!$C$14</f>
        <v>92.395</v>
      </c>
      <c r="G82" s="58" t="n">
        <f aca="false">IF(ISNUMBER(F82),F82-E82,"n/a")</f>
        <v>0</v>
      </c>
      <c r="H82" s="59" t="n">
        <v>0.000500001</v>
      </c>
      <c r="I82" s="40" t="str">
        <f aca="false">IF(ISNUMBER(F82),IF(ABS(F82-E82)&lt;=H82,"PASS","FAIL"),"FAIL")</f>
        <v>PASS</v>
      </c>
      <c r="J82" s="40" t="str">
        <f aca="false">IF(ISNUMBER(F82),IF(ROUND(F82,3)=ROUND(E82,3),"same","differs"),"n/a")</f>
        <v>same</v>
      </c>
    </row>
    <row r="83" customFormat="false" ht="15" hidden="false" customHeight="false" outlineLevel="0" collapsed="false">
      <c r="B83" s="44" t="n">
        <v>76</v>
      </c>
      <c r="C83" s="8" t="s">
        <v>707</v>
      </c>
      <c r="D83" s="8" t="s">
        <v>716</v>
      </c>
      <c r="E83" s="66" t="n">
        <v>47.54</v>
      </c>
      <c r="F83" s="67" t="n">
        <f aca="false">DIP!$C$109</f>
        <v>47.5442307692307</v>
      </c>
      <c r="G83" s="58" t="n">
        <f aca="false">IF(ISNUMBER(F83),F83-E83,"n/a")</f>
        <v>0.00423076923068066</v>
      </c>
      <c r="H83" s="59" t="n">
        <v>0.005000001</v>
      </c>
      <c r="I83" s="40" t="str">
        <f aca="false">IF(ISNUMBER(F83),IF(ABS(F83-E83)&lt;=H83,"PASS","FAIL"),"FAIL")</f>
        <v>PASS</v>
      </c>
      <c r="J83" s="40" t="str">
        <f aca="false">IF(ISNUMBER(F83),IF(ROUND(F83,2)=ROUND(E83,2),"same","differs"),"n/a")</f>
        <v>same</v>
      </c>
    </row>
    <row r="84" customFormat="false" ht="15" hidden="false" customHeight="false" outlineLevel="0" collapsed="false">
      <c r="B84" s="44" t="n">
        <v>77</v>
      </c>
      <c r="C84" s="8" t="s">
        <v>707</v>
      </c>
      <c r="D84" s="8" t="s">
        <v>320</v>
      </c>
      <c r="E84" s="66" t="n">
        <v>22.54</v>
      </c>
      <c r="F84" s="67" t="n">
        <f aca="false">Waterfall!$C$15</f>
        <v>22.5442307692307</v>
      </c>
      <c r="G84" s="58" t="n">
        <f aca="false">IF(ISNUMBER(F84),F84-E84,"n/a")</f>
        <v>0.00423076923068066</v>
      </c>
      <c r="H84" s="59" t="n">
        <v>0.005000001</v>
      </c>
      <c r="I84" s="40" t="str">
        <f aca="false">IF(ISNUMBER(F84),IF(ABS(F84-E84)&lt;=H84,"PASS","FAIL"),"FAIL")</f>
        <v>PASS</v>
      </c>
      <c r="J84" s="40" t="str">
        <f aca="false">IF(ISNUMBER(F84),IF(ROUND(F84,2)=ROUND(E84,2),"same","differs"),"n/a")</f>
        <v>same</v>
      </c>
    </row>
    <row r="85" customFormat="false" ht="15" hidden="false" customHeight="false" outlineLevel="0" collapsed="false">
      <c r="B85" s="44" t="n">
        <v>78</v>
      </c>
      <c r="C85" s="8" t="s">
        <v>707</v>
      </c>
      <c r="D85" s="8" t="s">
        <v>717</v>
      </c>
      <c r="E85" s="61" t="n">
        <v>6</v>
      </c>
      <c r="F85" s="62" t="n">
        <f aca="false">Waterfall!$C$21</f>
        <v>6</v>
      </c>
      <c r="G85" s="58" t="n">
        <f aca="false">IF(ISNUMBER(F85),F85-E85,"n/a")</f>
        <v>0</v>
      </c>
      <c r="H85" s="59" t="n">
        <v>0.500000001</v>
      </c>
      <c r="I85" s="40" t="str">
        <f aca="false">IF(ISNUMBER(F85),IF(ABS(F85-E85)&lt;=H85,"PASS","FAIL"),"FAIL")</f>
        <v>PASS</v>
      </c>
      <c r="J85" s="40" t="str">
        <f aca="false">IF(ISNUMBER(F85),IF(ROUND(F85,0)=ROUND(E85,0),"same","differs"),"n/a")</f>
        <v>same</v>
      </c>
    </row>
    <row r="86" customFormat="false" ht="15" hidden="false" customHeight="false" outlineLevel="0" collapsed="false">
      <c r="B86" s="44" t="n">
        <v>79</v>
      </c>
      <c r="C86" s="8" t="s">
        <v>707</v>
      </c>
      <c r="D86" s="8" t="s">
        <v>277</v>
      </c>
      <c r="E86" s="61" t="n">
        <v>12</v>
      </c>
      <c r="F86" s="62" t="n">
        <f aca="false">Waterfall!$C$22</f>
        <v>12</v>
      </c>
      <c r="G86" s="58" t="n">
        <f aca="false">IF(ISNUMBER(F86),F86-E86,"n/a")</f>
        <v>0</v>
      </c>
      <c r="H86" s="59" t="n">
        <v>0.500000001</v>
      </c>
      <c r="I86" s="40" t="str">
        <f aca="false">IF(ISNUMBER(F86),IF(ABS(F86-E86)&lt;=H86,"PASS","FAIL"),"FAIL")</f>
        <v>PASS</v>
      </c>
      <c r="J86" s="40" t="str">
        <f aca="false">IF(ISNUMBER(F86),IF(ROUND(F86,0)=ROUND(E86,0),"same","differs"),"n/a")</f>
        <v>same</v>
      </c>
    </row>
    <row r="87" customFormat="false" ht="15" hidden="false" customHeight="false" outlineLevel="0" collapsed="false">
      <c r="B87" s="44" t="n">
        <v>80</v>
      </c>
      <c r="C87" s="8" t="s">
        <v>707</v>
      </c>
      <c r="D87" s="8" t="s">
        <v>718</v>
      </c>
      <c r="E87" s="66" t="n">
        <v>10.13</v>
      </c>
      <c r="F87" s="67" t="n">
        <f aca="false">Waterfall!$C$25</f>
        <v>10.1331730769231</v>
      </c>
      <c r="G87" s="58" t="n">
        <f aca="false">IF(ISNUMBER(F87),F87-E87,"n/a")</f>
        <v>0.00317307692307267</v>
      </c>
      <c r="H87" s="59" t="n">
        <v>0.005000001</v>
      </c>
      <c r="I87" s="40" t="str">
        <f aca="false">IF(ISNUMBER(F87),IF(ABS(F87-E87)&lt;=H87,"PASS","FAIL"),"FAIL")</f>
        <v>PASS</v>
      </c>
      <c r="J87" s="40" t="str">
        <f aca="false">IF(ISNUMBER(F87),IF(ROUND(F87,2)=ROUND(E87,2),"same","differs"),"n/a")</f>
        <v>same</v>
      </c>
    </row>
    <row r="88" customFormat="false" ht="15" hidden="false" customHeight="false" outlineLevel="0" collapsed="false">
      <c r="B88" s="44" t="n">
        <v>81</v>
      </c>
      <c r="C88" s="8" t="s">
        <v>707</v>
      </c>
      <c r="D88" s="8" t="s">
        <v>719</v>
      </c>
      <c r="E88" s="66" t="n">
        <v>960.13</v>
      </c>
      <c r="F88" s="67" t="n">
        <f aca="false">Waterfall!$C$26</f>
        <v>960.133173076923</v>
      </c>
      <c r="G88" s="58" t="n">
        <f aca="false">IF(ISNUMBER(F88),F88-E88,"n/a")</f>
        <v>0.00317307692307622</v>
      </c>
      <c r="H88" s="59" t="n">
        <v>0.005000001</v>
      </c>
      <c r="I88" s="40" t="str">
        <f aca="false">IF(ISNUMBER(F88),IF(ABS(F88-E88)&lt;=H88,"PASS","FAIL"),"FAIL")</f>
        <v>PASS</v>
      </c>
      <c r="J88" s="40" t="str">
        <f aca="false">IF(ISNUMBER(F88),IF(ROUND(F88,2)=ROUND(E88,2),"same","differs"),"n/a")</f>
        <v>same</v>
      </c>
    </row>
    <row r="89" customFormat="false" ht="15" hidden="false" customHeight="false" outlineLevel="0" collapsed="false">
      <c r="B89" s="44" t="n">
        <v>82</v>
      </c>
      <c r="C89" s="8" t="s">
        <v>707</v>
      </c>
      <c r="D89" s="8" t="s">
        <v>284</v>
      </c>
      <c r="E89" s="56" t="n">
        <v>14.5</v>
      </c>
      <c r="F89" s="57" t="n">
        <f aca="false">Waterfall!$C$28</f>
        <v>14.5</v>
      </c>
      <c r="G89" s="58" t="n">
        <f aca="false">IF(ISNUMBER(F89),F89-E89,"n/a")</f>
        <v>0</v>
      </c>
      <c r="H89" s="59" t="n">
        <v>0.050000001</v>
      </c>
      <c r="I89" s="40" t="str">
        <f aca="false">IF(ISNUMBER(F89),IF(ABS(F89-E89)&lt;=H89,"PASS","FAIL"),"FAIL")</f>
        <v>PASS</v>
      </c>
      <c r="J89" s="40" t="str">
        <f aca="false">IF(ISNUMBER(F89),IF(ROUND(F89,1)=ROUND(E89,1),"same","differs"),"n/a")</f>
        <v>same</v>
      </c>
    </row>
    <row r="90" customFormat="false" ht="15" hidden="false" customHeight="false" outlineLevel="0" collapsed="false">
      <c r="B90" s="44" t="n">
        <v>83</v>
      </c>
      <c r="C90" s="8" t="s">
        <v>707</v>
      </c>
      <c r="D90" s="8" t="s">
        <v>720</v>
      </c>
      <c r="E90" s="66" t="n">
        <v>1.12</v>
      </c>
      <c r="F90" s="67" t="n">
        <f aca="false">Waterfall!$C$29</f>
        <v>1.11538461538462</v>
      </c>
      <c r="G90" s="58" t="n">
        <f aca="false">IF(ISNUMBER(F90),F90-E90,"n/a")</f>
        <v>-0.00461538461538491</v>
      </c>
      <c r="H90" s="59" t="n">
        <v>0.005000001</v>
      </c>
      <c r="I90" s="40" t="str">
        <f aca="false">IF(ISNUMBER(F90),IF(ABS(F90-E90)&lt;=H90,"PASS","FAIL"),"FAIL")</f>
        <v>PASS</v>
      </c>
      <c r="J90" s="40" t="str">
        <f aca="false">IF(ISNUMBER(F90),IF(ROUND(F90,2)=ROUND(E90,2),"same","differs"),"n/a")</f>
        <v>same</v>
      </c>
    </row>
    <row r="91" customFormat="false" ht="15" hidden="false" customHeight="false" outlineLevel="0" collapsed="false">
      <c r="B91" s="44" t="n">
        <v>84</v>
      </c>
      <c r="C91" s="8" t="s">
        <v>707</v>
      </c>
      <c r="D91" s="8" t="s">
        <v>721</v>
      </c>
      <c r="E91" s="66" t="n">
        <v>415.62</v>
      </c>
      <c r="F91" s="67" t="n">
        <f aca="false">Waterfall!$C$30</f>
        <v>415.615384615385</v>
      </c>
      <c r="G91" s="58" t="n">
        <f aca="false">IF(ISNUMBER(F91),F91-E91,"n/a")</f>
        <v>-0.00461538461536293</v>
      </c>
      <c r="H91" s="59" t="n">
        <v>0.005000001</v>
      </c>
      <c r="I91" s="40" t="str">
        <f aca="false">IF(ISNUMBER(F91),IF(ABS(F91-E91)&lt;=H91,"PASS","FAIL"),"FAIL")</f>
        <v>PASS</v>
      </c>
      <c r="J91" s="40" t="str">
        <f aca="false">IF(ISNUMBER(F91),IF(ROUND(F91,2)=ROUND(E91,2),"same","differs"),"n/a")</f>
        <v>same</v>
      </c>
    </row>
    <row r="92" customFormat="false" ht="15" hidden="false" customHeight="false" outlineLevel="0" collapsed="false">
      <c r="B92" s="44" t="n">
        <v>85</v>
      </c>
      <c r="C92" s="8" t="s">
        <v>707</v>
      </c>
      <c r="D92" s="8" t="s">
        <v>722</v>
      </c>
      <c r="E92" s="61" t="n">
        <v>54</v>
      </c>
      <c r="F92" s="62" t="n">
        <f aca="false">Waterfall!$C$31</f>
        <v>54</v>
      </c>
      <c r="G92" s="58" t="n">
        <f aca="false">IF(ISNUMBER(F92),F92-E92,"n/a")</f>
        <v>0</v>
      </c>
      <c r="H92" s="59" t="n">
        <v>0.500000001</v>
      </c>
      <c r="I92" s="40" t="str">
        <f aca="false">IF(ISNUMBER(F92),IF(ABS(F92-E92)&lt;=H92,"PASS","FAIL"),"FAIL")</f>
        <v>PASS</v>
      </c>
      <c r="J92" s="40" t="str">
        <f aca="false">IF(ISNUMBER(F92),IF(ROUND(F92,0)=ROUND(E92,0),"same","differs"),"n/a")</f>
        <v>same</v>
      </c>
    </row>
    <row r="93" customFormat="false" ht="15" hidden="false" customHeight="false" outlineLevel="0" collapsed="false">
      <c r="B93" s="44" t="n">
        <v>86</v>
      </c>
      <c r="C93" s="8" t="s">
        <v>707</v>
      </c>
      <c r="D93" s="8" t="s">
        <v>723</v>
      </c>
      <c r="E93" s="61" t="n">
        <v>87</v>
      </c>
      <c r="F93" s="62" t="n">
        <f aca="false">Waterfall!$C$32</f>
        <v>87</v>
      </c>
      <c r="G93" s="58" t="n">
        <f aca="false">IF(ISNUMBER(F93),F93-E93,"n/a")</f>
        <v>0</v>
      </c>
      <c r="H93" s="59" t="n">
        <v>0.500000001</v>
      </c>
      <c r="I93" s="40" t="str">
        <f aca="false">IF(ISNUMBER(F93),IF(ABS(F93-E93)&lt;=H93,"PASS","FAIL"),"FAIL")</f>
        <v>PASS</v>
      </c>
      <c r="J93" s="40" t="str">
        <f aca="false">IF(ISNUMBER(F93),IF(ROUND(F93,0)=ROUND(E93,0),"same","differs"),"n/a")</f>
        <v>same</v>
      </c>
    </row>
    <row r="94" customFormat="false" ht="15" hidden="false" customHeight="false" outlineLevel="0" collapsed="false">
      <c r="B94" s="44" t="n">
        <v>87</v>
      </c>
      <c r="C94" s="8" t="s">
        <v>707</v>
      </c>
      <c r="D94" s="8" t="s">
        <v>724</v>
      </c>
      <c r="E94" s="66" t="n">
        <v>502.62</v>
      </c>
      <c r="F94" s="67" t="n">
        <f aca="false">Waterfall!$C$33</f>
        <v>502.615384615385</v>
      </c>
      <c r="G94" s="58" t="n">
        <f aca="false">IF(ISNUMBER(F94),F94-E94,"n/a")</f>
        <v>-0.00461538461536293</v>
      </c>
      <c r="H94" s="59" t="n">
        <v>0.005000001</v>
      </c>
      <c r="I94" s="40" t="str">
        <f aca="false">IF(ISNUMBER(F94),IF(ABS(F94-E94)&lt;=H94,"PASS","FAIL"),"FAIL")</f>
        <v>PASS</v>
      </c>
      <c r="J94" s="40" t="str">
        <f aca="false">IF(ISNUMBER(F94),IF(ROUND(F94,2)=ROUND(E94,2),"same","differs"),"n/a")</f>
        <v>same</v>
      </c>
    </row>
    <row r="95" customFormat="false" ht="15" hidden="false" customHeight="false" outlineLevel="0" collapsed="false">
      <c r="B95" s="44" t="n">
        <v>88</v>
      </c>
      <c r="C95" s="8" t="s">
        <v>707</v>
      </c>
      <c r="D95" s="8" t="s">
        <v>725</v>
      </c>
      <c r="E95" s="65" t="n">
        <v>0.08</v>
      </c>
      <c r="F95" s="38" t="n">
        <f aca="false">Waterfall!$C$34</f>
        <v>0.08</v>
      </c>
      <c r="G95" s="58" t="n">
        <f aca="false">IF(ISNUMBER(F95),F95-E95,"n/a")</f>
        <v>0</v>
      </c>
      <c r="H95" s="59" t="n">
        <v>0.005000001</v>
      </c>
      <c r="I95" s="40" t="str">
        <f aca="false">IF(ISNUMBER(F95),IF(ABS(F95-E95)&lt;=H95,"PASS","FAIL"),"FAIL")</f>
        <v>PASS</v>
      </c>
      <c r="J95" s="40" t="str">
        <f aca="false">IF(ISNUMBER(F95),IF(ROUND(F95,2)=ROUND(E95,2),"same","differs"),"n/a")</f>
        <v>same</v>
      </c>
    </row>
    <row r="96" customFormat="false" ht="15" hidden="false" customHeight="false" outlineLevel="0" collapsed="false">
      <c r="B96" s="44" t="n">
        <v>89</v>
      </c>
      <c r="C96" s="8" t="s">
        <v>707</v>
      </c>
      <c r="D96" s="8" t="s">
        <v>726</v>
      </c>
      <c r="E96" s="56" t="n">
        <v>1106.5</v>
      </c>
      <c r="F96" s="57" t="n">
        <f aca="false">Waterfall!$C$39</f>
        <v>1106.50428511706</v>
      </c>
      <c r="G96" s="58" t="n">
        <f aca="false">IF(ISNUMBER(F96),F96-E96,"n/a")</f>
        <v>0.004285117056952</v>
      </c>
      <c r="H96" s="59" t="n">
        <v>0.050000001</v>
      </c>
      <c r="I96" s="40" t="str">
        <f aca="false">IF(ISNUMBER(F96),IF(ABS(F96-E96)&lt;=H96,"PASS","FAIL"),"FAIL")</f>
        <v>PASS</v>
      </c>
      <c r="J96" s="40" t="str">
        <f aca="false">IF(ISNUMBER(F96),IF(ROUND(F96,1)=ROUND(E96,1),"same","differs"),"n/a")</f>
        <v>same</v>
      </c>
    </row>
    <row r="97" customFormat="false" ht="15" hidden="false" customHeight="false" outlineLevel="0" collapsed="false">
      <c r="B97" s="44" t="n">
        <v>90</v>
      </c>
      <c r="C97" s="8" t="s">
        <v>707</v>
      </c>
      <c r="D97" s="8" t="s">
        <v>727</v>
      </c>
      <c r="E97" s="56" t="n">
        <v>1532.6</v>
      </c>
      <c r="F97" s="57" t="n">
        <f aca="false">Waterfall!$C$40</f>
        <v>1532.59932692308</v>
      </c>
      <c r="G97" s="58" t="n">
        <f aca="false">IF(ISNUMBER(F97),F97-E97,"n/a")</f>
        <v>-0.00067307692279428</v>
      </c>
      <c r="H97" s="59" t="n">
        <v>0.050000001</v>
      </c>
      <c r="I97" s="40" t="str">
        <f aca="false">IF(ISNUMBER(F97),IF(ABS(F97-E97)&lt;=H97,"PASS","FAIL"),"FAIL")</f>
        <v>PASS</v>
      </c>
      <c r="J97" s="40" t="str">
        <f aca="false">IF(ISNUMBER(F97),IF(ROUND(F97,1)=ROUND(E97,1),"same","differs"),"n/a")</f>
        <v>same</v>
      </c>
    </row>
    <row r="98" customFormat="false" ht="15" hidden="false" customHeight="false" outlineLevel="0" collapsed="false">
      <c r="B98" s="44" t="n">
        <v>91</v>
      </c>
      <c r="C98" s="8" t="s">
        <v>707</v>
      </c>
      <c r="D98" s="8" t="s">
        <v>728</v>
      </c>
      <c r="E98" s="56" t="n">
        <v>1106.5</v>
      </c>
      <c r="F98" s="57" t="n">
        <f aca="false">Waterfall!$D$182</f>
        <v>1106.50428511582</v>
      </c>
      <c r="G98" s="58" t="n">
        <f aca="false">IF(ISNUMBER(F98),F98-E98,"n/a")</f>
        <v>0.0042851158218582</v>
      </c>
      <c r="H98" s="59" t="n">
        <v>0.050000001</v>
      </c>
      <c r="I98" s="40" t="str">
        <f aca="false">IF(ISNUMBER(F98),IF(ABS(F98-E98)&lt;=H98,"PASS","FAIL"),"FAIL")</f>
        <v>PASS</v>
      </c>
      <c r="J98" s="40" t="str">
        <f aca="false">IF(ISNUMBER(F98),IF(ROUND(F98,1)=ROUND(E98,1),"same","differs"),"n/a")</f>
        <v>same</v>
      </c>
    </row>
    <row r="99" customFormat="false" ht="15" hidden="false" customHeight="false" outlineLevel="0" collapsed="false">
      <c r="B99" s="44" t="n">
        <v>92</v>
      </c>
      <c r="C99" s="8" t="s">
        <v>707</v>
      </c>
      <c r="D99" s="8" t="s">
        <v>729</v>
      </c>
      <c r="E99" s="56" t="n">
        <v>1532.6</v>
      </c>
      <c r="F99" s="57" t="n">
        <f aca="false">Waterfall!$I$182</f>
        <v>1532.59932692258</v>
      </c>
      <c r="G99" s="58" t="n">
        <f aca="false">IF(ISNUMBER(F99),F99-E99,"n/a")</f>
        <v>-0.000673077424380608</v>
      </c>
      <c r="H99" s="59" t="n">
        <v>0.050000001</v>
      </c>
      <c r="I99" s="40" t="str">
        <f aca="false">IF(ISNUMBER(F99),IF(ABS(F99-E99)&lt;=H99,"PASS","FAIL"),"FAIL")</f>
        <v>PASS</v>
      </c>
      <c r="J99" s="40" t="str">
        <f aca="false">IF(ISNUMBER(F99),IF(ROUND(F99,1)=ROUND(E99,1),"same","differs"),"n/a")</f>
        <v>same</v>
      </c>
    </row>
    <row r="100" customFormat="false" ht="15" hidden="false" customHeight="false" outlineLevel="0" collapsed="false">
      <c r="B100" s="44" t="n">
        <v>93</v>
      </c>
      <c r="C100" s="8" t="s">
        <v>707</v>
      </c>
      <c r="D100" s="8" t="s">
        <v>297</v>
      </c>
      <c r="E100" s="56" t="n">
        <v>63.5</v>
      </c>
      <c r="F100" s="57" t="n">
        <f aca="false">Waterfall!$C$41</f>
        <v>63.4957148829431</v>
      </c>
      <c r="G100" s="58" t="n">
        <f aca="false">IF(ISNUMBER(F100),F100-E100,"n/a")</f>
        <v>-0.004285117056952</v>
      </c>
      <c r="H100" s="59" t="n">
        <v>0.050000001</v>
      </c>
      <c r="I100" s="40" t="str">
        <f aca="false">IF(ISNUMBER(F100),IF(ABS(F100-E100)&lt;=H100,"PASS","FAIL"),"FAIL")</f>
        <v>PASS</v>
      </c>
      <c r="J100" s="40" t="str">
        <f aca="false">IF(ISNUMBER(F100),IF(ROUND(F100,1)=ROUND(E100,1),"same","differs"),"n/a")</f>
        <v>same</v>
      </c>
    </row>
    <row r="101" customFormat="false" ht="15" hidden="false" customHeight="false" outlineLevel="0" collapsed="false">
      <c r="B101" s="44" t="n">
        <v>94</v>
      </c>
      <c r="C101" s="8" t="s">
        <v>707</v>
      </c>
      <c r="D101" s="8" t="s">
        <v>730</v>
      </c>
      <c r="E101" s="12" t="n">
        <v>0.13</v>
      </c>
      <c r="F101" s="60" t="n">
        <f aca="false">Waterfall!$C$42</f>
        <v>0.12992825443787</v>
      </c>
      <c r="G101" s="58" t="n">
        <f aca="false">IF(ISNUMBER(F101),F101-E101,"n/a")</f>
        <v>-7.17455621302987E-005</v>
      </c>
      <c r="H101" s="59" t="n">
        <v>0.000500001</v>
      </c>
      <c r="I101" s="40" t="str">
        <f aca="false">IF(ISNUMBER(F101),IF(ABS(F101-E101)&lt;=H101,"PASS","FAIL"),"FAIL")</f>
        <v>PASS</v>
      </c>
      <c r="J101" s="40" t="str">
        <f aca="false">IF(ISNUMBER(F101),IF(ROUND(F101,3)=ROUND(E101,3),"same","differs"),"n/a")</f>
        <v>same</v>
      </c>
    </row>
    <row r="102" customFormat="false" ht="15" hidden="false" customHeight="false" outlineLevel="0" collapsed="false">
      <c r="B102" s="44" t="n">
        <v>95</v>
      </c>
      <c r="C102" s="8" t="s">
        <v>707</v>
      </c>
      <c r="D102" s="8" t="s">
        <v>731</v>
      </c>
      <c r="E102" s="61" t="n">
        <v>1</v>
      </c>
      <c r="F102" s="62" t="n">
        <f aca="false">Waterfall!$C$43</f>
        <v>1</v>
      </c>
      <c r="G102" s="58" t="n">
        <f aca="false">IF(ISNUMBER(F102),F102-E102,"n/a")</f>
        <v>0</v>
      </c>
      <c r="H102" s="59" t="n">
        <v>0.500000001</v>
      </c>
      <c r="I102" s="40" t="str">
        <f aca="false">IF(ISNUMBER(F102),IF(ABS(F102-E102)&lt;=H102,"PASS","FAIL"),"FAIL")</f>
        <v>PASS</v>
      </c>
      <c r="J102" s="40" t="str">
        <f aca="false">IF(ISNUMBER(F102),IF(ROUND(F102,0)=ROUND(E102,0),"same","differs"),"n/a")</f>
        <v>same</v>
      </c>
    </row>
    <row r="103" customFormat="false" ht="15" hidden="false" customHeight="false" outlineLevel="0" collapsed="false">
      <c r="B103" s="44" t="n">
        <v>96</v>
      </c>
      <c r="C103" s="8" t="s">
        <v>707</v>
      </c>
      <c r="D103" s="8" t="s">
        <v>732</v>
      </c>
      <c r="E103" s="12" t="n">
        <v>1</v>
      </c>
      <c r="F103" s="60" t="n">
        <f aca="false">Waterfall!$H$122</f>
        <v>1</v>
      </c>
      <c r="G103" s="58" t="n">
        <f aca="false">IF(ISNUMBER(F103),F103-E103,"n/a")</f>
        <v>0</v>
      </c>
      <c r="H103" s="59" t="n">
        <v>0.000500001</v>
      </c>
      <c r="I103" s="40" t="str">
        <f aca="false">IF(ISNUMBER(F103),IF(ABS(F103-E103)&lt;=H103,"PASS","FAIL"),"FAIL")</f>
        <v>PASS</v>
      </c>
      <c r="J103" s="40" t="str">
        <f aca="false">IF(ISNUMBER(F103),IF(ROUND(F103,3)=ROUND(E103,3),"same","differs"),"n/a")</f>
        <v>same</v>
      </c>
    </row>
    <row r="104" customFormat="false" ht="15" hidden="false" customHeight="false" outlineLevel="0" collapsed="false">
      <c r="B104" s="44" t="n">
        <v>97</v>
      </c>
      <c r="C104" s="8" t="s">
        <v>707</v>
      </c>
      <c r="D104" s="8" t="s">
        <v>733</v>
      </c>
      <c r="E104" s="56" t="n">
        <v>630.1</v>
      </c>
      <c r="F104" s="57" t="n">
        <f aca="false">Waterfall!$C$53</f>
        <v>630.149230769231</v>
      </c>
      <c r="G104" s="58" t="n">
        <f aca="false">IF(ISNUMBER(F104),F104-E104,"n/a")</f>
        <v>0.0492307692306895</v>
      </c>
      <c r="H104" s="59" t="n">
        <v>0.050000001</v>
      </c>
      <c r="I104" s="40" t="str">
        <f aca="false">IF(ISNUMBER(F104),IF(ABS(F104-E104)&lt;=H104,"PASS","FAIL"),"FAIL")</f>
        <v>PASS</v>
      </c>
      <c r="J104" s="40" t="str">
        <f aca="false">IF(ISNUMBER(F104),IF(ROUND(F104,1)=ROUND(E104,1),"same","differs"),"n/a")</f>
        <v>same</v>
      </c>
    </row>
    <row r="105" customFormat="false" ht="15" hidden="false" customHeight="false" outlineLevel="0" collapsed="false">
      <c r="B105" s="44" t="n">
        <v>98</v>
      </c>
      <c r="C105" s="8" t="s">
        <v>707</v>
      </c>
      <c r="D105" s="8" t="s">
        <v>734</v>
      </c>
      <c r="E105" s="56" t="n">
        <v>604.9</v>
      </c>
      <c r="F105" s="57" t="n">
        <f aca="false">Waterfall!$C$67</f>
        <v>604.920969414408</v>
      </c>
      <c r="G105" s="58" t="n">
        <f aca="false">IF(ISNUMBER(F105),F105-E105,"n/a")</f>
        <v>0.0209694144082278</v>
      </c>
      <c r="H105" s="59" t="n">
        <v>0.050000001</v>
      </c>
      <c r="I105" s="40" t="str">
        <f aca="false">IF(ISNUMBER(F105),IF(ABS(F105-E105)&lt;=H105,"PASS","FAIL"),"FAIL")</f>
        <v>PASS</v>
      </c>
      <c r="J105" s="40" t="str">
        <f aca="false">IF(ISNUMBER(F105),IF(ROUND(F105,1)=ROUND(E105,1),"same","differs"),"n/a")</f>
        <v>same</v>
      </c>
    </row>
    <row r="106" customFormat="false" ht="15" hidden="false" customHeight="false" outlineLevel="0" collapsed="false">
      <c r="B106" s="44" t="n">
        <v>99</v>
      </c>
      <c r="C106" s="8" t="s">
        <v>707</v>
      </c>
      <c r="D106" s="8" t="s">
        <v>735</v>
      </c>
      <c r="E106" s="12" t="n">
        <v>0.63</v>
      </c>
      <c r="F106" s="60" t="n">
        <f aca="false">Waterfall!$C$68</f>
        <v>0.630038609618943</v>
      </c>
      <c r="G106" s="58" t="n">
        <f aca="false">IF(ISNUMBER(F106),F106-E106,"n/a")</f>
        <v>3.86096189426421E-005</v>
      </c>
      <c r="H106" s="59" t="n">
        <v>0.000500001</v>
      </c>
      <c r="I106" s="40" t="str">
        <f aca="false">IF(ISNUMBER(F106),IF(ABS(F106-E106)&lt;=H106,"PASS","FAIL"),"FAIL")</f>
        <v>PASS</v>
      </c>
      <c r="J106" s="40" t="str">
        <f aca="false">IF(ISNUMBER(F106),IF(ROUND(F106,3)=ROUND(E106,3),"same","differs"),"n/a")</f>
        <v>same</v>
      </c>
    </row>
    <row r="107" customFormat="false" ht="15" hidden="false" customHeight="false" outlineLevel="0" collapsed="false">
      <c r="B107" s="44" t="n">
        <v>100</v>
      </c>
      <c r="C107" s="8" t="s">
        <v>707</v>
      </c>
      <c r="D107" s="8" t="s">
        <v>736</v>
      </c>
      <c r="E107" s="56" t="n">
        <v>586.1</v>
      </c>
      <c r="F107" s="57" t="n">
        <f aca="false">Waterfall!$C$61</f>
        <v>586.149230769231</v>
      </c>
      <c r="G107" s="58" t="n">
        <f aca="false">IF(ISNUMBER(F107),F107-E107,"n/a")</f>
        <v>0.0492307692306895</v>
      </c>
      <c r="H107" s="59" t="n">
        <v>0.050000001</v>
      </c>
      <c r="I107" s="40" t="str">
        <f aca="false">IF(ISNUMBER(F107),IF(ABS(F107-E107)&lt;=H107,"PASS","FAIL"),"FAIL")</f>
        <v>PASS</v>
      </c>
      <c r="J107" s="40" t="str">
        <f aca="false">IF(ISNUMBER(F107),IF(ROUND(F107,1)=ROUND(E107,1),"same","differs"),"n/a")</f>
        <v>same</v>
      </c>
    </row>
    <row r="108" customFormat="false" ht="15" hidden="false" customHeight="false" outlineLevel="0" collapsed="false">
      <c r="B108" s="44" t="n">
        <v>101</v>
      </c>
      <c r="C108" s="8" t="s">
        <v>707</v>
      </c>
      <c r="D108" s="8" t="s">
        <v>737</v>
      </c>
      <c r="E108" s="56" t="n">
        <v>18.8</v>
      </c>
      <c r="F108" s="57" t="n">
        <f aca="false">Waterfall!$C$66</f>
        <v>18.7717386451775</v>
      </c>
      <c r="G108" s="58" t="n">
        <f aca="false">IF(ISNUMBER(F108),F108-E108,"n/a")</f>
        <v>-0.0282613548225505</v>
      </c>
      <c r="H108" s="59" t="n">
        <v>0.050000001</v>
      </c>
      <c r="I108" s="40" t="str">
        <f aca="false">IF(ISNUMBER(F108),IF(ABS(F108-E108)&lt;=H108,"PASS","FAIL"),"FAIL")</f>
        <v>PASS</v>
      </c>
      <c r="J108" s="40" t="str">
        <f aca="false">IF(ISNUMBER(F108),IF(ROUND(F108,1)=ROUND(E108,1),"same","differs"),"n/a")</f>
        <v>same</v>
      </c>
    </row>
    <row r="109" customFormat="false" ht="15" hidden="false" customHeight="false" outlineLevel="0" collapsed="false">
      <c r="B109" s="44" t="n">
        <v>102</v>
      </c>
      <c r="C109" s="8" t="s">
        <v>707</v>
      </c>
      <c r="D109" s="8" t="s">
        <v>738</v>
      </c>
      <c r="E109" s="56" t="n">
        <v>374</v>
      </c>
      <c r="F109" s="57" t="n">
        <f aca="false">Waterfall!$C$63</f>
        <v>373.983942307692</v>
      </c>
      <c r="G109" s="58" t="n">
        <f aca="false">IF(ISNUMBER(F109),F109-E109,"n/a")</f>
        <v>-0.0160576923076405</v>
      </c>
      <c r="H109" s="59" t="n">
        <v>0.050000001</v>
      </c>
      <c r="I109" s="40" t="str">
        <f aca="false">IF(ISNUMBER(F109),IF(ABS(F109-E109)&lt;=H109,"PASS","FAIL"),"FAIL")</f>
        <v>PASS</v>
      </c>
      <c r="J109" s="40" t="str">
        <f aca="false">IF(ISNUMBER(F109),IF(ROUND(F109,1)=ROUND(E109,1),"same","differs"),"n/a")</f>
        <v>same</v>
      </c>
    </row>
    <row r="110" customFormat="false" ht="15" hidden="false" customHeight="false" outlineLevel="0" collapsed="false">
      <c r="B110" s="44" t="n">
        <v>103</v>
      </c>
      <c r="C110" s="8" t="s">
        <v>707</v>
      </c>
      <c r="D110" s="8" t="s">
        <v>739</v>
      </c>
      <c r="E110" s="56" t="n">
        <v>25.2</v>
      </c>
      <c r="F110" s="57" t="n">
        <f aca="false">Waterfall!$C$69</f>
        <v>25.2282613548226</v>
      </c>
      <c r="G110" s="58" t="n">
        <f aca="false">IF(ISNUMBER(F110),F110-E110,"n/a")</f>
        <v>0.0282613548225541</v>
      </c>
      <c r="H110" s="59" t="n">
        <v>0.050000001</v>
      </c>
      <c r="I110" s="40" t="str">
        <f aca="false">IF(ISNUMBER(F110),IF(ABS(F110-E110)&lt;=H110,"PASS","FAIL"),"FAIL")</f>
        <v>PASS</v>
      </c>
      <c r="J110" s="40" t="str">
        <f aca="false">IF(ISNUMBER(F110),IF(ROUND(F110,1)=ROUND(E110,1),"same","differs"),"n/a")</f>
        <v>same</v>
      </c>
    </row>
    <row r="111" customFormat="false" ht="15" hidden="false" customHeight="false" outlineLevel="0" collapsed="false">
      <c r="B111" s="44" t="n">
        <v>104</v>
      </c>
      <c r="C111" s="8" t="s">
        <v>707</v>
      </c>
      <c r="D111" s="8" t="s">
        <v>740</v>
      </c>
      <c r="E111" s="12" t="n">
        <v>0.05</v>
      </c>
      <c r="F111" s="60" t="n">
        <f aca="false">Waterfall!$C$70</f>
        <v>0.0501939696376941</v>
      </c>
      <c r="G111" s="58" t="n">
        <f aca="false">IF(ISNUMBER(F111),F111-E111,"n/a")</f>
        <v>0.000193969637694087</v>
      </c>
      <c r="H111" s="59" t="n">
        <v>0.000500001</v>
      </c>
      <c r="I111" s="40" t="str">
        <f aca="false">IF(ISNUMBER(F111),IF(ABS(F111-E111)&lt;=H111,"PASS","FAIL"),"FAIL")</f>
        <v>PASS</v>
      </c>
      <c r="J111" s="40" t="str">
        <f aca="false">IF(ISNUMBER(F111),IF(ROUND(F111,3)=ROUND(E111,3),"same","differs"),"n/a")</f>
        <v>same</v>
      </c>
    </row>
    <row r="112" customFormat="false" ht="15" hidden="false" customHeight="false" outlineLevel="0" collapsed="false">
      <c r="B112" s="44" t="n">
        <v>105</v>
      </c>
      <c r="C112" s="8" t="s">
        <v>707</v>
      </c>
      <c r="D112" s="8" t="s">
        <v>741</v>
      </c>
      <c r="E112" s="56" t="n">
        <v>20.9</v>
      </c>
      <c r="F112" s="57" t="n">
        <f aca="false">Waterfall!$C$71</f>
        <v>20.8613859963432</v>
      </c>
      <c r="G112" s="58" t="n">
        <f aca="false">IF(ISNUMBER(F112),F112-E112,"n/a")</f>
        <v>-0.0386140036568285</v>
      </c>
      <c r="H112" s="59" t="n">
        <v>0.050000001</v>
      </c>
      <c r="I112" s="40" t="str">
        <f aca="false">IF(ISNUMBER(F112),IF(ABS(F112-E112)&lt;=H112,"PASS","FAIL"),"FAIL")</f>
        <v>PASS</v>
      </c>
      <c r="J112" s="40" t="str">
        <f aca="false">IF(ISNUMBER(F112),IF(ROUND(F112,1)=ROUND(E112,1),"same","differs"),"n/a")</f>
        <v>same</v>
      </c>
    </row>
    <row r="113" customFormat="false" ht="15" hidden="false" customHeight="false" outlineLevel="0" collapsed="false">
      <c r="B113" s="44" t="n">
        <v>106</v>
      </c>
      <c r="C113" s="8" t="s">
        <v>707</v>
      </c>
      <c r="D113" s="8" t="s">
        <v>742</v>
      </c>
      <c r="E113" s="56" t="n">
        <v>0</v>
      </c>
      <c r="F113" s="57" t="n">
        <f aca="false">Waterfall!$C$72</f>
        <v>0</v>
      </c>
      <c r="G113" s="58" t="n">
        <f aca="false">IF(ISNUMBER(F113),F113-E113,"n/a")</f>
        <v>0</v>
      </c>
      <c r="H113" s="59" t="n">
        <v>0.050000001</v>
      </c>
      <c r="I113" s="40" t="str">
        <f aca="false">IF(ISNUMBER(F113),IF(ABS(F113-E113)&lt;=H113,"PASS","FAIL"),"FAIL")</f>
        <v>PASS</v>
      </c>
      <c r="J113" s="40" t="str">
        <f aca="false">IF(ISNUMBER(F113),IF(ROUND(F113,1)=ROUND(E113,1),"same","differs"),"n/a")</f>
        <v>same</v>
      </c>
    </row>
    <row r="114" customFormat="false" ht="15" hidden="false" customHeight="false" outlineLevel="0" collapsed="false">
      <c r="B114" s="44" t="n">
        <v>107</v>
      </c>
      <c r="C114" s="8" t="s">
        <v>707</v>
      </c>
      <c r="D114" s="8" t="s">
        <v>743</v>
      </c>
      <c r="E114" s="56" t="n">
        <v>730.1</v>
      </c>
      <c r="F114" s="57" t="n">
        <f aca="false">Waterfall!$D$53</f>
        <v>730.149230769231</v>
      </c>
      <c r="G114" s="58" t="n">
        <f aca="false">IF(ISNUMBER(F114),F114-E114,"n/a")</f>
        <v>0.0492307692306895</v>
      </c>
      <c r="H114" s="59" t="n">
        <v>0.050000001</v>
      </c>
      <c r="I114" s="40" t="str">
        <f aca="false">IF(ISNUMBER(F114),IF(ABS(F114-E114)&lt;=H114,"PASS","FAIL"),"FAIL")</f>
        <v>PASS</v>
      </c>
      <c r="J114" s="40" t="str">
        <f aca="false">IF(ISNUMBER(F114),IF(ROUND(F114,1)=ROUND(E114,1),"same","differs"),"n/a")</f>
        <v>same</v>
      </c>
    </row>
    <row r="115" customFormat="false" ht="15" hidden="false" customHeight="false" outlineLevel="0" collapsed="false">
      <c r="B115" s="44" t="n">
        <v>108</v>
      </c>
      <c r="C115" s="8" t="s">
        <v>707</v>
      </c>
      <c r="D115" s="8" t="s">
        <v>744</v>
      </c>
      <c r="E115" s="56" t="n">
        <v>696.8</v>
      </c>
      <c r="F115" s="57" t="n">
        <f aca="false">Waterfall!$D$67</f>
        <v>696.837960795936</v>
      </c>
      <c r="G115" s="58" t="n">
        <f aca="false">IF(ISNUMBER(F115),F115-E115,"n/a")</f>
        <v>0.0379607959359873</v>
      </c>
      <c r="H115" s="59" t="n">
        <v>0.050000001</v>
      </c>
      <c r="I115" s="40" t="str">
        <f aca="false">IF(ISNUMBER(F115),IF(ABS(F115-E115)&lt;=H115,"PASS","FAIL"),"FAIL")</f>
        <v>PASS</v>
      </c>
      <c r="J115" s="40" t="str">
        <f aca="false">IF(ISNUMBER(F115),IF(ROUND(F115,1)=ROUND(E115,1),"same","differs"),"n/a")</f>
        <v>same</v>
      </c>
    </row>
    <row r="116" customFormat="false" ht="15" hidden="false" customHeight="false" outlineLevel="0" collapsed="false">
      <c r="B116" s="44" t="n">
        <v>109</v>
      </c>
      <c r="C116" s="8" t="s">
        <v>707</v>
      </c>
      <c r="D116" s="8" t="s">
        <v>745</v>
      </c>
      <c r="E116" s="12" t="n">
        <v>0.726</v>
      </c>
      <c r="F116" s="60" t="n">
        <f aca="false">Waterfall!$D$68</f>
        <v>0.725772195291191</v>
      </c>
      <c r="G116" s="58" t="n">
        <f aca="false">IF(ISNUMBER(F116),F116-E116,"n/a")</f>
        <v>-0.000227804708808566</v>
      </c>
      <c r="H116" s="59" t="n">
        <v>0.000500001</v>
      </c>
      <c r="I116" s="40" t="str">
        <f aca="false">IF(ISNUMBER(F116),IF(ABS(F116-E116)&lt;=H116,"PASS","FAIL"),"FAIL")</f>
        <v>PASS</v>
      </c>
      <c r="J116" s="40" t="str">
        <f aca="false">IF(ISNUMBER(F116),IF(ROUND(F116,3)=ROUND(E116,3),"same","differs"),"n/a")</f>
        <v>same</v>
      </c>
    </row>
    <row r="117" customFormat="false" ht="15" hidden="false" customHeight="false" outlineLevel="0" collapsed="false">
      <c r="B117" s="44" t="n">
        <v>110</v>
      </c>
      <c r="C117" s="8" t="s">
        <v>707</v>
      </c>
      <c r="D117" s="8" t="s">
        <v>746</v>
      </c>
      <c r="E117" s="56" t="n">
        <v>678.1</v>
      </c>
      <c r="F117" s="57" t="n">
        <f aca="false">Waterfall!$D$61</f>
        <v>678.149230769231</v>
      </c>
      <c r="G117" s="58" t="n">
        <f aca="false">IF(ISNUMBER(F117),F117-E117,"n/a")</f>
        <v>0.0492307692306895</v>
      </c>
      <c r="H117" s="59" t="n">
        <v>0.050000001</v>
      </c>
      <c r="I117" s="40" t="str">
        <f aca="false">IF(ISNUMBER(F117),IF(ABS(F117-E117)&lt;=H117,"PASS","FAIL"),"FAIL")</f>
        <v>PASS</v>
      </c>
      <c r="J117" s="40" t="str">
        <f aca="false">IF(ISNUMBER(F117),IF(ROUND(F117,1)=ROUND(E117,1),"same","differs"),"n/a")</f>
        <v>same</v>
      </c>
    </row>
    <row r="118" customFormat="false" ht="15" hidden="false" customHeight="false" outlineLevel="0" collapsed="false">
      <c r="B118" s="44" t="n">
        <v>111</v>
      </c>
      <c r="C118" s="8" t="s">
        <v>707</v>
      </c>
      <c r="D118" s="8" t="s">
        <v>747</v>
      </c>
      <c r="E118" s="56" t="n">
        <v>18.7</v>
      </c>
      <c r="F118" s="57" t="n">
        <f aca="false">Waterfall!$D$66</f>
        <v>18.6887300267052</v>
      </c>
      <c r="G118" s="58" t="n">
        <f aca="false">IF(ISNUMBER(F118),F118-E118,"n/a")</f>
        <v>-0.0112699732947945</v>
      </c>
      <c r="H118" s="59" t="n">
        <v>0.050000001</v>
      </c>
      <c r="I118" s="40" t="str">
        <f aca="false">IF(ISNUMBER(F118),IF(ABS(F118-E118)&lt;=H118,"PASS","FAIL"),"FAIL")</f>
        <v>PASS</v>
      </c>
      <c r="J118" s="40" t="str">
        <f aca="false">IF(ISNUMBER(F118),IF(ROUND(F118,1)=ROUND(E118,1),"same","differs"),"n/a")</f>
        <v>same</v>
      </c>
    </row>
    <row r="119" customFormat="false" ht="15" hidden="false" customHeight="false" outlineLevel="0" collapsed="false">
      <c r="B119" s="44" t="n">
        <v>112</v>
      </c>
      <c r="C119" s="8" t="s">
        <v>707</v>
      </c>
      <c r="D119" s="8" t="s">
        <v>748</v>
      </c>
      <c r="E119" s="56" t="n">
        <v>282</v>
      </c>
      <c r="F119" s="57" t="n">
        <f aca="false">Waterfall!$D$63</f>
        <v>281.983942307692</v>
      </c>
      <c r="G119" s="58" t="n">
        <f aca="false">IF(ISNUMBER(F119),F119-E119,"n/a")</f>
        <v>-0.0160576923076405</v>
      </c>
      <c r="H119" s="59" t="n">
        <v>0.050000001</v>
      </c>
      <c r="I119" s="40" t="str">
        <f aca="false">IF(ISNUMBER(F119),IF(ABS(F119-E119)&lt;=H119,"PASS","FAIL"),"FAIL")</f>
        <v>PASS</v>
      </c>
      <c r="J119" s="40" t="str">
        <f aca="false">IF(ISNUMBER(F119),IF(ROUND(F119,1)=ROUND(E119,1),"same","differs"),"n/a")</f>
        <v>same</v>
      </c>
    </row>
    <row r="120" customFormat="false" ht="15" hidden="false" customHeight="false" outlineLevel="0" collapsed="false">
      <c r="B120" s="44" t="n">
        <v>113</v>
      </c>
      <c r="C120" s="8" t="s">
        <v>707</v>
      </c>
      <c r="D120" s="8" t="s">
        <v>749</v>
      </c>
      <c r="E120" s="56" t="n">
        <v>33.3</v>
      </c>
      <c r="F120" s="57" t="n">
        <f aca="false">Waterfall!$D$69</f>
        <v>33.3112699732948</v>
      </c>
      <c r="G120" s="58" t="n">
        <f aca="false">IF(ISNUMBER(F120),F120-E120,"n/a")</f>
        <v>0.0112699732947945</v>
      </c>
      <c r="H120" s="59" t="n">
        <v>0.050000001</v>
      </c>
      <c r="I120" s="40" t="str">
        <f aca="false">IF(ISNUMBER(F120),IF(ABS(F120-E120)&lt;=H120,"PASS","FAIL"),"FAIL")</f>
        <v>PASS</v>
      </c>
      <c r="J120" s="40" t="str">
        <f aca="false">IF(ISNUMBER(F120),IF(ROUND(F120,1)=ROUND(E120,1),"same","differs"),"n/a")</f>
        <v>same</v>
      </c>
    </row>
    <row r="121" customFormat="false" ht="15" hidden="false" customHeight="false" outlineLevel="0" collapsed="false">
      <c r="B121" s="44" t="n">
        <v>114</v>
      </c>
      <c r="C121" s="8" t="s">
        <v>707</v>
      </c>
      <c r="D121" s="8" t="s">
        <v>750</v>
      </c>
      <c r="E121" s="12" t="n">
        <v>0.066</v>
      </c>
      <c r="F121" s="60" t="n">
        <f aca="false">Waterfall!$D$70</f>
        <v>0.0662758661850065</v>
      </c>
      <c r="G121" s="58" t="n">
        <f aca="false">IF(ISNUMBER(F121),F121-E121,"n/a")</f>
        <v>0.000275866185006468</v>
      </c>
      <c r="H121" s="59" t="n">
        <v>0.000500001</v>
      </c>
      <c r="I121" s="40" t="str">
        <f aca="false">IF(ISNUMBER(F121),IF(ABS(F121-E121)&lt;=H121,"PASS","FAIL"),"FAIL")</f>
        <v>PASS</v>
      </c>
      <c r="J121" s="40" t="str">
        <f aca="false">IF(ISNUMBER(F121),IF(ROUND(F121,3)=ROUND(E121,3),"same","differs"),"n/a")</f>
        <v>same</v>
      </c>
    </row>
    <row r="122" customFormat="false" ht="15" hidden="false" customHeight="false" outlineLevel="0" collapsed="false">
      <c r="B122" s="44" t="n">
        <v>115</v>
      </c>
      <c r="C122" s="8" t="s">
        <v>707</v>
      </c>
      <c r="D122" s="8" t="s">
        <v>751</v>
      </c>
      <c r="E122" s="56" t="n">
        <v>27.5</v>
      </c>
      <c r="F122" s="57" t="n">
        <f aca="false">Waterfall!$D$71</f>
        <v>27.5452696151992</v>
      </c>
      <c r="G122" s="58" t="n">
        <f aca="false">IF(ISNUMBER(F122),F122-E122,"n/a")</f>
        <v>0.0452696151992278</v>
      </c>
      <c r="H122" s="59" t="n">
        <v>0.050000001</v>
      </c>
      <c r="I122" s="40" t="str">
        <f aca="false">IF(ISNUMBER(F122),IF(ABS(F122-E122)&lt;=H122,"PASS","FAIL"),"FAIL")</f>
        <v>PASS</v>
      </c>
      <c r="J122" s="40" t="str">
        <f aca="false">IF(ISNUMBER(F122),IF(ROUND(F122,1)=ROUND(E122,1),"same","differs"),"n/a")</f>
        <v>same</v>
      </c>
    </row>
    <row r="123" customFormat="false" ht="15" hidden="false" customHeight="false" outlineLevel="0" collapsed="false">
      <c r="B123" s="44" t="n">
        <v>116</v>
      </c>
      <c r="C123" s="8" t="s">
        <v>707</v>
      </c>
      <c r="D123" s="8" t="s">
        <v>752</v>
      </c>
      <c r="E123" s="56" t="n">
        <v>0</v>
      </c>
      <c r="F123" s="57" t="n">
        <f aca="false">Waterfall!$D$72</f>
        <v>0</v>
      </c>
      <c r="G123" s="58" t="n">
        <f aca="false">IF(ISNUMBER(F123),F123-E123,"n/a")</f>
        <v>0</v>
      </c>
      <c r="H123" s="59" t="n">
        <v>0.050000001</v>
      </c>
      <c r="I123" s="40" t="str">
        <f aca="false">IF(ISNUMBER(F123),IF(ABS(F123-E123)&lt;=H123,"PASS","FAIL"),"FAIL")</f>
        <v>PASS</v>
      </c>
      <c r="J123" s="40" t="str">
        <f aca="false">IF(ISNUMBER(F123),IF(ROUND(F123,1)=ROUND(E123,1),"same","differs"),"n/a")</f>
        <v>same</v>
      </c>
    </row>
    <row r="124" customFormat="false" ht="15" hidden="false" customHeight="false" outlineLevel="0" collapsed="false">
      <c r="B124" s="44" t="n">
        <v>117</v>
      </c>
      <c r="C124" s="8" t="s">
        <v>707</v>
      </c>
      <c r="D124" s="8" t="s">
        <v>753</v>
      </c>
      <c r="E124" s="56" t="n">
        <v>830.1</v>
      </c>
      <c r="F124" s="57" t="n">
        <f aca="false">Waterfall!$E$53</f>
        <v>830.149230769231</v>
      </c>
      <c r="G124" s="58" t="n">
        <f aca="false">IF(ISNUMBER(F124),F124-E124,"n/a")</f>
        <v>0.0492307692306895</v>
      </c>
      <c r="H124" s="59" t="n">
        <v>0.050000001</v>
      </c>
      <c r="I124" s="40" t="str">
        <f aca="false">IF(ISNUMBER(F124),IF(ABS(F124-E124)&lt;=H124,"PASS","FAIL"),"FAIL")</f>
        <v>PASS</v>
      </c>
      <c r="J124" s="40" t="str">
        <f aca="false">IF(ISNUMBER(F124),IF(ROUND(F124,1)=ROUND(E124,1),"same","differs"),"n/a")</f>
        <v>same</v>
      </c>
    </row>
    <row r="125" customFormat="false" ht="15" hidden="false" customHeight="false" outlineLevel="0" collapsed="false">
      <c r="B125" s="44" t="n">
        <v>118</v>
      </c>
      <c r="C125" s="8" t="s">
        <v>707</v>
      </c>
      <c r="D125" s="8" t="s">
        <v>754</v>
      </c>
      <c r="E125" s="56" t="n">
        <v>786.6</v>
      </c>
      <c r="F125" s="57" t="n">
        <f aca="false">Waterfall!$E$67</f>
        <v>786.607572692696</v>
      </c>
      <c r="G125" s="58" t="n">
        <f aca="false">IF(ISNUMBER(F125),F125-E125,"n/a")</f>
        <v>0.00757269269547578</v>
      </c>
      <c r="H125" s="59" t="n">
        <v>0.050000001</v>
      </c>
      <c r="I125" s="40" t="str">
        <f aca="false">IF(ISNUMBER(F125),IF(ABS(F125-E125)&lt;=H125,"PASS","FAIL"),"FAIL")</f>
        <v>PASS</v>
      </c>
      <c r="J125" s="40" t="str">
        <f aca="false">IF(ISNUMBER(F125),IF(ROUND(F125,1)=ROUND(E125,1),"same","differs"),"n/a")</f>
        <v>same</v>
      </c>
    </row>
    <row r="126" customFormat="false" ht="15" hidden="false" customHeight="false" outlineLevel="0" collapsed="false">
      <c r="B126" s="44" t="n">
        <v>119</v>
      </c>
      <c r="C126" s="8" t="s">
        <v>707</v>
      </c>
      <c r="D126" s="8" t="s">
        <v>755</v>
      </c>
      <c r="E126" s="12" t="n">
        <v>0.819</v>
      </c>
      <c r="F126" s="60" t="n">
        <f aca="false">Waterfall!$E$68</f>
        <v>0.819269237591143</v>
      </c>
      <c r="G126" s="58" t="n">
        <f aca="false">IF(ISNUMBER(F126),F126-E126,"n/a")</f>
        <v>0.000269237591142724</v>
      </c>
      <c r="H126" s="59" t="n">
        <v>0.000500001</v>
      </c>
      <c r="I126" s="40" t="str">
        <f aca="false">IF(ISNUMBER(F126),IF(ABS(F126-E126)&lt;=H126,"PASS","FAIL"),"FAIL")</f>
        <v>PASS</v>
      </c>
      <c r="J126" s="40" t="str">
        <f aca="false">IF(ISNUMBER(F126),IF(ROUND(F126,3)=ROUND(E126,3),"same","differs"),"n/a")</f>
        <v>same</v>
      </c>
    </row>
    <row r="127" customFormat="false" ht="15" hidden="false" customHeight="false" outlineLevel="0" collapsed="false">
      <c r="B127" s="44" t="n">
        <v>120</v>
      </c>
      <c r="C127" s="8" t="s">
        <v>707</v>
      </c>
      <c r="D127" s="8" t="s">
        <v>756</v>
      </c>
      <c r="E127" s="56" t="n">
        <v>770.1</v>
      </c>
      <c r="F127" s="57" t="n">
        <f aca="false">Waterfall!$E$61</f>
        <v>770.149230769231</v>
      </c>
      <c r="G127" s="58" t="n">
        <f aca="false">IF(ISNUMBER(F127),F127-E127,"n/a")</f>
        <v>0.0492307692306895</v>
      </c>
      <c r="H127" s="59" t="n">
        <v>0.050000001</v>
      </c>
      <c r="I127" s="40" t="str">
        <f aca="false">IF(ISNUMBER(F127),IF(ABS(F127-E127)&lt;=H127,"PASS","FAIL"),"FAIL")</f>
        <v>PASS</v>
      </c>
      <c r="J127" s="40" t="str">
        <f aca="false">IF(ISNUMBER(F127),IF(ROUND(F127,1)=ROUND(E127,1),"same","differs"),"n/a")</f>
        <v>same</v>
      </c>
    </row>
    <row r="128" customFormat="false" ht="15" hidden="false" customHeight="false" outlineLevel="0" collapsed="false">
      <c r="B128" s="44" t="n">
        <v>121</v>
      </c>
      <c r="C128" s="8" t="s">
        <v>707</v>
      </c>
      <c r="D128" s="8" t="s">
        <v>757</v>
      </c>
      <c r="E128" s="56" t="n">
        <v>16.5</v>
      </c>
      <c r="F128" s="57" t="n">
        <f aca="false">Waterfall!$E$66</f>
        <v>16.4583419234647</v>
      </c>
      <c r="G128" s="58" t="n">
        <f aca="false">IF(ISNUMBER(F128),F128-E128,"n/a")</f>
        <v>-0.0416580765352563</v>
      </c>
      <c r="H128" s="59" t="n">
        <v>0.050000001</v>
      </c>
      <c r="I128" s="40" t="str">
        <f aca="false">IF(ISNUMBER(F128),IF(ABS(F128-E128)&lt;=H128,"PASS","FAIL"),"FAIL")</f>
        <v>PASS</v>
      </c>
      <c r="J128" s="40" t="str">
        <f aca="false">IF(ISNUMBER(F128),IF(ROUND(F128,1)=ROUND(E128,1),"same","differs"),"n/a")</f>
        <v>same</v>
      </c>
    </row>
    <row r="129" customFormat="false" ht="15" hidden="false" customHeight="false" outlineLevel="0" collapsed="false">
      <c r="B129" s="44" t="n">
        <v>122</v>
      </c>
      <c r="C129" s="8" t="s">
        <v>707</v>
      </c>
      <c r="D129" s="8" t="s">
        <v>758</v>
      </c>
      <c r="E129" s="56" t="n">
        <v>190</v>
      </c>
      <c r="F129" s="57" t="n">
        <f aca="false">Waterfall!$E$63</f>
        <v>189.983942307692</v>
      </c>
      <c r="G129" s="58" t="n">
        <f aca="false">IF(ISNUMBER(F129),F129-E129,"n/a")</f>
        <v>-0.0160576923076405</v>
      </c>
      <c r="H129" s="59" t="n">
        <v>0.050000001</v>
      </c>
      <c r="I129" s="40" t="str">
        <f aca="false">IF(ISNUMBER(F129),IF(ABS(F129-E129)&lt;=H129,"PASS","FAIL"),"FAIL")</f>
        <v>PASS</v>
      </c>
      <c r="J129" s="40" t="str">
        <f aca="false">IF(ISNUMBER(F129),IF(ROUND(F129,1)=ROUND(E129,1),"same","differs"),"n/a")</f>
        <v>same</v>
      </c>
    </row>
    <row r="130" customFormat="false" ht="15" hidden="false" customHeight="false" outlineLevel="0" collapsed="false">
      <c r="B130" s="44" t="n">
        <v>123</v>
      </c>
      <c r="C130" s="8" t="s">
        <v>707</v>
      </c>
      <c r="D130" s="8" t="s">
        <v>759</v>
      </c>
      <c r="E130" s="56" t="n">
        <v>43.5</v>
      </c>
      <c r="F130" s="57" t="n">
        <f aca="false">Waterfall!$E$69</f>
        <v>43.5416580765353</v>
      </c>
      <c r="G130" s="58" t="n">
        <f aca="false">IF(ISNUMBER(F130),F130-E130,"n/a")</f>
        <v>0.0416580765352563</v>
      </c>
      <c r="H130" s="59" t="n">
        <v>0.050000001</v>
      </c>
      <c r="I130" s="40" t="str">
        <f aca="false">IF(ISNUMBER(F130),IF(ABS(F130-E130)&lt;=H130,"PASS","FAIL"),"FAIL")</f>
        <v>PASS</v>
      </c>
      <c r="J130" s="40" t="str">
        <f aca="false">IF(ISNUMBER(F130),IF(ROUND(F130,1)=ROUND(E130,1),"same","differs"),"n/a")</f>
        <v>same</v>
      </c>
    </row>
    <row r="131" customFormat="false" ht="15" hidden="false" customHeight="false" outlineLevel="0" collapsed="false">
      <c r="B131" s="44" t="n">
        <v>124</v>
      </c>
      <c r="C131" s="8" t="s">
        <v>707</v>
      </c>
      <c r="D131" s="8" t="s">
        <v>760</v>
      </c>
      <c r="E131" s="12" t="n">
        <v>0.087</v>
      </c>
      <c r="F131" s="60" t="n">
        <f aca="false">Waterfall!$E$70</f>
        <v>0.086630173705993</v>
      </c>
      <c r="G131" s="58" t="n">
        <f aca="false">IF(ISNUMBER(F131),F131-E131,"n/a")</f>
        <v>-0.000369826294006989</v>
      </c>
      <c r="H131" s="59" t="n">
        <v>0.000500001</v>
      </c>
      <c r="I131" s="40" t="str">
        <f aca="false">IF(ISNUMBER(F131),IF(ABS(F131-E131)&lt;=H131,"PASS","FAIL"),"FAIL")</f>
        <v>PASS</v>
      </c>
      <c r="J131" s="40" t="str">
        <f aca="false">IF(ISNUMBER(F131),IF(ROUND(F131,3)=ROUND(E131,3),"same","differs"),"n/a")</f>
        <v>same</v>
      </c>
    </row>
    <row r="132" customFormat="false" ht="15" hidden="false" customHeight="false" outlineLevel="0" collapsed="false">
      <c r="B132" s="44" t="n">
        <v>125</v>
      </c>
      <c r="C132" s="8" t="s">
        <v>707</v>
      </c>
      <c r="D132" s="8" t="s">
        <v>761</v>
      </c>
      <c r="E132" s="56" t="n">
        <v>36</v>
      </c>
      <c r="F132" s="57" t="n">
        <f aca="false">Waterfall!$E$71</f>
        <v>36.0048329641139</v>
      </c>
      <c r="G132" s="58" t="n">
        <f aca="false">IF(ISNUMBER(F132),F132-E132,"n/a")</f>
        <v>0.00483296411386647</v>
      </c>
      <c r="H132" s="59" t="n">
        <v>0.050000001</v>
      </c>
      <c r="I132" s="40" t="str">
        <f aca="false">IF(ISNUMBER(F132),IF(ABS(F132-E132)&lt;=H132,"PASS","FAIL"),"FAIL")</f>
        <v>PASS</v>
      </c>
      <c r="J132" s="40" t="str">
        <f aca="false">IF(ISNUMBER(F132),IF(ROUND(F132,1)=ROUND(E132,1),"same","differs"),"n/a")</f>
        <v>same</v>
      </c>
    </row>
    <row r="133" customFormat="false" ht="15" hidden="false" customHeight="false" outlineLevel="0" collapsed="false">
      <c r="B133" s="44" t="n">
        <v>126</v>
      </c>
      <c r="C133" s="8" t="s">
        <v>707</v>
      </c>
      <c r="D133" s="8" t="s">
        <v>762</v>
      </c>
      <c r="E133" s="56" t="n">
        <v>0</v>
      </c>
      <c r="F133" s="57" t="n">
        <f aca="false">Waterfall!$E$72</f>
        <v>0</v>
      </c>
      <c r="G133" s="58" t="n">
        <f aca="false">IF(ISNUMBER(F133),F133-E133,"n/a")</f>
        <v>0</v>
      </c>
      <c r="H133" s="59" t="n">
        <v>0.050000001</v>
      </c>
      <c r="I133" s="40" t="str">
        <f aca="false">IF(ISNUMBER(F133),IF(ABS(F133-E133)&lt;=H133,"PASS","FAIL"),"FAIL")</f>
        <v>PASS</v>
      </c>
      <c r="J133" s="40" t="str">
        <f aca="false">IF(ISNUMBER(F133),IF(ROUND(F133,1)=ROUND(E133,1),"same","differs"),"n/a")</f>
        <v>same</v>
      </c>
    </row>
    <row r="134" customFormat="false" ht="15" hidden="false" customHeight="false" outlineLevel="0" collapsed="false">
      <c r="B134" s="44" t="n">
        <v>127</v>
      </c>
      <c r="C134" s="8" t="s">
        <v>707</v>
      </c>
      <c r="D134" s="8" t="s">
        <v>763</v>
      </c>
      <c r="E134" s="56" t="n">
        <v>930.1</v>
      </c>
      <c r="F134" s="57" t="n">
        <f aca="false">Waterfall!$F$53</f>
        <v>930.149230769231</v>
      </c>
      <c r="G134" s="58" t="n">
        <f aca="false">IF(ISNUMBER(F134),F134-E134,"n/a")</f>
        <v>0.0492307692306895</v>
      </c>
      <c r="H134" s="59" t="n">
        <v>0.050000001</v>
      </c>
      <c r="I134" s="40" t="str">
        <f aca="false">IF(ISNUMBER(F134),IF(ABS(F134-E134)&lt;=H134,"PASS","FAIL"),"FAIL")</f>
        <v>PASS</v>
      </c>
      <c r="J134" s="40" t="str">
        <f aca="false">IF(ISNUMBER(F134),IF(ROUND(F134,1)=ROUND(E134,1),"same","differs"),"n/a")</f>
        <v>same</v>
      </c>
    </row>
    <row r="135" customFormat="false" ht="15" hidden="false" customHeight="false" outlineLevel="0" collapsed="false">
      <c r="B135" s="44" t="n">
        <v>128</v>
      </c>
      <c r="C135" s="8" t="s">
        <v>707</v>
      </c>
      <c r="D135" s="8" t="s">
        <v>764</v>
      </c>
      <c r="E135" s="56" t="n">
        <v>873.2</v>
      </c>
      <c r="F135" s="57" t="n">
        <f aca="false">Waterfall!$F$67</f>
        <v>873.242996243557</v>
      </c>
      <c r="G135" s="58" t="n">
        <f aca="false">IF(ISNUMBER(F135),F135-E135,"n/a")</f>
        <v>0.0429962435573543</v>
      </c>
      <c r="H135" s="59" t="n">
        <v>0.050000001</v>
      </c>
      <c r="I135" s="40" t="str">
        <f aca="false">IF(ISNUMBER(F135),IF(ABS(F135-E135)&lt;=H135,"PASS","FAIL"),"FAIL")</f>
        <v>PASS</v>
      </c>
      <c r="J135" s="40" t="str">
        <f aca="false">IF(ISNUMBER(F135),IF(ROUND(F135,1)=ROUND(E135,1),"same","differs"),"n/a")</f>
        <v>same</v>
      </c>
    </row>
    <row r="136" customFormat="false" ht="15" hidden="false" customHeight="false" outlineLevel="0" collapsed="false">
      <c r="B136" s="44" t="n">
        <v>129</v>
      </c>
      <c r="C136" s="8" t="s">
        <v>707</v>
      </c>
      <c r="D136" s="8" t="s">
        <v>765</v>
      </c>
      <c r="E136" s="12" t="n">
        <v>0.91</v>
      </c>
      <c r="F136" s="60" t="n">
        <f aca="false">Waterfall!$F$68</f>
        <v>0.909501953197898</v>
      </c>
      <c r="G136" s="58" t="n">
        <f aca="false">IF(ISNUMBER(F136),F136-E136,"n/a")</f>
        <v>-0.000498046802101637</v>
      </c>
      <c r="H136" s="59" t="n">
        <v>0.000500001</v>
      </c>
      <c r="I136" s="40" t="str">
        <f aca="false">IF(ISNUMBER(F136),IF(ABS(F136-E136)&lt;=H136,"PASS","FAIL"),"FAIL")</f>
        <v>PASS</v>
      </c>
      <c r="J136" s="40" t="str">
        <f aca="false">IF(ISNUMBER(F136),IF(ROUND(F136,3)=ROUND(E136,3),"same","differs"),"n/a")</f>
        <v>same</v>
      </c>
    </row>
    <row r="137" customFormat="false" ht="15" hidden="false" customHeight="false" outlineLevel="0" collapsed="false">
      <c r="B137" s="44" t="n">
        <v>130</v>
      </c>
      <c r="C137" s="8" t="s">
        <v>707</v>
      </c>
      <c r="D137" s="8" t="s">
        <v>766</v>
      </c>
      <c r="E137" s="56" t="n">
        <v>862.1</v>
      </c>
      <c r="F137" s="57" t="n">
        <f aca="false">Waterfall!$F$61</f>
        <v>862.149230769231</v>
      </c>
      <c r="G137" s="58" t="n">
        <f aca="false">IF(ISNUMBER(F137),F137-E137,"n/a")</f>
        <v>0.0492307692306895</v>
      </c>
      <c r="H137" s="59" t="n">
        <v>0.050000001</v>
      </c>
      <c r="I137" s="40" t="str">
        <f aca="false">IF(ISNUMBER(F137),IF(ABS(F137-E137)&lt;=H137,"PASS","FAIL"),"FAIL")</f>
        <v>PASS</v>
      </c>
      <c r="J137" s="40" t="str">
        <f aca="false">IF(ISNUMBER(F137),IF(ROUND(F137,1)=ROUND(E137,1),"same","differs"),"n/a")</f>
        <v>same</v>
      </c>
    </row>
    <row r="138" customFormat="false" ht="15" hidden="false" customHeight="false" outlineLevel="0" collapsed="false">
      <c r="B138" s="44" t="n">
        <v>131</v>
      </c>
      <c r="C138" s="8" t="s">
        <v>707</v>
      </c>
      <c r="D138" s="8" t="s">
        <v>767</v>
      </c>
      <c r="E138" s="56" t="n">
        <v>11.1</v>
      </c>
      <c r="F138" s="57" t="n">
        <f aca="false">Waterfall!$F$66</f>
        <v>11.0937654743267</v>
      </c>
      <c r="G138" s="58" t="n">
        <f aca="false">IF(ISNUMBER(F138),F138-E138,"n/a")</f>
        <v>-0.00623452567330851</v>
      </c>
      <c r="H138" s="59" t="n">
        <v>0.050000001</v>
      </c>
      <c r="I138" s="40" t="str">
        <f aca="false">IF(ISNUMBER(F138),IF(ABS(F138-E138)&lt;=H138,"PASS","FAIL"),"FAIL")</f>
        <v>PASS</v>
      </c>
      <c r="J138" s="40" t="str">
        <f aca="false">IF(ISNUMBER(F138),IF(ROUND(F138,1)=ROUND(E138,1),"same","differs"),"n/a")</f>
        <v>same</v>
      </c>
    </row>
    <row r="139" customFormat="false" ht="15" hidden="false" customHeight="false" outlineLevel="0" collapsed="false">
      <c r="B139" s="44" t="n">
        <v>132</v>
      </c>
      <c r="C139" s="8" t="s">
        <v>707</v>
      </c>
      <c r="D139" s="8" t="s">
        <v>768</v>
      </c>
      <c r="E139" s="56" t="n">
        <v>98</v>
      </c>
      <c r="F139" s="57" t="n">
        <f aca="false">Waterfall!$F$63</f>
        <v>97.9839423076924</v>
      </c>
      <c r="G139" s="58" t="n">
        <f aca="false">IF(ISNUMBER(F139),F139-E139,"n/a")</f>
        <v>-0.0160576923076405</v>
      </c>
      <c r="H139" s="59" t="n">
        <v>0.050000001</v>
      </c>
      <c r="I139" s="40" t="str">
        <f aca="false">IF(ISNUMBER(F139),IF(ABS(F139-E139)&lt;=H139,"PASS","FAIL"),"FAIL")</f>
        <v>PASS</v>
      </c>
      <c r="J139" s="40" t="str">
        <f aca="false">IF(ISNUMBER(F139),IF(ROUND(F139,1)=ROUND(E139,1),"same","differs"),"n/a")</f>
        <v>same</v>
      </c>
    </row>
    <row r="140" customFormat="false" ht="15" hidden="false" customHeight="false" outlineLevel="0" collapsed="false">
      <c r="B140" s="44" t="n">
        <v>133</v>
      </c>
      <c r="C140" s="8" t="s">
        <v>707</v>
      </c>
      <c r="D140" s="8" t="s">
        <v>769</v>
      </c>
      <c r="E140" s="56" t="n">
        <v>56.9</v>
      </c>
      <c r="F140" s="57" t="n">
        <f aca="false">Waterfall!$F$69</f>
        <v>56.9062345256733</v>
      </c>
      <c r="G140" s="58" t="n">
        <f aca="false">IF(ISNUMBER(F140),F140-E140,"n/a")</f>
        <v>0.00623452567331384</v>
      </c>
      <c r="H140" s="59" t="n">
        <v>0.050000001</v>
      </c>
      <c r="I140" s="40" t="str">
        <f aca="false">IF(ISNUMBER(F140),IF(ABS(F140-E140)&lt;=H140,"PASS","FAIL"),"FAIL")</f>
        <v>PASS</v>
      </c>
      <c r="J140" s="40" t="str">
        <f aca="false">IF(ISNUMBER(F140),IF(ROUND(F140,1)=ROUND(E140,1),"same","differs"),"n/a")</f>
        <v>same</v>
      </c>
    </row>
    <row r="141" customFormat="false" ht="15" hidden="false" customHeight="false" outlineLevel="0" collapsed="false">
      <c r="B141" s="44" t="n">
        <v>134</v>
      </c>
      <c r="C141" s="8" t="s">
        <v>707</v>
      </c>
      <c r="D141" s="8" t="s">
        <v>770</v>
      </c>
      <c r="E141" s="12" t="n">
        <v>0.113</v>
      </c>
      <c r="F141" s="60" t="n">
        <f aca="false">Waterfall!$F$70</f>
        <v>0.113220240103115</v>
      </c>
      <c r="G141" s="58" t="n">
        <f aca="false">IF(ISNUMBER(F141),F141-E141,"n/a")</f>
        <v>0.000220240103114944</v>
      </c>
      <c r="H141" s="59" t="n">
        <v>0.000500001</v>
      </c>
      <c r="I141" s="40" t="str">
        <f aca="false">IF(ISNUMBER(F141),IF(ABS(F141-E141)&lt;=H141,"PASS","FAIL"),"FAIL")</f>
        <v>PASS</v>
      </c>
      <c r="J141" s="40" t="str">
        <f aca="false">IF(ISNUMBER(F141),IF(ROUND(F141,3)=ROUND(E141,3),"same","differs"),"n/a")</f>
        <v>same</v>
      </c>
    </row>
    <row r="142" customFormat="false" ht="15" hidden="false" customHeight="false" outlineLevel="0" collapsed="false">
      <c r="B142" s="44" t="n">
        <v>135</v>
      </c>
      <c r="C142" s="8" t="s">
        <v>707</v>
      </c>
      <c r="D142" s="8" t="s">
        <v>771</v>
      </c>
      <c r="E142" s="56" t="n">
        <v>47.1</v>
      </c>
      <c r="F142" s="57" t="n">
        <f aca="false">Waterfall!$F$71</f>
        <v>47.0560736367023</v>
      </c>
      <c r="G142" s="58" t="n">
        <f aca="false">IF(ISNUMBER(F142),F142-E142,"n/a")</f>
        <v>-0.0439263632976932</v>
      </c>
      <c r="H142" s="59" t="n">
        <v>0.050000001</v>
      </c>
      <c r="I142" s="40" t="str">
        <f aca="false">IF(ISNUMBER(F142),IF(ABS(F142-E142)&lt;=H142,"PASS","FAIL"),"FAIL")</f>
        <v>PASS</v>
      </c>
      <c r="J142" s="40" t="str">
        <f aca="false">IF(ISNUMBER(F142),IF(ROUND(F142,1)=ROUND(E142,1),"same","differs"),"n/a")</f>
        <v>same</v>
      </c>
    </row>
    <row r="143" customFormat="false" ht="15" hidden="false" customHeight="false" outlineLevel="0" collapsed="false">
      <c r="B143" s="44" t="n">
        <v>136</v>
      </c>
      <c r="C143" s="8" t="s">
        <v>707</v>
      </c>
      <c r="D143" s="8" t="s">
        <v>772</v>
      </c>
      <c r="E143" s="56" t="n">
        <v>0</v>
      </c>
      <c r="F143" s="57" t="n">
        <f aca="false">Waterfall!$F$72</f>
        <v>0</v>
      </c>
      <c r="G143" s="58" t="n">
        <f aca="false">IF(ISNUMBER(F143),F143-E143,"n/a")</f>
        <v>0</v>
      </c>
      <c r="H143" s="59" t="n">
        <v>0.050000001</v>
      </c>
      <c r="I143" s="40" t="str">
        <f aca="false">IF(ISNUMBER(F143),IF(ABS(F143-E143)&lt;=H143,"PASS","FAIL"),"FAIL")</f>
        <v>PASS</v>
      </c>
      <c r="J143" s="40" t="str">
        <f aca="false">IF(ISNUMBER(F143),IF(ROUND(F143,1)=ROUND(E143,1),"same","differs"),"n/a")</f>
        <v>same</v>
      </c>
    </row>
    <row r="144" customFormat="false" ht="15" hidden="false" customHeight="false" outlineLevel="0" collapsed="false">
      <c r="B144" s="44" t="n">
        <v>137</v>
      </c>
      <c r="C144" s="8" t="s">
        <v>707</v>
      </c>
      <c r="D144" s="8" t="s">
        <v>773</v>
      </c>
      <c r="E144" s="56" t="n">
        <v>1030.1</v>
      </c>
      <c r="F144" s="57" t="n">
        <f aca="false">Waterfall!$G$53</f>
        <v>1030.14923076923</v>
      </c>
      <c r="G144" s="58" t="n">
        <f aca="false">IF(ISNUMBER(F144),F144-E144,"n/a")</f>
        <v>0.0492307692306895</v>
      </c>
      <c r="H144" s="59" t="n">
        <v>0.050000001</v>
      </c>
      <c r="I144" s="40" t="str">
        <f aca="false">IF(ISNUMBER(F144),IF(ABS(F144-E144)&lt;=H144,"PASS","FAIL"),"FAIL")</f>
        <v>PASS</v>
      </c>
      <c r="J144" s="40" t="str">
        <f aca="false">IF(ISNUMBER(F144),IF(ROUND(F144,1)=ROUND(E144,1),"same","differs"),"n/a")</f>
        <v>same</v>
      </c>
    </row>
    <row r="145" customFormat="false" ht="15" hidden="false" customHeight="false" outlineLevel="0" collapsed="false">
      <c r="B145" s="44" t="n">
        <v>138</v>
      </c>
      <c r="C145" s="8" t="s">
        <v>707</v>
      </c>
      <c r="D145" s="8" t="s">
        <v>774</v>
      </c>
      <c r="E145" s="56" t="n">
        <v>955</v>
      </c>
      <c r="F145" s="57" t="n">
        <f aca="false">Waterfall!$G$67</f>
        <v>955.043411298599</v>
      </c>
      <c r="G145" s="58" t="n">
        <f aca="false">IF(ISNUMBER(F145),F145-E145,"n/a")</f>
        <v>0.043411298599267</v>
      </c>
      <c r="H145" s="59" t="n">
        <v>0.050000001</v>
      </c>
      <c r="I145" s="40" t="str">
        <f aca="false">IF(ISNUMBER(F145),IF(ABS(F145-E145)&lt;=H145,"PASS","FAIL"),"FAIL")</f>
        <v>PASS</v>
      </c>
      <c r="J145" s="40" t="str">
        <f aca="false">IF(ISNUMBER(F145),IF(ROUND(F145,1)=ROUND(E145,1),"same","differs"),"n/a")</f>
        <v>same</v>
      </c>
    </row>
    <row r="146" customFormat="false" ht="15" hidden="false" customHeight="false" outlineLevel="0" collapsed="false">
      <c r="B146" s="44" t="n">
        <v>139</v>
      </c>
      <c r="C146" s="8" t="s">
        <v>707</v>
      </c>
      <c r="D146" s="8" t="s">
        <v>775</v>
      </c>
      <c r="E146" s="12" t="n">
        <v>0.995</v>
      </c>
      <c r="F146" s="60" t="n">
        <f aca="false">Waterfall!$G$68</f>
        <v>0.994698900193176</v>
      </c>
      <c r="G146" s="58" t="n">
        <f aca="false">IF(ISNUMBER(F146),F146-E146,"n/a")</f>
        <v>-0.000301099806824467</v>
      </c>
      <c r="H146" s="59" t="n">
        <v>0.000500001</v>
      </c>
      <c r="I146" s="40" t="str">
        <f aca="false">IF(ISNUMBER(F146),IF(ABS(F146-E146)&lt;=H146,"PASS","FAIL"),"FAIL")</f>
        <v>PASS</v>
      </c>
      <c r="J146" s="40" t="str">
        <f aca="false">IF(ISNUMBER(F146),IF(ROUND(F146,3)=ROUND(E146,3),"same","differs"),"n/a")</f>
        <v>same</v>
      </c>
    </row>
    <row r="147" customFormat="false" ht="15" hidden="false" customHeight="false" outlineLevel="0" collapsed="false">
      <c r="B147" s="44" t="n">
        <v>140</v>
      </c>
      <c r="C147" s="8" t="s">
        <v>707</v>
      </c>
      <c r="D147" s="8" t="s">
        <v>776</v>
      </c>
      <c r="E147" s="56" t="n">
        <v>954.1</v>
      </c>
      <c r="F147" s="57" t="n">
        <f aca="false">Waterfall!$G$61</f>
        <v>954.149230769231</v>
      </c>
      <c r="G147" s="58" t="n">
        <f aca="false">IF(ISNUMBER(F147),F147-E147,"n/a")</f>
        <v>0.0492307692305758</v>
      </c>
      <c r="H147" s="59" t="n">
        <v>0.050000001</v>
      </c>
      <c r="I147" s="40" t="str">
        <f aca="false">IF(ISNUMBER(F147),IF(ABS(F147-E147)&lt;=H147,"PASS","FAIL"),"FAIL")</f>
        <v>PASS</v>
      </c>
      <c r="J147" s="40" t="str">
        <f aca="false">IF(ISNUMBER(F147),IF(ROUND(F147,1)=ROUND(E147,1),"same","differs"),"n/a")</f>
        <v>same</v>
      </c>
    </row>
    <row r="148" customFormat="false" ht="15" hidden="false" customHeight="false" outlineLevel="0" collapsed="false">
      <c r="B148" s="44" t="n">
        <v>141</v>
      </c>
      <c r="C148" s="8" t="s">
        <v>707</v>
      </c>
      <c r="D148" s="8" t="s">
        <v>777</v>
      </c>
      <c r="E148" s="56" t="n">
        <v>0.9</v>
      </c>
      <c r="F148" s="57" t="n">
        <f aca="false">Waterfall!$G$66</f>
        <v>0.894180529368673</v>
      </c>
      <c r="G148" s="58" t="n">
        <f aca="false">IF(ISNUMBER(F148),F148-E148,"n/a")</f>
        <v>-0.00581947063132682</v>
      </c>
      <c r="H148" s="59" t="n">
        <v>0.050000001</v>
      </c>
      <c r="I148" s="40" t="str">
        <f aca="false">IF(ISNUMBER(F148),IF(ABS(F148-E148)&lt;=H148,"PASS","FAIL"),"FAIL")</f>
        <v>PASS</v>
      </c>
      <c r="J148" s="40" t="str">
        <f aca="false">IF(ISNUMBER(F148),IF(ROUND(F148,1)=ROUND(E148,1),"same","differs"),"n/a")</f>
        <v>same</v>
      </c>
    </row>
    <row r="149" customFormat="false" ht="15" hidden="false" customHeight="false" outlineLevel="0" collapsed="false">
      <c r="B149" s="44" t="n">
        <v>142</v>
      </c>
      <c r="C149" s="8" t="s">
        <v>707</v>
      </c>
      <c r="D149" s="8" t="s">
        <v>778</v>
      </c>
      <c r="E149" s="56" t="n">
        <v>6</v>
      </c>
      <c r="F149" s="57" t="n">
        <f aca="false">Waterfall!$G$63</f>
        <v>5.98394230769247</v>
      </c>
      <c r="G149" s="58" t="n">
        <f aca="false">IF(ISNUMBER(F149),F149-E149,"n/a")</f>
        <v>-0.0160576923075269</v>
      </c>
      <c r="H149" s="59" t="n">
        <v>0.050000001</v>
      </c>
      <c r="I149" s="40" t="str">
        <f aca="false">IF(ISNUMBER(F149),IF(ABS(F149-E149)&lt;=H149,"PASS","FAIL"),"FAIL")</f>
        <v>PASS</v>
      </c>
      <c r="J149" s="40" t="str">
        <f aca="false">IF(ISNUMBER(F149),IF(ROUND(F149,1)=ROUND(E149,1),"same","differs"),"n/a")</f>
        <v>same</v>
      </c>
    </row>
    <row r="150" customFormat="false" ht="15" hidden="false" customHeight="false" outlineLevel="0" collapsed="false">
      <c r="B150" s="44" t="n">
        <v>143</v>
      </c>
      <c r="C150" s="8" t="s">
        <v>707</v>
      </c>
      <c r="D150" s="8" t="s">
        <v>779</v>
      </c>
      <c r="E150" s="56" t="n">
        <v>75.1</v>
      </c>
      <c r="F150" s="57" t="n">
        <f aca="false">Waterfall!$G$69</f>
        <v>75.1058194706313</v>
      </c>
      <c r="G150" s="58" t="n">
        <f aca="false">IF(ISNUMBER(F150),F150-E150,"n/a")</f>
        <v>0.00581947063133725</v>
      </c>
      <c r="H150" s="59" t="n">
        <v>0.050000001</v>
      </c>
      <c r="I150" s="40" t="str">
        <f aca="false">IF(ISNUMBER(F150),IF(ABS(F150-E150)&lt;=H150,"PASS","FAIL"),"FAIL")</f>
        <v>PASS</v>
      </c>
      <c r="J150" s="40" t="str">
        <f aca="false">IF(ISNUMBER(F150),IF(ROUND(F150,1)=ROUND(E150,1),"same","differs"),"n/a")</f>
        <v>same</v>
      </c>
    </row>
    <row r="151" customFormat="false" ht="15" hidden="false" customHeight="false" outlineLevel="0" collapsed="false">
      <c r="B151" s="44" t="n">
        <v>144</v>
      </c>
      <c r="C151" s="8" t="s">
        <v>707</v>
      </c>
      <c r="D151" s="8" t="s">
        <v>780</v>
      </c>
      <c r="E151" s="12" t="n">
        <v>0.149</v>
      </c>
      <c r="F151" s="60" t="n">
        <f aca="false">Waterfall!$G$70</f>
        <v>0.149430005068596</v>
      </c>
      <c r="G151" s="58" t="n">
        <f aca="false">IF(ISNUMBER(F151),F151-E151,"n/a")</f>
        <v>0.000430005068596168</v>
      </c>
      <c r="H151" s="59" t="n">
        <v>0.000500001</v>
      </c>
      <c r="I151" s="40" t="str">
        <f aca="false">IF(ISNUMBER(F151),IF(ABS(F151-E151)&lt;=H151,"PASS","FAIL"),"FAIL")</f>
        <v>PASS</v>
      </c>
      <c r="J151" s="40" t="str">
        <f aca="false">IF(ISNUMBER(F151),IF(ROUND(F151,3)=ROUND(E151,3),"same","differs"),"n/a")</f>
        <v>same</v>
      </c>
    </row>
    <row r="152" customFormat="false" ht="15" hidden="false" customHeight="false" outlineLevel="0" collapsed="false">
      <c r="B152" s="44" t="n">
        <v>145</v>
      </c>
      <c r="C152" s="8" t="s">
        <v>707</v>
      </c>
      <c r="D152" s="8" t="s">
        <v>781</v>
      </c>
      <c r="E152" s="56" t="n">
        <v>62.1</v>
      </c>
      <c r="F152" s="57" t="n">
        <f aca="false">Waterfall!$G$71</f>
        <v>62.1054090296635</v>
      </c>
      <c r="G152" s="58" t="n">
        <f aca="false">IF(ISNUMBER(F152),F152-E152,"n/a")</f>
        <v>0.00540902966346835</v>
      </c>
      <c r="H152" s="59" t="n">
        <v>0.050000001</v>
      </c>
      <c r="I152" s="40" t="str">
        <f aca="false">IF(ISNUMBER(F152),IF(ABS(F152-E152)&lt;=H152,"PASS","FAIL"),"FAIL")</f>
        <v>PASS</v>
      </c>
      <c r="J152" s="40" t="str">
        <f aca="false">IF(ISNUMBER(F152),IF(ROUND(F152,1)=ROUND(E152,1),"same","differs"),"n/a")</f>
        <v>same</v>
      </c>
    </row>
    <row r="153" customFormat="false" ht="15" hidden="false" customHeight="false" outlineLevel="0" collapsed="false">
      <c r="B153" s="44" t="n">
        <v>146</v>
      </c>
      <c r="C153" s="8" t="s">
        <v>707</v>
      </c>
      <c r="D153" s="8" t="s">
        <v>782</v>
      </c>
      <c r="E153" s="56" t="n">
        <v>0</v>
      </c>
      <c r="F153" s="57" t="n">
        <f aca="false">Waterfall!$G$72</f>
        <v>0</v>
      </c>
      <c r="G153" s="58" t="n">
        <f aca="false">IF(ISNUMBER(F153),F153-E153,"n/a")</f>
        <v>0</v>
      </c>
      <c r="H153" s="59" t="n">
        <v>0.050000001</v>
      </c>
      <c r="I153" s="40" t="str">
        <f aca="false">IF(ISNUMBER(F153),IF(ABS(F153-E153)&lt;=H153,"PASS","FAIL"),"FAIL")</f>
        <v>PASS</v>
      </c>
      <c r="J153" s="40" t="str">
        <f aca="false">IF(ISNUMBER(F153),IF(ROUND(F153,1)=ROUND(E153,1),"same","differs"),"n/a")</f>
        <v>same</v>
      </c>
    </row>
    <row r="154" customFormat="false" ht="15" hidden="false" customHeight="false" outlineLevel="0" collapsed="false">
      <c r="B154" s="44" t="n">
        <v>147</v>
      </c>
      <c r="C154" s="8" t="s">
        <v>707</v>
      </c>
      <c r="D154" s="8" t="s">
        <v>783</v>
      </c>
      <c r="E154" s="56" t="n">
        <v>1130.1</v>
      </c>
      <c r="F154" s="57" t="n">
        <f aca="false">Waterfall!$H$53</f>
        <v>1130.14923076923</v>
      </c>
      <c r="G154" s="58" t="n">
        <f aca="false">IF(ISNUMBER(F154),F154-E154,"n/a")</f>
        <v>0.0492307692306895</v>
      </c>
      <c r="H154" s="59" t="n">
        <v>0.050000001</v>
      </c>
      <c r="I154" s="40" t="str">
        <f aca="false">IF(ISNUMBER(F154),IF(ABS(F154-E154)&lt;=H154,"PASS","FAIL"),"FAIL")</f>
        <v>PASS</v>
      </c>
      <c r="J154" s="40" t="str">
        <f aca="false">IF(ISNUMBER(F154),IF(ROUND(F154,1)=ROUND(E154,1),"same","differs"),"n/a")</f>
        <v>same</v>
      </c>
    </row>
    <row r="155" customFormat="false" ht="15" hidden="false" customHeight="false" outlineLevel="0" collapsed="false">
      <c r="B155" s="44" t="n">
        <v>148</v>
      </c>
      <c r="C155" s="8" t="s">
        <v>707</v>
      </c>
      <c r="D155" s="8" t="s">
        <v>784</v>
      </c>
      <c r="E155" s="56" t="n">
        <v>960.1</v>
      </c>
      <c r="F155" s="57" t="n">
        <f aca="false">Waterfall!$H$67</f>
        <v>960.133173076923</v>
      </c>
      <c r="G155" s="58" t="n">
        <f aca="false">IF(ISNUMBER(F155),F155-E155,"n/a")</f>
        <v>0.0331730769230489</v>
      </c>
      <c r="H155" s="59" t="n">
        <v>0.050000001</v>
      </c>
      <c r="I155" s="40" t="str">
        <f aca="false">IF(ISNUMBER(F155),IF(ABS(F155-E155)&lt;=H155,"PASS","FAIL"),"FAIL")</f>
        <v>PASS</v>
      </c>
      <c r="J155" s="40" t="str">
        <f aca="false">IF(ISNUMBER(F155),IF(ROUND(F155,1)=ROUND(E155,1),"same","differs"),"n/a")</f>
        <v>same</v>
      </c>
    </row>
    <row r="156" customFormat="false" ht="15" hidden="false" customHeight="false" outlineLevel="0" collapsed="false">
      <c r="B156" s="44" t="n">
        <v>149</v>
      </c>
      <c r="C156" s="8" t="s">
        <v>707</v>
      </c>
      <c r="D156" s="8" t="s">
        <v>785</v>
      </c>
      <c r="E156" s="12" t="n">
        <v>1</v>
      </c>
      <c r="F156" s="60" t="n">
        <f aca="false">Waterfall!$H$68</f>
        <v>1</v>
      </c>
      <c r="G156" s="58" t="n">
        <f aca="false">IF(ISNUMBER(F156),F156-E156,"n/a")</f>
        <v>0</v>
      </c>
      <c r="H156" s="59" t="n">
        <v>0.000500001</v>
      </c>
      <c r="I156" s="40" t="str">
        <f aca="false">IF(ISNUMBER(F156),IF(ABS(F156-E156)&lt;=H156,"PASS","FAIL"),"FAIL")</f>
        <v>PASS</v>
      </c>
      <c r="J156" s="40" t="str">
        <f aca="false">IF(ISNUMBER(F156),IF(ROUND(F156,3)=ROUND(E156,3),"same","differs"),"n/a")</f>
        <v>same</v>
      </c>
    </row>
    <row r="157" customFormat="false" ht="15" hidden="false" customHeight="false" outlineLevel="0" collapsed="false">
      <c r="B157" s="44" t="n">
        <v>150</v>
      </c>
      <c r="C157" s="8" t="s">
        <v>707</v>
      </c>
      <c r="D157" s="8" t="s">
        <v>786</v>
      </c>
      <c r="E157" s="56" t="n">
        <v>960.1</v>
      </c>
      <c r="F157" s="57" t="n">
        <f aca="false">Waterfall!$H$61</f>
        <v>960.133173076923</v>
      </c>
      <c r="G157" s="58" t="n">
        <f aca="false">IF(ISNUMBER(F157),F157-E157,"n/a")</f>
        <v>0.0331730769230489</v>
      </c>
      <c r="H157" s="59" t="n">
        <v>0.050000001</v>
      </c>
      <c r="I157" s="40" t="str">
        <f aca="false">IF(ISNUMBER(F157),IF(ABS(F157-E157)&lt;=H157,"PASS","FAIL"),"FAIL")</f>
        <v>PASS</v>
      </c>
      <c r="J157" s="40" t="str">
        <f aca="false">IF(ISNUMBER(F157),IF(ROUND(F157,1)=ROUND(E157,1),"same","differs"),"n/a")</f>
        <v>same</v>
      </c>
    </row>
    <row r="158" customFormat="false" ht="15" hidden="false" customHeight="false" outlineLevel="0" collapsed="false">
      <c r="B158" s="44" t="n">
        <v>151</v>
      </c>
      <c r="C158" s="8" t="s">
        <v>707</v>
      </c>
      <c r="D158" s="8" t="s">
        <v>787</v>
      </c>
      <c r="E158" s="56" t="n">
        <v>0</v>
      </c>
      <c r="F158" s="57" t="n">
        <f aca="false">Waterfall!$H$66</f>
        <v>0</v>
      </c>
      <c r="G158" s="58" t="n">
        <f aca="false">IF(ISNUMBER(F158),F158-E158,"n/a")</f>
        <v>0</v>
      </c>
      <c r="H158" s="59" t="n">
        <v>0.050000001</v>
      </c>
      <c r="I158" s="40" t="str">
        <f aca="false">IF(ISNUMBER(F158),IF(ABS(F158-E158)&lt;=H158,"PASS","FAIL"),"FAIL")</f>
        <v>PASS</v>
      </c>
      <c r="J158" s="40" t="str">
        <f aca="false">IF(ISNUMBER(F158),IF(ROUND(F158,1)=ROUND(E158,1),"same","differs"),"n/a")</f>
        <v>same</v>
      </c>
    </row>
    <row r="159" customFormat="false" ht="15" hidden="false" customHeight="false" outlineLevel="0" collapsed="false">
      <c r="B159" s="44" t="n">
        <v>152</v>
      </c>
      <c r="C159" s="8" t="s">
        <v>707</v>
      </c>
      <c r="D159" s="8" t="s">
        <v>788</v>
      </c>
      <c r="E159" s="56" t="n">
        <v>0</v>
      </c>
      <c r="F159" s="57" t="n">
        <f aca="false">Waterfall!$H$63</f>
        <v>0</v>
      </c>
      <c r="G159" s="58" t="n">
        <f aca="false">IF(ISNUMBER(F159),F159-E159,"n/a")</f>
        <v>0</v>
      </c>
      <c r="H159" s="59" t="n">
        <v>0.050000001</v>
      </c>
      <c r="I159" s="40" t="str">
        <f aca="false">IF(ISNUMBER(F159),IF(ABS(F159-E159)&lt;=H159,"PASS","FAIL"),"FAIL")</f>
        <v>PASS</v>
      </c>
      <c r="J159" s="40" t="str">
        <f aca="false">IF(ISNUMBER(F159),IF(ROUND(F159,1)=ROUND(E159,1),"same","differs"),"n/a")</f>
        <v>same</v>
      </c>
    </row>
    <row r="160" customFormat="false" ht="15" hidden="false" customHeight="false" outlineLevel="0" collapsed="false">
      <c r="B160" s="44" t="n">
        <v>153</v>
      </c>
      <c r="C160" s="8" t="s">
        <v>707</v>
      </c>
      <c r="D160" s="8" t="s">
        <v>789</v>
      </c>
      <c r="E160" s="56" t="n">
        <v>170</v>
      </c>
      <c r="F160" s="57" t="n">
        <f aca="false">Waterfall!$H$69</f>
        <v>170.016057692308</v>
      </c>
      <c r="G160" s="58" t="n">
        <f aca="false">IF(ISNUMBER(F160),F160-E160,"n/a")</f>
        <v>0.0160576923075269</v>
      </c>
      <c r="H160" s="59" t="n">
        <v>0.050000001</v>
      </c>
      <c r="I160" s="40" t="str">
        <f aca="false">IF(ISNUMBER(F160),IF(ABS(F160-E160)&lt;=H160,"PASS","FAIL"),"FAIL")</f>
        <v>PASS</v>
      </c>
      <c r="J160" s="40" t="str">
        <f aca="false">IF(ISNUMBER(F160),IF(ROUND(F160,1)=ROUND(E160,1),"same","differs"),"n/a")</f>
        <v>same</v>
      </c>
    </row>
    <row r="161" customFormat="false" ht="15" hidden="false" customHeight="false" outlineLevel="0" collapsed="false">
      <c r="B161" s="44" t="n">
        <v>154</v>
      </c>
      <c r="C161" s="8" t="s">
        <v>707</v>
      </c>
      <c r="D161" s="8" t="s">
        <v>790</v>
      </c>
      <c r="E161" s="12" t="n">
        <v>0.338</v>
      </c>
      <c r="F161" s="60" t="n">
        <f aca="false">Waterfall!$H$70</f>
        <v>0.338262741046832</v>
      </c>
      <c r="G161" s="58" t="n">
        <f aca="false">IF(ISNUMBER(F161),F161-E161,"n/a")</f>
        <v>0.000262741046831605</v>
      </c>
      <c r="H161" s="59" t="n">
        <v>0.000500001</v>
      </c>
      <c r="I161" s="40" t="str">
        <f aca="false">IF(ISNUMBER(F161),IF(ABS(F161-E161)&lt;=H161,"PASS","FAIL"),"FAIL")</f>
        <v>PASS</v>
      </c>
      <c r="J161" s="40" t="str">
        <f aca="false">IF(ISNUMBER(F161),IF(ROUND(F161,3)=ROUND(E161,3),"same","differs"),"n/a")</f>
        <v>same</v>
      </c>
    </row>
    <row r="162" customFormat="false" ht="15" hidden="false" customHeight="false" outlineLevel="0" collapsed="false">
      <c r="B162" s="44" t="n">
        <v>155</v>
      </c>
      <c r="C162" s="8" t="s">
        <v>707</v>
      </c>
      <c r="D162" s="8" t="s">
        <v>791</v>
      </c>
      <c r="E162" s="56" t="n">
        <v>140.6</v>
      </c>
      <c r="F162" s="57" t="n">
        <f aca="false">Waterfall!$H$71</f>
        <v>140.587199221233</v>
      </c>
      <c r="G162" s="58" t="n">
        <f aca="false">IF(ISNUMBER(F162),F162-E162,"n/a")</f>
        <v>-0.0128007787668025</v>
      </c>
      <c r="H162" s="59" t="n">
        <v>0.050000001</v>
      </c>
      <c r="I162" s="40" t="str">
        <f aca="false">IF(ISNUMBER(F162),IF(ABS(F162-E162)&lt;=H162,"PASS","FAIL"),"FAIL")</f>
        <v>PASS</v>
      </c>
      <c r="J162" s="40" t="str">
        <f aca="false">IF(ISNUMBER(F162),IF(ROUND(F162,1)=ROUND(E162,1),"same","differs"),"n/a")</f>
        <v>same</v>
      </c>
    </row>
    <row r="163" customFormat="false" ht="15" hidden="false" customHeight="false" outlineLevel="0" collapsed="false">
      <c r="B163" s="44" t="n">
        <v>156</v>
      </c>
      <c r="C163" s="8" t="s">
        <v>707</v>
      </c>
      <c r="D163" s="8" t="s">
        <v>792</v>
      </c>
      <c r="E163" s="56" t="n">
        <v>0</v>
      </c>
      <c r="F163" s="57" t="n">
        <f aca="false">Waterfall!$H$72</f>
        <v>0</v>
      </c>
      <c r="G163" s="58" t="n">
        <f aca="false">IF(ISNUMBER(F163),F163-E163,"n/a")</f>
        <v>0</v>
      </c>
      <c r="H163" s="59" t="n">
        <v>0.050000001</v>
      </c>
      <c r="I163" s="40" t="str">
        <f aca="false">IF(ISNUMBER(F163),IF(ABS(F163-E163)&lt;=H163,"PASS","FAIL"),"FAIL")</f>
        <v>PASS</v>
      </c>
      <c r="J163" s="40" t="str">
        <f aca="false">IF(ISNUMBER(F163),IF(ROUND(F163,1)=ROUND(E163,1),"same","differs"),"n/a")</f>
        <v>same</v>
      </c>
    </row>
    <row r="164" customFormat="false" ht="15" hidden="false" customHeight="false" outlineLevel="0" collapsed="false">
      <c r="B164" s="44" t="n">
        <v>157</v>
      </c>
      <c r="C164" s="8" t="s">
        <v>707</v>
      </c>
      <c r="D164" s="8" t="s">
        <v>793</v>
      </c>
      <c r="E164" s="56" t="n">
        <v>1230.1</v>
      </c>
      <c r="F164" s="57" t="n">
        <f aca="false">Waterfall!$I$53</f>
        <v>1230.14923076923</v>
      </c>
      <c r="G164" s="58" t="n">
        <f aca="false">IF(ISNUMBER(F164),F164-E164,"n/a")</f>
        <v>0.0492307692306895</v>
      </c>
      <c r="H164" s="59" t="n">
        <v>0.050000001</v>
      </c>
      <c r="I164" s="40" t="str">
        <f aca="false">IF(ISNUMBER(F164),IF(ABS(F164-E164)&lt;=H164,"PASS","FAIL"),"FAIL")</f>
        <v>PASS</v>
      </c>
      <c r="J164" s="40" t="str">
        <f aca="false">IF(ISNUMBER(F164),IF(ROUND(F164,1)=ROUND(E164,1),"same","differs"),"n/a")</f>
        <v>same</v>
      </c>
    </row>
    <row r="165" customFormat="false" ht="15" hidden="false" customHeight="false" outlineLevel="0" collapsed="false">
      <c r="B165" s="44" t="n">
        <v>158</v>
      </c>
      <c r="C165" s="8" t="s">
        <v>707</v>
      </c>
      <c r="D165" s="8" t="s">
        <v>794</v>
      </c>
      <c r="E165" s="56" t="n">
        <v>960.1</v>
      </c>
      <c r="F165" s="57" t="n">
        <f aca="false">Waterfall!$I$67</f>
        <v>960.133173076923</v>
      </c>
      <c r="G165" s="58" t="n">
        <f aca="false">IF(ISNUMBER(F165),F165-E165,"n/a")</f>
        <v>0.0331730769230489</v>
      </c>
      <c r="H165" s="59" t="n">
        <v>0.050000001</v>
      </c>
      <c r="I165" s="40" t="str">
        <f aca="false">IF(ISNUMBER(F165),IF(ABS(F165-E165)&lt;=H165,"PASS","FAIL"),"FAIL")</f>
        <v>PASS</v>
      </c>
      <c r="J165" s="40" t="str">
        <f aca="false">IF(ISNUMBER(F165),IF(ROUND(F165,1)=ROUND(E165,1),"same","differs"),"n/a")</f>
        <v>same</v>
      </c>
    </row>
    <row r="166" customFormat="false" ht="15" hidden="false" customHeight="false" outlineLevel="0" collapsed="false">
      <c r="B166" s="44" t="n">
        <v>159</v>
      </c>
      <c r="C166" s="8" t="s">
        <v>707</v>
      </c>
      <c r="D166" s="8" t="s">
        <v>795</v>
      </c>
      <c r="E166" s="12" t="n">
        <v>1</v>
      </c>
      <c r="F166" s="60" t="n">
        <f aca="false">Waterfall!$I$68</f>
        <v>1</v>
      </c>
      <c r="G166" s="58" t="n">
        <f aca="false">IF(ISNUMBER(F166),F166-E166,"n/a")</f>
        <v>0</v>
      </c>
      <c r="H166" s="59" t="n">
        <v>0.000500001</v>
      </c>
      <c r="I166" s="40" t="str">
        <f aca="false">IF(ISNUMBER(F166),IF(ABS(F166-E166)&lt;=H166,"PASS","FAIL"),"FAIL")</f>
        <v>PASS</v>
      </c>
      <c r="J166" s="40" t="str">
        <f aca="false">IF(ISNUMBER(F166),IF(ROUND(F166,3)=ROUND(E166,3),"same","differs"),"n/a")</f>
        <v>same</v>
      </c>
    </row>
    <row r="167" customFormat="false" ht="15" hidden="false" customHeight="false" outlineLevel="0" collapsed="false">
      <c r="B167" s="44" t="n">
        <v>160</v>
      </c>
      <c r="C167" s="8" t="s">
        <v>707</v>
      </c>
      <c r="D167" s="8" t="s">
        <v>796</v>
      </c>
      <c r="E167" s="56" t="n">
        <v>960.1</v>
      </c>
      <c r="F167" s="57" t="n">
        <f aca="false">Waterfall!$I$61</f>
        <v>960.133173076923</v>
      </c>
      <c r="G167" s="58" t="n">
        <f aca="false">IF(ISNUMBER(F167),F167-E167,"n/a")</f>
        <v>0.0331730769230489</v>
      </c>
      <c r="H167" s="59" t="n">
        <v>0.050000001</v>
      </c>
      <c r="I167" s="40" t="str">
        <f aca="false">IF(ISNUMBER(F167),IF(ABS(F167-E167)&lt;=H167,"PASS","FAIL"),"FAIL")</f>
        <v>PASS</v>
      </c>
      <c r="J167" s="40" t="str">
        <f aca="false">IF(ISNUMBER(F167),IF(ROUND(F167,1)=ROUND(E167,1),"same","differs"),"n/a")</f>
        <v>same</v>
      </c>
    </row>
    <row r="168" customFormat="false" ht="15" hidden="false" customHeight="false" outlineLevel="0" collapsed="false">
      <c r="B168" s="44" t="n">
        <v>161</v>
      </c>
      <c r="C168" s="8" t="s">
        <v>707</v>
      </c>
      <c r="D168" s="8" t="s">
        <v>797</v>
      </c>
      <c r="E168" s="56" t="n">
        <v>0</v>
      </c>
      <c r="F168" s="57" t="n">
        <f aca="false">Waterfall!$I$66</f>
        <v>0</v>
      </c>
      <c r="G168" s="58" t="n">
        <f aca="false">IF(ISNUMBER(F168),F168-E168,"n/a")</f>
        <v>0</v>
      </c>
      <c r="H168" s="59" t="n">
        <v>0.050000001</v>
      </c>
      <c r="I168" s="40" t="str">
        <f aca="false">IF(ISNUMBER(F168),IF(ABS(F168-E168)&lt;=H168,"PASS","FAIL"),"FAIL")</f>
        <v>PASS</v>
      </c>
      <c r="J168" s="40" t="str">
        <f aca="false">IF(ISNUMBER(F168),IF(ROUND(F168,1)=ROUND(E168,1),"same","differs"),"n/a")</f>
        <v>same</v>
      </c>
    </row>
    <row r="169" customFormat="false" ht="15" hidden="false" customHeight="false" outlineLevel="0" collapsed="false">
      <c r="B169" s="44" t="n">
        <v>162</v>
      </c>
      <c r="C169" s="8" t="s">
        <v>707</v>
      </c>
      <c r="D169" s="8" t="s">
        <v>798</v>
      </c>
      <c r="E169" s="56" t="n">
        <v>0</v>
      </c>
      <c r="F169" s="57" t="n">
        <f aca="false">Waterfall!$I$63</f>
        <v>0</v>
      </c>
      <c r="G169" s="58" t="n">
        <f aca="false">IF(ISNUMBER(F169),F169-E169,"n/a")</f>
        <v>0</v>
      </c>
      <c r="H169" s="59" t="n">
        <v>0.050000001</v>
      </c>
      <c r="I169" s="40" t="str">
        <f aca="false">IF(ISNUMBER(F169),IF(ABS(F169-E169)&lt;=H169,"PASS","FAIL"),"FAIL")</f>
        <v>PASS</v>
      </c>
      <c r="J169" s="40" t="str">
        <f aca="false">IF(ISNUMBER(F169),IF(ROUND(F169,1)=ROUND(E169,1),"same","differs"),"n/a")</f>
        <v>same</v>
      </c>
    </row>
    <row r="170" customFormat="false" ht="15" hidden="false" customHeight="false" outlineLevel="0" collapsed="false">
      <c r="B170" s="44" t="n">
        <v>163</v>
      </c>
      <c r="C170" s="8" t="s">
        <v>707</v>
      </c>
      <c r="D170" s="8" t="s">
        <v>799</v>
      </c>
      <c r="E170" s="56" t="n">
        <v>270</v>
      </c>
      <c r="F170" s="57" t="n">
        <f aca="false">Waterfall!$I$69</f>
        <v>270.016057692308</v>
      </c>
      <c r="G170" s="58" t="n">
        <f aca="false">IF(ISNUMBER(F170),F170-E170,"n/a")</f>
        <v>0.0160576923075269</v>
      </c>
      <c r="H170" s="59" t="n">
        <v>0.050000001</v>
      </c>
      <c r="I170" s="40" t="str">
        <f aca="false">IF(ISNUMBER(F170),IF(ABS(F170-E170)&lt;=H170,"PASS","FAIL"),"FAIL")</f>
        <v>PASS</v>
      </c>
      <c r="J170" s="40" t="str">
        <f aca="false">IF(ISNUMBER(F170),IF(ROUND(F170,1)=ROUND(E170,1),"same","differs"),"n/a")</f>
        <v>same</v>
      </c>
    </row>
    <row r="171" customFormat="false" ht="15" hidden="false" customHeight="false" outlineLevel="0" collapsed="false">
      <c r="B171" s="44" t="n">
        <v>164</v>
      </c>
      <c r="C171" s="8" t="s">
        <v>707</v>
      </c>
      <c r="D171" s="8" t="s">
        <v>800</v>
      </c>
      <c r="E171" s="12" t="n">
        <v>0.537</v>
      </c>
      <c r="F171" s="60" t="n">
        <f aca="false">Waterfall!$I$70</f>
        <v>0.537222030915212</v>
      </c>
      <c r="G171" s="58" t="n">
        <f aca="false">IF(ISNUMBER(F171),F171-E171,"n/a")</f>
        <v>0.000222030915212335</v>
      </c>
      <c r="H171" s="59" t="n">
        <v>0.000500001</v>
      </c>
      <c r="I171" s="40" t="str">
        <f aca="false">IF(ISNUMBER(F171),IF(ABS(F171-E171)&lt;=H171,"PASS","FAIL"),"FAIL")</f>
        <v>PASS</v>
      </c>
      <c r="J171" s="40" t="str">
        <f aca="false">IF(ISNUMBER(F171),IF(ROUND(F171,3)=ROUND(E171,3),"same","differs"),"n/a")</f>
        <v>same</v>
      </c>
    </row>
    <row r="172" customFormat="false" ht="15" hidden="false" customHeight="false" outlineLevel="0" collapsed="false">
      <c r="B172" s="44" t="n">
        <v>165</v>
      </c>
      <c r="C172" s="8" t="s">
        <v>707</v>
      </c>
      <c r="D172" s="8" t="s">
        <v>801</v>
      </c>
      <c r="E172" s="56" t="n">
        <v>223.3</v>
      </c>
      <c r="F172" s="57" t="n">
        <f aca="false">Waterfall!$I$71</f>
        <v>223.277741002684</v>
      </c>
      <c r="G172" s="58" t="n">
        <f aca="false">IF(ISNUMBER(F172),F172-E172,"n/a")</f>
        <v>-0.0222589973159586</v>
      </c>
      <c r="H172" s="59" t="n">
        <v>0.050000001</v>
      </c>
      <c r="I172" s="40" t="str">
        <f aca="false">IF(ISNUMBER(F172),IF(ABS(F172-E172)&lt;=H172,"PASS","FAIL"),"FAIL")</f>
        <v>PASS</v>
      </c>
      <c r="J172" s="40" t="str">
        <f aca="false">IF(ISNUMBER(F172),IF(ROUND(F172,1)=ROUND(E172,1),"same","differs"),"n/a")</f>
        <v>same</v>
      </c>
    </row>
    <row r="173" customFormat="false" ht="15" hidden="false" customHeight="false" outlineLevel="0" collapsed="false">
      <c r="B173" s="44" t="n">
        <v>166</v>
      </c>
      <c r="C173" s="8" t="s">
        <v>707</v>
      </c>
      <c r="D173" s="8" t="s">
        <v>802</v>
      </c>
      <c r="E173" s="56" t="n">
        <v>0</v>
      </c>
      <c r="F173" s="57" t="n">
        <f aca="false">Waterfall!$I$72</f>
        <v>0</v>
      </c>
      <c r="G173" s="58" t="n">
        <f aca="false">IF(ISNUMBER(F173),F173-E173,"n/a")</f>
        <v>0</v>
      </c>
      <c r="H173" s="59" t="n">
        <v>0.050000001</v>
      </c>
      <c r="I173" s="40" t="str">
        <f aca="false">IF(ISNUMBER(F173),IF(ABS(F173-E173)&lt;=H173,"PASS","FAIL"),"FAIL")</f>
        <v>PASS</v>
      </c>
      <c r="J173" s="40" t="str">
        <f aca="false">IF(ISNUMBER(F173),IF(ROUND(F173,1)=ROUND(E173,1),"same","differs"),"n/a")</f>
        <v>same</v>
      </c>
    </row>
    <row r="174" customFormat="false" ht="15" hidden="false" customHeight="false" outlineLevel="0" collapsed="false">
      <c r="B174" s="44" t="n">
        <v>167</v>
      </c>
      <c r="C174" s="8" t="s">
        <v>707</v>
      </c>
      <c r="D174" s="8" t="s">
        <v>803</v>
      </c>
      <c r="E174" s="56" t="n">
        <v>905.1</v>
      </c>
      <c r="F174" s="57" t="n">
        <f aca="false">Waterfall!$J$53</f>
        <v>905.149230769231</v>
      </c>
      <c r="G174" s="58" t="n">
        <f aca="false">IF(ISNUMBER(F174),F174-E174,"n/a")</f>
        <v>0.0492307692306895</v>
      </c>
      <c r="H174" s="59" t="n">
        <v>0.050000001</v>
      </c>
      <c r="I174" s="40" t="str">
        <f aca="false">IF(ISNUMBER(F174),IF(ABS(F174-E174)&lt;=H174,"PASS","FAIL"),"FAIL")</f>
        <v>PASS</v>
      </c>
      <c r="J174" s="40" t="str">
        <f aca="false">IF(ISNUMBER(F174),IF(ROUND(F174,1)=ROUND(E174,1),"same","differs"),"n/a")</f>
        <v>same</v>
      </c>
    </row>
    <row r="175" customFormat="false" ht="15" hidden="false" customHeight="false" outlineLevel="0" collapsed="false">
      <c r="B175" s="44" t="n">
        <v>168</v>
      </c>
      <c r="C175" s="8" t="s">
        <v>707</v>
      </c>
      <c r="D175" s="8" t="s">
        <v>804</v>
      </c>
      <c r="E175" s="56" t="n">
        <v>852</v>
      </c>
      <c r="F175" s="57" t="n">
        <f aca="false">Waterfall!$J$67</f>
        <v>851.953831171394</v>
      </c>
      <c r="G175" s="58" t="n">
        <f aca="false">IF(ISNUMBER(F175),F175-E175,"n/a")</f>
        <v>-0.0461688286064828</v>
      </c>
      <c r="H175" s="59" t="n">
        <v>0.050000001</v>
      </c>
      <c r="I175" s="40" t="str">
        <f aca="false">IF(ISNUMBER(F175),IF(ABS(F175-E175)&lt;=H175,"PASS","FAIL"),"FAIL")</f>
        <v>PASS</v>
      </c>
      <c r="J175" s="40" t="str">
        <f aca="false">IF(ISNUMBER(F175),IF(ROUND(F175,1)=ROUND(E175,1),"same","differs"),"n/a")</f>
        <v>same</v>
      </c>
    </row>
    <row r="176" customFormat="false" ht="15" hidden="false" customHeight="false" outlineLevel="0" collapsed="false">
      <c r="B176" s="44" t="n">
        <v>169</v>
      </c>
      <c r="C176" s="8" t="s">
        <v>707</v>
      </c>
      <c r="D176" s="8" t="s">
        <v>805</v>
      </c>
      <c r="E176" s="12" t="n">
        <v>0.887</v>
      </c>
      <c r="F176" s="60" t="n">
        <f aca="false">Waterfall!$J$68</f>
        <v>0.887328815482076</v>
      </c>
      <c r="G176" s="58" t="n">
        <f aca="false">IF(ISNUMBER(F176),F176-E176,"n/a")</f>
        <v>0.000328815482076306</v>
      </c>
      <c r="H176" s="59" t="n">
        <v>0.000500001</v>
      </c>
      <c r="I176" s="40" t="str">
        <f aca="false">IF(ISNUMBER(F176),IF(ABS(F176-E176)&lt;=H176,"PASS","FAIL"),"FAIL")</f>
        <v>PASS</v>
      </c>
      <c r="J176" s="40" t="str">
        <f aca="false">IF(ISNUMBER(F176),IF(ROUND(F176,3)=ROUND(E176,3),"same","differs"),"n/a")</f>
        <v>same</v>
      </c>
    </row>
    <row r="177" customFormat="false" ht="15" hidden="false" customHeight="false" outlineLevel="0" collapsed="false">
      <c r="B177" s="44" t="n">
        <v>170</v>
      </c>
      <c r="C177" s="8" t="s">
        <v>707</v>
      </c>
      <c r="D177" s="8" t="s">
        <v>806</v>
      </c>
      <c r="E177" s="56" t="n">
        <v>839.1</v>
      </c>
      <c r="F177" s="57" t="n">
        <f aca="false">Waterfall!$J$61</f>
        <v>839.149230769231</v>
      </c>
      <c r="G177" s="58" t="n">
        <f aca="false">IF(ISNUMBER(F177),F177-E177,"n/a")</f>
        <v>0.0492307692306895</v>
      </c>
      <c r="H177" s="59" t="n">
        <v>0.050000001</v>
      </c>
      <c r="I177" s="40" t="str">
        <f aca="false">IF(ISNUMBER(F177),IF(ABS(F177-E177)&lt;=H177,"PASS","FAIL"),"FAIL")</f>
        <v>PASS</v>
      </c>
      <c r="J177" s="40" t="str">
        <f aca="false">IF(ISNUMBER(F177),IF(ROUND(F177,1)=ROUND(E177,1),"same","differs"),"n/a")</f>
        <v>same</v>
      </c>
    </row>
    <row r="178" customFormat="false" ht="15" hidden="false" customHeight="false" outlineLevel="0" collapsed="false">
      <c r="B178" s="44" t="n">
        <v>171</v>
      </c>
      <c r="C178" s="8" t="s">
        <v>707</v>
      </c>
      <c r="D178" s="8" t="s">
        <v>807</v>
      </c>
      <c r="E178" s="56" t="n">
        <v>12.8</v>
      </c>
      <c r="F178" s="57" t="n">
        <f aca="false">Waterfall!$J$66</f>
        <v>12.8046004021628</v>
      </c>
      <c r="G178" s="58" t="n">
        <f aca="false">IF(ISNUMBER(F178),F178-E178,"n/a")</f>
        <v>0.00460040216282032</v>
      </c>
      <c r="H178" s="59" t="n">
        <v>0.050000001</v>
      </c>
      <c r="I178" s="40" t="str">
        <f aca="false">IF(ISNUMBER(F178),IF(ABS(F178-E178)&lt;=H178,"PASS","FAIL"),"FAIL")</f>
        <v>PASS</v>
      </c>
      <c r="J178" s="40" t="str">
        <f aca="false">IF(ISNUMBER(F178),IF(ROUND(F178,1)=ROUND(E178,1),"same","differs"),"n/a")</f>
        <v>same</v>
      </c>
    </row>
    <row r="179" customFormat="false" ht="15" hidden="false" customHeight="false" outlineLevel="0" collapsed="false">
      <c r="B179" s="44" t="n">
        <v>172</v>
      </c>
      <c r="C179" s="8" t="s">
        <v>707</v>
      </c>
      <c r="D179" s="8" t="s">
        <v>808</v>
      </c>
      <c r="E179" s="56" t="n">
        <v>121</v>
      </c>
      <c r="F179" s="57" t="n">
        <f aca="false">Waterfall!$J$63</f>
        <v>120.983942307692</v>
      </c>
      <c r="G179" s="58" t="n">
        <f aca="false">IF(ISNUMBER(F179),F179-E179,"n/a")</f>
        <v>-0.0160576923076405</v>
      </c>
      <c r="H179" s="59" t="n">
        <v>0.050000001</v>
      </c>
      <c r="I179" s="40" t="str">
        <f aca="false">IF(ISNUMBER(F179),IF(ABS(F179-E179)&lt;=H179,"PASS","FAIL"),"FAIL")</f>
        <v>PASS</v>
      </c>
      <c r="J179" s="40" t="str">
        <f aca="false">IF(ISNUMBER(F179),IF(ROUND(F179,1)=ROUND(E179,1),"same","differs"),"n/a")</f>
        <v>same</v>
      </c>
    </row>
    <row r="180" customFormat="false" ht="15" hidden="false" customHeight="false" outlineLevel="0" collapsed="false">
      <c r="B180" s="44" t="n">
        <v>173</v>
      </c>
      <c r="C180" s="8" t="s">
        <v>707</v>
      </c>
      <c r="D180" s="8" t="s">
        <v>809</v>
      </c>
      <c r="E180" s="56" t="n">
        <v>53.2</v>
      </c>
      <c r="F180" s="57" t="n">
        <f aca="false">Waterfall!$J$69</f>
        <v>53.1953995978372</v>
      </c>
      <c r="G180" s="58" t="n">
        <f aca="false">IF(ISNUMBER(F180),F180-E180,"n/a")</f>
        <v>-0.0046004021628292</v>
      </c>
      <c r="H180" s="59" t="n">
        <v>0.050000001</v>
      </c>
      <c r="I180" s="40" t="str">
        <f aca="false">IF(ISNUMBER(F180),IF(ABS(F180-E180)&lt;=H180,"PASS","FAIL"),"FAIL")</f>
        <v>PASS</v>
      </c>
      <c r="J180" s="40" t="str">
        <f aca="false">IF(ISNUMBER(F180),IF(ROUND(F180,1)=ROUND(E180,1),"same","differs"),"n/a")</f>
        <v>same</v>
      </c>
    </row>
    <row r="181" customFormat="false" ht="15" hidden="false" customHeight="false" outlineLevel="0" collapsed="false">
      <c r="B181" s="44" t="n">
        <v>174</v>
      </c>
      <c r="C181" s="8" t="s">
        <v>707</v>
      </c>
      <c r="D181" s="8" t="s">
        <v>810</v>
      </c>
      <c r="E181" s="12" t="n">
        <v>0.106</v>
      </c>
      <c r="F181" s="60" t="n">
        <f aca="false">Waterfall!$J$70</f>
        <v>0.105837189282504</v>
      </c>
      <c r="G181" s="58" t="n">
        <f aca="false">IF(ISNUMBER(F181),F181-E181,"n/a")</f>
        <v>-0.000162810717495673</v>
      </c>
      <c r="H181" s="59" t="n">
        <v>0.000500001</v>
      </c>
      <c r="I181" s="40" t="str">
        <f aca="false">IF(ISNUMBER(F181),IF(ABS(F181-E181)&lt;=H181,"PASS","FAIL"),"FAIL")</f>
        <v>PASS</v>
      </c>
      <c r="J181" s="40" t="str">
        <f aca="false">IF(ISNUMBER(F181),IF(ROUND(F181,3)=ROUND(E181,3),"same","differs"),"n/a")</f>
        <v>same</v>
      </c>
    </row>
    <row r="182" customFormat="false" ht="15" hidden="false" customHeight="false" outlineLevel="0" collapsed="false">
      <c r="B182" s="44" t="n">
        <v>175</v>
      </c>
      <c r="C182" s="8" t="s">
        <v>707</v>
      </c>
      <c r="D182" s="8" t="s">
        <v>811</v>
      </c>
      <c r="E182" s="56" t="n">
        <v>44</v>
      </c>
      <c r="F182" s="57" t="n">
        <f aca="false">Waterfall!$J$71</f>
        <v>43.9875641302593</v>
      </c>
      <c r="G182" s="58" t="n">
        <f aca="false">IF(ISNUMBER(F182),F182-E182,"n/a")</f>
        <v>-0.0124358697407061</v>
      </c>
      <c r="H182" s="59" t="n">
        <v>0.050000001</v>
      </c>
      <c r="I182" s="40" t="str">
        <f aca="false">IF(ISNUMBER(F182),IF(ABS(F182-E182)&lt;=H182,"PASS","FAIL"),"FAIL")</f>
        <v>PASS</v>
      </c>
      <c r="J182" s="40" t="str">
        <f aca="false">IF(ISNUMBER(F182),IF(ROUND(F182,1)=ROUND(E182,1),"same","differs"),"n/a")</f>
        <v>same</v>
      </c>
    </row>
    <row r="183" customFormat="false" ht="15" hidden="false" customHeight="false" outlineLevel="0" collapsed="false">
      <c r="B183" s="44" t="n">
        <v>176</v>
      </c>
      <c r="C183" s="8" t="s">
        <v>707</v>
      </c>
      <c r="D183" s="8" t="s">
        <v>812</v>
      </c>
      <c r="E183" s="56" t="n">
        <v>0</v>
      </c>
      <c r="F183" s="57" t="n">
        <f aca="false">Waterfall!$J$72</f>
        <v>0</v>
      </c>
      <c r="G183" s="58" t="n">
        <f aca="false">IF(ISNUMBER(F183),F183-E183,"n/a")</f>
        <v>0</v>
      </c>
      <c r="H183" s="59" t="n">
        <v>0.050000001</v>
      </c>
      <c r="I183" s="40" t="str">
        <f aca="false">IF(ISNUMBER(F183),IF(ABS(F183-E183)&lt;=H183,"PASS","FAIL"),"FAIL")</f>
        <v>PASS</v>
      </c>
      <c r="J183" s="40" t="str">
        <f aca="false">IF(ISNUMBER(F183),IF(ROUND(F183,1)=ROUND(E183,1),"same","differs"),"n/a")</f>
        <v>same</v>
      </c>
    </row>
    <row r="184" customFormat="false" ht="15" hidden="false" customHeight="false" outlineLevel="0" collapsed="false">
      <c r="B184" s="44" t="n">
        <v>177</v>
      </c>
      <c r="C184" s="8" t="s">
        <v>707</v>
      </c>
      <c r="D184" s="8" t="s">
        <v>813</v>
      </c>
      <c r="E184" s="56" t="n">
        <v>1100.1</v>
      </c>
      <c r="F184" s="57" t="n">
        <f aca="false">Waterfall!$K$53</f>
        <v>1100.14923076923</v>
      </c>
      <c r="G184" s="58" t="n">
        <f aca="false">IF(ISNUMBER(F184),F184-E184,"n/a")</f>
        <v>0.0492307692306895</v>
      </c>
      <c r="H184" s="59" t="n">
        <v>0.050000001</v>
      </c>
      <c r="I184" s="40" t="str">
        <f aca="false">IF(ISNUMBER(F184),IF(ABS(F184-E184)&lt;=H184,"PASS","FAIL"),"FAIL")</f>
        <v>PASS</v>
      </c>
      <c r="J184" s="40" t="str">
        <f aca="false">IF(ISNUMBER(F184),IF(ROUND(F184,1)=ROUND(E184,1),"same","differs"),"n/a")</f>
        <v>same</v>
      </c>
    </row>
    <row r="185" customFormat="false" ht="15" hidden="false" customHeight="false" outlineLevel="0" collapsed="false">
      <c r="B185" s="44" t="n">
        <v>178</v>
      </c>
      <c r="C185" s="8" t="s">
        <v>707</v>
      </c>
      <c r="D185" s="8" t="s">
        <v>814</v>
      </c>
      <c r="E185" s="56" t="n">
        <v>960.1</v>
      </c>
      <c r="F185" s="57" t="n">
        <f aca="false">Waterfall!$K$67</f>
        <v>960.133173076923</v>
      </c>
      <c r="G185" s="58" t="n">
        <f aca="false">IF(ISNUMBER(F185),F185-E185,"n/a")</f>
        <v>0.0331730769230489</v>
      </c>
      <c r="H185" s="59" t="n">
        <v>0.050000001</v>
      </c>
      <c r="I185" s="40" t="str">
        <f aca="false">IF(ISNUMBER(F185),IF(ABS(F185-E185)&lt;=H185,"PASS","FAIL"),"FAIL")</f>
        <v>PASS</v>
      </c>
      <c r="J185" s="40" t="str">
        <f aca="false">IF(ISNUMBER(F185),IF(ROUND(F185,1)=ROUND(E185,1),"same","differs"),"n/a")</f>
        <v>same</v>
      </c>
    </row>
    <row r="186" customFormat="false" ht="15" hidden="false" customHeight="false" outlineLevel="0" collapsed="false">
      <c r="B186" s="44" t="n">
        <v>179</v>
      </c>
      <c r="C186" s="8" t="s">
        <v>707</v>
      </c>
      <c r="D186" s="8" t="s">
        <v>815</v>
      </c>
      <c r="E186" s="12" t="n">
        <v>1</v>
      </c>
      <c r="F186" s="60" t="n">
        <f aca="false">Waterfall!$K$68</f>
        <v>1</v>
      </c>
      <c r="G186" s="58" t="n">
        <f aca="false">IF(ISNUMBER(F186),F186-E186,"n/a")</f>
        <v>0</v>
      </c>
      <c r="H186" s="59" t="n">
        <v>0.000500001</v>
      </c>
      <c r="I186" s="40" t="str">
        <f aca="false">IF(ISNUMBER(F186),IF(ABS(F186-E186)&lt;=H186,"PASS","FAIL"),"FAIL")</f>
        <v>PASS</v>
      </c>
      <c r="J186" s="40" t="str">
        <f aca="false">IF(ISNUMBER(F186),IF(ROUND(F186,3)=ROUND(E186,3),"same","differs"),"n/a")</f>
        <v>same</v>
      </c>
    </row>
    <row r="187" customFormat="false" ht="15" hidden="false" customHeight="false" outlineLevel="0" collapsed="false">
      <c r="B187" s="44" t="n">
        <v>180</v>
      </c>
      <c r="C187" s="8" t="s">
        <v>707</v>
      </c>
      <c r="D187" s="8" t="s">
        <v>816</v>
      </c>
      <c r="E187" s="56" t="n">
        <v>960.1</v>
      </c>
      <c r="F187" s="57" t="n">
        <f aca="false">Waterfall!$K$61</f>
        <v>960.133173076923</v>
      </c>
      <c r="G187" s="58" t="n">
        <f aca="false">IF(ISNUMBER(F187),F187-E187,"n/a")</f>
        <v>0.0331730769230489</v>
      </c>
      <c r="H187" s="59" t="n">
        <v>0.050000001</v>
      </c>
      <c r="I187" s="40" t="str">
        <f aca="false">IF(ISNUMBER(F187),IF(ABS(F187-E187)&lt;=H187,"PASS","FAIL"),"FAIL")</f>
        <v>PASS</v>
      </c>
      <c r="J187" s="40" t="str">
        <f aca="false">IF(ISNUMBER(F187),IF(ROUND(F187,1)=ROUND(E187,1),"same","differs"),"n/a")</f>
        <v>same</v>
      </c>
    </row>
    <row r="188" customFormat="false" ht="15" hidden="false" customHeight="false" outlineLevel="0" collapsed="false">
      <c r="B188" s="44" t="n">
        <v>181</v>
      </c>
      <c r="C188" s="8" t="s">
        <v>707</v>
      </c>
      <c r="D188" s="8" t="s">
        <v>817</v>
      </c>
      <c r="E188" s="56" t="n">
        <v>0</v>
      </c>
      <c r="F188" s="57" t="n">
        <f aca="false">Waterfall!$K$66</f>
        <v>0</v>
      </c>
      <c r="G188" s="58" t="n">
        <f aca="false">IF(ISNUMBER(F188),F188-E188,"n/a")</f>
        <v>0</v>
      </c>
      <c r="H188" s="59" t="n">
        <v>0.050000001</v>
      </c>
      <c r="I188" s="40" t="str">
        <f aca="false">IF(ISNUMBER(F188),IF(ABS(F188-E188)&lt;=H188,"PASS","FAIL"),"FAIL")</f>
        <v>PASS</v>
      </c>
      <c r="J188" s="40" t="str">
        <f aca="false">IF(ISNUMBER(F188),IF(ROUND(F188,1)=ROUND(E188,1),"same","differs"),"n/a")</f>
        <v>same</v>
      </c>
    </row>
    <row r="189" customFormat="false" ht="15" hidden="false" customHeight="false" outlineLevel="0" collapsed="false">
      <c r="B189" s="44" t="n">
        <v>182</v>
      </c>
      <c r="C189" s="8" t="s">
        <v>707</v>
      </c>
      <c r="D189" s="8" t="s">
        <v>818</v>
      </c>
      <c r="E189" s="56" t="n">
        <v>0</v>
      </c>
      <c r="F189" s="57" t="n">
        <f aca="false">Waterfall!$K$63</f>
        <v>0</v>
      </c>
      <c r="G189" s="58" t="n">
        <f aca="false">IF(ISNUMBER(F189),F189-E189,"n/a")</f>
        <v>0</v>
      </c>
      <c r="H189" s="59" t="n">
        <v>0.050000001</v>
      </c>
      <c r="I189" s="40" t="str">
        <f aca="false">IF(ISNUMBER(F189),IF(ABS(F189-E189)&lt;=H189,"PASS","FAIL"),"FAIL")</f>
        <v>PASS</v>
      </c>
      <c r="J189" s="40" t="str">
        <f aca="false">IF(ISNUMBER(F189),IF(ROUND(F189,1)=ROUND(E189,1),"same","differs"),"n/a")</f>
        <v>same</v>
      </c>
    </row>
    <row r="190" customFormat="false" ht="15" hidden="false" customHeight="false" outlineLevel="0" collapsed="false">
      <c r="B190" s="44" t="n">
        <v>183</v>
      </c>
      <c r="C190" s="8" t="s">
        <v>707</v>
      </c>
      <c r="D190" s="8" t="s">
        <v>819</v>
      </c>
      <c r="E190" s="56" t="n">
        <v>140</v>
      </c>
      <c r="F190" s="57" t="n">
        <f aca="false">Waterfall!$K$69</f>
        <v>140.016057692308</v>
      </c>
      <c r="G190" s="58" t="n">
        <f aca="false">IF(ISNUMBER(F190),F190-E190,"n/a")</f>
        <v>0.0160576923076405</v>
      </c>
      <c r="H190" s="59" t="n">
        <v>0.050000001</v>
      </c>
      <c r="I190" s="40" t="str">
        <f aca="false">IF(ISNUMBER(F190),IF(ABS(F190-E190)&lt;=H190,"PASS","FAIL"),"FAIL")</f>
        <v>PASS</v>
      </c>
      <c r="J190" s="40" t="str">
        <f aca="false">IF(ISNUMBER(F190),IF(ROUND(F190,1)=ROUND(E190,1),"same","differs"),"n/a")</f>
        <v>same</v>
      </c>
    </row>
    <row r="191" customFormat="false" ht="15" hidden="false" customHeight="false" outlineLevel="0" collapsed="false">
      <c r="B191" s="44" t="n">
        <v>184</v>
      </c>
      <c r="C191" s="8" t="s">
        <v>707</v>
      </c>
      <c r="D191" s="8" t="s">
        <v>820</v>
      </c>
      <c r="E191" s="12" t="n">
        <v>0.279</v>
      </c>
      <c r="F191" s="60" t="n">
        <f aca="false">Waterfall!$K$70</f>
        <v>0.278574954086318</v>
      </c>
      <c r="G191" s="58" t="n">
        <f aca="false">IF(ISNUMBER(F191),F191-E191,"n/a")</f>
        <v>-0.00042504591368242</v>
      </c>
      <c r="H191" s="59" t="n">
        <v>0.000500001</v>
      </c>
      <c r="I191" s="40" t="str">
        <f aca="false">IF(ISNUMBER(F191),IF(ABS(F191-E191)&lt;=H191,"PASS","FAIL"),"FAIL")</f>
        <v>PASS</v>
      </c>
      <c r="J191" s="40" t="str">
        <f aca="false">IF(ISNUMBER(F191),IF(ROUND(F191,3)=ROUND(E191,3),"same","differs"),"n/a")</f>
        <v>same</v>
      </c>
    </row>
    <row r="192" customFormat="false" ht="15" hidden="false" customHeight="false" outlineLevel="0" collapsed="false">
      <c r="B192" s="44" t="n">
        <v>185</v>
      </c>
      <c r="C192" s="8" t="s">
        <v>707</v>
      </c>
      <c r="D192" s="8" t="s">
        <v>821</v>
      </c>
      <c r="E192" s="56" t="n">
        <v>115.8</v>
      </c>
      <c r="F192" s="57" t="n">
        <f aca="false">Waterfall!$K$71</f>
        <v>115.780036686798</v>
      </c>
      <c r="G192" s="58" t="n">
        <f aca="false">IF(ISNUMBER(F192),F192-E192,"n/a")</f>
        <v>-0.0199633132019841</v>
      </c>
      <c r="H192" s="59" t="n">
        <v>0.050000001</v>
      </c>
      <c r="I192" s="40" t="str">
        <f aca="false">IF(ISNUMBER(F192),IF(ABS(F192-E192)&lt;=H192,"PASS","FAIL"),"FAIL")</f>
        <v>PASS</v>
      </c>
      <c r="J192" s="40" t="str">
        <f aca="false">IF(ISNUMBER(F192),IF(ROUND(F192,1)=ROUND(E192,1),"same","differs"),"n/a")</f>
        <v>same</v>
      </c>
    </row>
    <row r="193" customFormat="false" ht="15" hidden="false" customHeight="false" outlineLevel="0" collapsed="false">
      <c r="B193" s="44" t="n">
        <v>186</v>
      </c>
      <c r="C193" s="8" t="s">
        <v>707</v>
      </c>
      <c r="D193" s="8" t="s">
        <v>822</v>
      </c>
      <c r="E193" s="56" t="n">
        <v>0</v>
      </c>
      <c r="F193" s="57" t="n">
        <f aca="false">Waterfall!$K$72</f>
        <v>0</v>
      </c>
      <c r="G193" s="58" t="n">
        <f aca="false">IF(ISNUMBER(F193),F193-E193,"n/a")</f>
        <v>0</v>
      </c>
      <c r="H193" s="59" t="n">
        <v>0.050000001</v>
      </c>
      <c r="I193" s="40" t="str">
        <f aca="false">IF(ISNUMBER(F193),IF(ABS(F193-E193)&lt;=H193,"PASS","FAIL"),"FAIL")</f>
        <v>PASS</v>
      </c>
      <c r="J193" s="40" t="str">
        <f aca="false">IF(ISNUMBER(F193),IF(ROUND(F193,1)=ROUND(E193,1),"same","differs"),"n/a")</f>
        <v>same</v>
      </c>
    </row>
    <row r="194" customFormat="false" ht="15" hidden="false" customHeight="false" outlineLevel="0" collapsed="false">
      <c r="B194" s="44" t="n">
        <v>187</v>
      </c>
      <c r="C194" s="8" t="s">
        <v>707</v>
      </c>
      <c r="D194" s="8" t="s">
        <v>823</v>
      </c>
      <c r="E194" s="56" t="n">
        <v>745.1</v>
      </c>
      <c r="F194" s="57" t="n">
        <f aca="false">Waterfall!$L$53</f>
        <v>745.149230769231</v>
      </c>
      <c r="G194" s="58" t="n">
        <f aca="false">IF(ISNUMBER(F194),F194-E194,"n/a")</f>
        <v>0.0492307692306895</v>
      </c>
      <c r="H194" s="59" t="n">
        <v>0.050000001</v>
      </c>
      <c r="I194" s="40" t="str">
        <f aca="false">IF(ISNUMBER(F194),IF(ABS(F194-E194)&lt;=H194,"PASS","FAIL"),"FAIL")</f>
        <v>PASS</v>
      </c>
      <c r="J194" s="40" t="str">
        <f aca="false">IF(ISNUMBER(F194),IF(ROUND(F194,1)=ROUND(E194,1),"same","differs"),"n/a")</f>
        <v>same</v>
      </c>
    </row>
    <row r="195" customFormat="false" ht="15" hidden="false" customHeight="false" outlineLevel="0" collapsed="false">
      <c r="B195" s="44" t="n">
        <v>188</v>
      </c>
      <c r="C195" s="8" t="s">
        <v>707</v>
      </c>
      <c r="D195" s="8" t="s">
        <v>824</v>
      </c>
      <c r="E195" s="56" t="n">
        <v>710.5</v>
      </c>
      <c r="F195" s="57" t="n">
        <f aca="false">Waterfall!$L$67</f>
        <v>710.459088305981</v>
      </c>
      <c r="G195" s="58" t="n">
        <f aca="false">IF(ISNUMBER(F195),F195-E195,"n/a")</f>
        <v>-0.0409116940188596</v>
      </c>
      <c r="H195" s="59" t="n">
        <v>0.050000001</v>
      </c>
      <c r="I195" s="40" t="str">
        <f aca="false">IF(ISNUMBER(F195),IF(ABS(F195-E195)&lt;=H195,"PASS","FAIL"),"FAIL")</f>
        <v>PASS</v>
      </c>
      <c r="J195" s="40" t="str">
        <f aca="false">IF(ISNUMBER(F195),IF(ROUND(F195,1)=ROUND(E195,1),"same","differs"),"n/a")</f>
        <v>same</v>
      </c>
    </row>
    <row r="196" customFormat="false" ht="15" hidden="false" customHeight="false" outlineLevel="0" collapsed="false">
      <c r="B196" s="44" t="n">
        <v>189</v>
      </c>
      <c r="C196" s="8" t="s">
        <v>707</v>
      </c>
      <c r="D196" s="8" t="s">
        <v>825</v>
      </c>
      <c r="E196" s="12" t="n">
        <v>0.74</v>
      </c>
      <c r="F196" s="60" t="n">
        <f aca="false">Waterfall!$L$68</f>
        <v>0.739958901773162</v>
      </c>
      <c r="G196" s="58" t="n">
        <f aca="false">IF(ISNUMBER(F196),F196-E196,"n/a")</f>
        <v>-4.10982268381765E-005</v>
      </c>
      <c r="H196" s="59" t="n">
        <v>0.000500001</v>
      </c>
      <c r="I196" s="40" t="str">
        <f aca="false">IF(ISNUMBER(F196),IF(ABS(F196-E196)&lt;=H196,"PASS","FAIL"),"FAIL")</f>
        <v>PASS</v>
      </c>
      <c r="J196" s="40" t="str">
        <f aca="false">IF(ISNUMBER(F196),IF(ROUND(F196,3)=ROUND(E196,3),"same","differs"),"n/a")</f>
        <v>same</v>
      </c>
    </row>
    <row r="197" customFormat="false" ht="15" hidden="false" customHeight="false" outlineLevel="0" collapsed="false">
      <c r="B197" s="44" t="n">
        <v>190</v>
      </c>
      <c r="C197" s="8" t="s">
        <v>707</v>
      </c>
      <c r="D197" s="8" t="s">
        <v>826</v>
      </c>
      <c r="E197" s="56" t="n">
        <v>691.9</v>
      </c>
      <c r="F197" s="57" t="n">
        <f aca="false">Waterfall!$L$61</f>
        <v>691.949230769231</v>
      </c>
      <c r="G197" s="58" t="n">
        <f aca="false">IF(ISNUMBER(F197),F197-E197,"n/a")</f>
        <v>0.0492307692308032</v>
      </c>
      <c r="H197" s="59" t="n">
        <v>0.050000001</v>
      </c>
      <c r="I197" s="40" t="str">
        <f aca="false">IF(ISNUMBER(F197),IF(ABS(F197-E197)&lt;=H197,"PASS","FAIL"),"FAIL")</f>
        <v>PASS</v>
      </c>
      <c r="J197" s="40" t="str">
        <f aca="false">IF(ISNUMBER(F197),IF(ROUND(F197,1)=ROUND(E197,1),"same","differs"),"n/a")</f>
        <v>same</v>
      </c>
    </row>
    <row r="198" customFormat="false" ht="15" hidden="false" customHeight="false" outlineLevel="0" collapsed="false">
      <c r="B198" s="44" t="n">
        <v>191</v>
      </c>
      <c r="C198" s="8" t="s">
        <v>707</v>
      </c>
      <c r="D198" s="8" t="s">
        <v>827</v>
      </c>
      <c r="E198" s="56" t="n">
        <v>18.5</v>
      </c>
      <c r="F198" s="57" t="n">
        <f aca="false">Waterfall!$L$66</f>
        <v>18.5098575367504</v>
      </c>
      <c r="G198" s="58" t="n">
        <f aca="false">IF(ISNUMBER(F198),F198-E198,"n/a")</f>
        <v>0.00985753675037415</v>
      </c>
      <c r="H198" s="59" t="n">
        <v>0.050000001</v>
      </c>
      <c r="I198" s="40" t="str">
        <f aca="false">IF(ISNUMBER(F198),IF(ABS(F198-E198)&lt;=H198,"PASS","FAIL"),"FAIL")</f>
        <v>PASS</v>
      </c>
      <c r="J198" s="40" t="str">
        <f aca="false">IF(ISNUMBER(F198),IF(ROUND(F198,1)=ROUND(E198,1),"same","differs"),"n/a")</f>
        <v>same</v>
      </c>
    </row>
    <row r="199" customFormat="false" ht="15" hidden="false" customHeight="false" outlineLevel="0" collapsed="false">
      <c r="B199" s="44" t="n">
        <v>192</v>
      </c>
      <c r="C199" s="8" t="s">
        <v>707</v>
      </c>
      <c r="D199" s="8" t="s">
        <v>828</v>
      </c>
      <c r="E199" s="56" t="n">
        <v>268.2</v>
      </c>
      <c r="F199" s="57" t="n">
        <f aca="false">Waterfall!$L$63</f>
        <v>268.183942307692</v>
      </c>
      <c r="G199" s="58" t="n">
        <f aca="false">IF(ISNUMBER(F199),F199-E199,"n/a")</f>
        <v>-0.0160576923076974</v>
      </c>
      <c r="H199" s="59" t="n">
        <v>0.050000001</v>
      </c>
      <c r="I199" s="40" t="str">
        <f aca="false">IF(ISNUMBER(F199),IF(ABS(F199-E199)&lt;=H199,"PASS","FAIL"),"FAIL")</f>
        <v>PASS</v>
      </c>
      <c r="J199" s="40" t="str">
        <f aca="false">IF(ISNUMBER(F199),IF(ROUND(F199,1)=ROUND(E199,1),"same","differs"),"n/a")</f>
        <v>same</v>
      </c>
    </row>
    <row r="200" customFormat="false" ht="15" hidden="false" customHeight="false" outlineLevel="0" collapsed="false">
      <c r="B200" s="44" t="n">
        <v>193</v>
      </c>
      <c r="C200" s="8" t="s">
        <v>707</v>
      </c>
      <c r="D200" s="8" t="s">
        <v>829</v>
      </c>
      <c r="E200" s="56" t="n">
        <v>34.7</v>
      </c>
      <c r="F200" s="57" t="n">
        <f aca="false">Waterfall!$L$69</f>
        <v>34.6901424632496</v>
      </c>
      <c r="G200" s="58" t="n">
        <f aca="false">IF(ISNUMBER(F200),F200-E200,"n/a")</f>
        <v>-0.00985753675037415</v>
      </c>
      <c r="H200" s="59" t="n">
        <v>0.050000001</v>
      </c>
      <c r="I200" s="40" t="str">
        <f aca="false">IF(ISNUMBER(F200),IF(ABS(F200-E200)&lt;=H200,"PASS","FAIL"),"FAIL")</f>
        <v>PASS</v>
      </c>
      <c r="J200" s="40" t="str">
        <f aca="false">IF(ISNUMBER(F200),IF(ROUND(F200,1)=ROUND(E200,1),"same","differs"),"n/a")</f>
        <v>same</v>
      </c>
    </row>
    <row r="201" customFormat="false" ht="15" hidden="false" customHeight="false" outlineLevel="0" collapsed="false">
      <c r="B201" s="44" t="n">
        <v>194</v>
      </c>
      <c r="C201" s="8" t="s">
        <v>707</v>
      </c>
      <c r="D201" s="8" t="s">
        <v>830</v>
      </c>
      <c r="E201" s="12" t="n">
        <v>0.069</v>
      </c>
      <c r="F201" s="60" t="n">
        <f aca="false">Waterfall!$L$70</f>
        <v>0.0690192610992111</v>
      </c>
      <c r="G201" s="58" t="n">
        <f aca="false">IF(ISNUMBER(F201),F201-E201,"n/a")</f>
        <v>1.92610992110626E-005</v>
      </c>
      <c r="H201" s="59" t="n">
        <v>0.000500001</v>
      </c>
      <c r="I201" s="40" t="str">
        <f aca="false">IF(ISNUMBER(F201),IF(ABS(F201-E201)&lt;=H201,"PASS","FAIL"),"FAIL")</f>
        <v>PASS</v>
      </c>
      <c r="J201" s="40" t="str">
        <f aca="false">IF(ISNUMBER(F201),IF(ROUND(F201,3)=ROUND(E201,3),"same","differs"),"n/a")</f>
        <v>same</v>
      </c>
    </row>
    <row r="202" customFormat="false" ht="15" hidden="false" customHeight="false" outlineLevel="0" collapsed="false">
      <c r="B202" s="44" t="n">
        <v>195</v>
      </c>
      <c r="C202" s="8" t="s">
        <v>707</v>
      </c>
      <c r="D202" s="8" t="s">
        <v>831</v>
      </c>
      <c r="E202" s="56" t="n">
        <v>28.7</v>
      </c>
      <c r="F202" s="57" t="n">
        <f aca="false">Waterfall!$L$71</f>
        <v>28.6854667476183</v>
      </c>
      <c r="G202" s="58" t="n">
        <f aca="false">IF(ISNUMBER(F202),F202-E202,"n/a")</f>
        <v>-0.0145332523817352</v>
      </c>
      <c r="H202" s="59" t="n">
        <v>0.050000001</v>
      </c>
      <c r="I202" s="40" t="str">
        <f aca="false">IF(ISNUMBER(F202),IF(ABS(F202-E202)&lt;=H202,"PASS","FAIL"),"FAIL")</f>
        <v>PASS</v>
      </c>
      <c r="J202" s="40" t="str">
        <f aca="false">IF(ISNUMBER(F202),IF(ROUND(F202,1)=ROUND(E202,1),"same","differs"),"n/a")</f>
        <v>same</v>
      </c>
    </row>
    <row r="203" customFormat="false" ht="15" hidden="false" customHeight="false" outlineLevel="0" collapsed="false">
      <c r="B203" s="44" t="n">
        <v>196</v>
      </c>
      <c r="C203" s="8" t="s">
        <v>707</v>
      </c>
      <c r="D203" s="8" t="s">
        <v>832</v>
      </c>
      <c r="E203" s="56" t="n">
        <v>0</v>
      </c>
      <c r="F203" s="57" t="n">
        <f aca="false">Waterfall!$L$72</f>
        <v>0</v>
      </c>
      <c r="G203" s="58" t="n">
        <f aca="false">IF(ISNUMBER(F203),F203-E203,"n/a")</f>
        <v>0</v>
      </c>
      <c r="H203" s="59" t="n">
        <v>0.050000001</v>
      </c>
      <c r="I203" s="40" t="str">
        <f aca="false">IF(ISNUMBER(F203),IF(ABS(F203-E203)&lt;=H203,"PASS","FAIL"),"FAIL")</f>
        <v>PASS</v>
      </c>
      <c r="J203" s="40" t="str">
        <f aca="false">IF(ISNUMBER(F203),IF(ROUND(F203,1)=ROUND(E203,1),"same","differs"),"n/a")</f>
        <v>same</v>
      </c>
    </row>
    <row r="204" customFormat="false" ht="15" hidden="false" customHeight="false" outlineLevel="0" collapsed="false">
      <c r="B204" s="44" t="n">
        <v>197</v>
      </c>
      <c r="C204" s="8" t="s">
        <v>707</v>
      </c>
      <c r="D204" s="8" t="s">
        <v>833</v>
      </c>
      <c r="E204" s="12" t="n">
        <v>0</v>
      </c>
      <c r="F204" s="60" t="n">
        <f aca="false">Waterfall!$C$98</f>
        <v>0</v>
      </c>
      <c r="G204" s="58" t="n">
        <f aca="false">IF(ISNUMBER(F204),F204-E204,"n/a")</f>
        <v>0</v>
      </c>
      <c r="H204" s="59" t="n">
        <v>0.000500001</v>
      </c>
      <c r="I204" s="40" t="str">
        <f aca="false">IF(ISNUMBER(F204),IF(ABS(F204-E204)&lt;=H204,"PASS","FAIL"),"FAIL")</f>
        <v>PASS</v>
      </c>
      <c r="J204" s="40" t="str">
        <f aca="false">IF(ISNUMBER(F204),IF(ROUND(F204,3)=ROUND(E204,3),"same","differs"),"n/a")</f>
        <v>same</v>
      </c>
    </row>
    <row r="205" customFormat="false" ht="15" hidden="false" customHeight="false" outlineLevel="0" collapsed="false">
      <c r="B205" s="44" t="n">
        <v>198</v>
      </c>
      <c r="C205" s="8" t="s">
        <v>707</v>
      </c>
      <c r="D205" s="8" t="s">
        <v>834</v>
      </c>
      <c r="E205" s="12" t="n">
        <v>0.943</v>
      </c>
      <c r="F205" s="60" t="n">
        <f aca="false">Waterfall!$C$96</f>
        <v>0.942733004285764</v>
      </c>
      <c r="G205" s="58" t="n">
        <f aca="false">IF(ISNUMBER(F205),F205-E205,"n/a")</f>
        <v>-0.000266995714236384</v>
      </c>
      <c r="H205" s="59" t="n">
        <v>0.000500001</v>
      </c>
      <c r="I205" s="40" t="str">
        <f aca="false">IF(ISNUMBER(F205),IF(ABS(F205-E205)&lt;=H205,"PASS","FAIL"),"FAIL")</f>
        <v>PASS</v>
      </c>
      <c r="J205" s="40" t="str">
        <f aca="false">IF(ISNUMBER(F205),IF(ROUND(F205,3)=ROUND(E205,3),"same","differs"),"n/a")</f>
        <v>same</v>
      </c>
    </row>
    <row r="206" customFormat="false" ht="15" hidden="false" customHeight="false" outlineLevel="0" collapsed="false">
      <c r="B206" s="44" t="n">
        <v>199</v>
      </c>
      <c r="C206" s="8" t="s">
        <v>707</v>
      </c>
      <c r="D206" s="8" t="s">
        <v>835</v>
      </c>
      <c r="E206" s="12" t="n">
        <v>0.046</v>
      </c>
      <c r="F206" s="60" t="n">
        <f aca="false">Waterfall!$D$98</f>
        <v>0.0461854791077321</v>
      </c>
      <c r="G206" s="58" t="n">
        <f aca="false">IF(ISNUMBER(F206),F206-E206,"n/a")</f>
        <v>0.000185479107732069</v>
      </c>
      <c r="H206" s="59" t="n">
        <v>0.000500001</v>
      </c>
      <c r="I206" s="40" t="str">
        <f aca="false">IF(ISNUMBER(F206),IF(ABS(F206-E206)&lt;=H206,"PASS","FAIL"),"FAIL")</f>
        <v>PASS</v>
      </c>
      <c r="J206" s="40" t="str">
        <f aca="false">IF(ISNUMBER(F206),IF(ROUND(F206,3)=ROUND(E206,3),"same","differs"),"n/a")</f>
        <v>same</v>
      </c>
    </row>
    <row r="207" customFormat="false" ht="15" hidden="false" customHeight="false" outlineLevel="0" collapsed="false">
      <c r="B207" s="44" t="n">
        <v>200</v>
      </c>
      <c r="C207" s="8" t="s">
        <v>707</v>
      </c>
      <c r="D207" s="8" t="s">
        <v>836</v>
      </c>
      <c r="E207" s="12" t="n">
        <v>0.919</v>
      </c>
      <c r="F207" s="60" t="n">
        <f aca="false">Waterfall!$D$96</f>
        <v>0.91855559536343</v>
      </c>
      <c r="G207" s="58" t="n">
        <f aca="false">IF(ISNUMBER(F207),F207-E207,"n/a")</f>
        <v>-0.000444404636570139</v>
      </c>
      <c r="H207" s="59" t="n">
        <v>0.000500001</v>
      </c>
      <c r="I207" s="40" t="str">
        <f aca="false">IF(ISNUMBER(F207),IF(ABS(F207-E207)&lt;=H207,"PASS","FAIL"),"FAIL")</f>
        <v>PASS</v>
      </c>
      <c r="J207" s="40" t="str">
        <f aca="false">IF(ISNUMBER(F207),IF(ROUND(F207,3)=ROUND(E207,3),"same","differs"),"n/a")</f>
        <v>same</v>
      </c>
    </row>
    <row r="208" customFormat="false" ht="15" hidden="false" customHeight="false" outlineLevel="0" collapsed="false">
      <c r="B208" s="44" t="n">
        <v>201</v>
      </c>
      <c r="C208" s="8" t="s">
        <v>707</v>
      </c>
      <c r="D208" s="8" t="s">
        <v>837</v>
      </c>
      <c r="E208" s="12" t="n">
        <v>0.106</v>
      </c>
      <c r="F208" s="60" t="n">
        <f aca="false">Waterfall!$E$98</f>
        <v>0.105837189282504</v>
      </c>
      <c r="G208" s="58" t="n">
        <f aca="false">IF(ISNUMBER(F208),F208-E208,"n/a")</f>
        <v>-0.000162810717495673</v>
      </c>
      <c r="H208" s="59" t="n">
        <v>0.000500001</v>
      </c>
      <c r="I208" s="40" t="str">
        <f aca="false">IF(ISNUMBER(F208),IF(ABS(F208-E208)&lt;=H208,"PASS","FAIL"),"FAIL")</f>
        <v>PASS</v>
      </c>
      <c r="J208" s="40" t="str">
        <f aca="false">IF(ISNUMBER(F208),IF(ROUND(F208,3)=ROUND(E208,3),"same","differs"),"n/a")</f>
        <v>same</v>
      </c>
    </row>
    <row r="209" customFormat="false" ht="15" hidden="false" customHeight="false" outlineLevel="0" collapsed="false">
      <c r="B209" s="44" t="n">
        <v>202</v>
      </c>
      <c r="C209" s="8" t="s">
        <v>707</v>
      </c>
      <c r="D209" s="8" t="s">
        <v>838</v>
      </c>
      <c r="E209" s="12" t="n">
        <v>0.887</v>
      </c>
      <c r="F209" s="60" t="n">
        <f aca="false">Waterfall!$E$96</f>
        <v>0.887328815482076</v>
      </c>
      <c r="G209" s="58" t="n">
        <f aca="false">IF(ISNUMBER(F209),F209-E209,"n/a")</f>
        <v>0.000328815482076306</v>
      </c>
      <c r="H209" s="59" t="n">
        <v>0.000500001</v>
      </c>
      <c r="I209" s="40" t="str">
        <f aca="false">IF(ISNUMBER(F209),IF(ABS(F209-E209)&lt;=H209,"PASS","FAIL"),"FAIL")</f>
        <v>PASS</v>
      </c>
      <c r="J209" s="40" t="str">
        <f aca="false">IF(ISNUMBER(F209),IF(ROUND(F209,3)=ROUND(E209,3),"same","differs"),"n/a")</f>
        <v>same</v>
      </c>
    </row>
    <row r="210" customFormat="false" ht="15" hidden="false" customHeight="false" outlineLevel="0" collapsed="false">
      <c r="B210" s="44" t="n">
        <v>203</v>
      </c>
      <c r="C210" s="8" t="s">
        <v>707</v>
      </c>
      <c r="D210" s="8" t="s">
        <v>839</v>
      </c>
      <c r="E210" s="12" t="n">
        <v>0.158</v>
      </c>
      <c r="F210" s="60" t="n">
        <f aca="false">Waterfall!$F$98</f>
        <v>0.158466807516377</v>
      </c>
      <c r="G210" s="58" t="n">
        <f aca="false">IF(ISNUMBER(F210),F210-E210,"n/a")</f>
        <v>0.000466807516376733</v>
      </c>
      <c r="H210" s="59" t="n">
        <v>0.000500001</v>
      </c>
      <c r="I210" s="40" t="str">
        <f aca="false">IF(ISNUMBER(F210),IF(ABS(F210-E210)&lt;=H210,"PASS","FAIL"),"FAIL")</f>
        <v>PASS</v>
      </c>
      <c r="J210" s="40" t="str">
        <f aca="false">IF(ISNUMBER(F210),IF(ROUND(F210,3)=ROUND(E210,3),"same","differs"),"n/a")</f>
        <v>same</v>
      </c>
    </row>
    <row r="211" customFormat="false" ht="15" hidden="false" customHeight="false" outlineLevel="0" collapsed="false">
      <c r="B211" s="44" t="n">
        <v>204</v>
      </c>
      <c r="C211" s="8" t="s">
        <v>707</v>
      </c>
      <c r="D211" s="8" t="s">
        <v>840</v>
      </c>
      <c r="E211" s="12" t="n">
        <v>0.86</v>
      </c>
      <c r="F211" s="60" t="n">
        <f aca="false">Waterfall!$F$96</f>
        <v>0.859777995916071</v>
      </c>
      <c r="G211" s="58" t="n">
        <f aca="false">IF(ISNUMBER(F211),F211-E211,"n/a")</f>
        <v>-0.000222004083929139</v>
      </c>
      <c r="H211" s="59" t="n">
        <v>0.000500001</v>
      </c>
      <c r="I211" s="40" t="str">
        <f aca="false">IF(ISNUMBER(F211),IF(ABS(F211-E211)&lt;=H211,"PASS","FAIL"),"FAIL")</f>
        <v>PASS</v>
      </c>
      <c r="J211" s="40" t="str">
        <f aca="false">IF(ISNUMBER(F211),IF(ROUND(F211,3)=ROUND(E211,3),"same","differs"),"n/a")</f>
        <v>same</v>
      </c>
    </row>
    <row r="212" customFormat="false" ht="15" hidden="false" customHeight="false" outlineLevel="0" collapsed="false">
      <c r="B212" s="44" t="n">
        <v>205</v>
      </c>
      <c r="C212" s="8" t="s">
        <v>707</v>
      </c>
      <c r="D212" s="8" t="s">
        <v>841</v>
      </c>
      <c r="E212" s="12" t="n">
        <v>0.205</v>
      </c>
      <c r="F212" s="60" t="n">
        <f aca="false">Waterfall!$G$98</f>
        <v>0.205245350835104</v>
      </c>
      <c r="G212" s="58" t="n">
        <f aca="false">IF(ISNUMBER(F212),F212-E212,"n/a")</f>
        <v>0.000245350835104352</v>
      </c>
      <c r="H212" s="59" t="n">
        <v>0.000500001</v>
      </c>
      <c r="I212" s="40" t="str">
        <f aca="false">IF(ISNUMBER(F212),IF(ABS(F212-E212)&lt;=H212,"PASS","FAIL"),"FAIL")</f>
        <v>PASS</v>
      </c>
      <c r="J212" s="40" t="str">
        <f aca="false">IF(ISNUMBER(F212),IF(ROUND(F212,3)=ROUND(E212,3),"same","differs"),"n/a")</f>
        <v>same</v>
      </c>
    </row>
    <row r="213" customFormat="false" ht="15" hidden="false" customHeight="false" outlineLevel="0" collapsed="false">
      <c r="B213" s="44" t="n">
        <v>206</v>
      </c>
      <c r="C213" s="8" t="s">
        <v>707</v>
      </c>
      <c r="D213" s="8" t="s">
        <v>842</v>
      </c>
      <c r="E213" s="12" t="n">
        <v>0.835</v>
      </c>
      <c r="F213" s="60" t="n">
        <f aca="false">Waterfall!$G$96</f>
        <v>0.835290126731693</v>
      </c>
      <c r="G213" s="58" t="n">
        <f aca="false">IF(ISNUMBER(F213),F213-E213,"n/a")</f>
        <v>0.000290126731692597</v>
      </c>
      <c r="H213" s="59" t="n">
        <v>0.000500001</v>
      </c>
      <c r="I213" s="40" t="str">
        <f aca="false">IF(ISNUMBER(F213),IF(ABS(F213-E213)&lt;=H213,"PASS","FAIL"),"FAIL")</f>
        <v>PASS</v>
      </c>
      <c r="J213" s="40" t="str">
        <f aca="false">IF(ISNUMBER(F213),IF(ROUND(F213,3)=ROUND(E213,3),"same","differs"),"n/a")</f>
        <v>same</v>
      </c>
    </row>
    <row r="214" customFormat="false" ht="15" hidden="false" customHeight="false" outlineLevel="0" collapsed="false">
      <c r="B214" s="44" t="n">
        <v>207</v>
      </c>
      <c r="C214" s="8" t="s">
        <v>843</v>
      </c>
      <c r="D214" s="8" t="s">
        <v>844</v>
      </c>
      <c r="E214" s="56" t="n">
        <v>47.5</v>
      </c>
      <c r="F214" s="57" t="n">
        <f aca="false">Liquidation!$E$6</f>
        <v>47.5442307692307</v>
      </c>
      <c r="G214" s="58" t="n">
        <f aca="false">IF(ISNUMBER(F214),F214-E214,"n/a")</f>
        <v>0.0442307692306798</v>
      </c>
      <c r="H214" s="59" t="n">
        <v>0.050000001</v>
      </c>
      <c r="I214" s="40" t="str">
        <f aca="false">IF(ISNUMBER(F214),IF(ABS(F214-E214)&lt;=H214,"PASS","FAIL"),"FAIL")</f>
        <v>PASS</v>
      </c>
      <c r="J214" s="40" t="str">
        <f aca="false">IF(ISNUMBER(F214),IF(ROUND(F214,1)=ROUND(E214,1),"same","differs"),"n/a")</f>
        <v>same</v>
      </c>
    </row>
    <row r="215" customFormat="false" ht="15" hidden="false" customHeight="false" outlineLevel="0" collapsed="false">
      <c r="B215" s="44" t="n">
        <v>208</v>
      </c>
      <c r="C215" s="8" t="s">
        <v>843</v>
      </c>
      <c r="D215" s="8" t="s">
        <v>371</v>
      </c>
      <c r="E215" s="56" t="n">
        <v>94.4</v>
      </c>
      <c r="F215" s="57" t="n">
        <f aca="false">Liquidation!$E$7</f>
        <v>94.4</v>
      </c>
      <c r="G215" s="58" t="n">
        <f aca="false">IF(ISNUMBER(F215),F215-E215,"n/a")</f>
        <v>0</v>
      </c>
      <c r="H215" s="59" t="n">
        <v>0.050000001</v>
      </c>
      <c r="I215" s="40" t="str">
        <f aca="false">IF(ISNUMBER(F215),IF(ABS(F215-E215)&lt;=H215,"PASS","FAIL"),"FAIL")</f>
        <v>PASS</v>
      </c>
      <c r="J215" s="40" t="str">
        <f aca="false">IF(ISNUMBER(F215),IF(ROUND(F215,1)=ROUND(E215,1),"same","differs"),"n/a")</f>
        <v>same</v>
      </c>
    </row>
    <row r="216" customFormat="false" ht="15" hidden="false" customHeight="false" outlineLevel="0" collapsed="false">
      <c r="B216" s="44" t="n">
        <v>209</v>
      </c>
      <c r="C216" s="8" t="s">
        <v>843</v>
      </c>
      <c r="D216" s="8" t="s">
        <v>372</v>
      </c>
      <c r="E216" s="56" t="n">
        <v>72.6</v>
      </c>
      <c r="F216" s="57" t="n">
        <f aca="false">Liquidation!$E$8</f>
        <v>72.6</v>
      </c>
      <c r="G216" s="58" t="n">
        <f aca="false">IF(ISNUMBER(F216),F216-E216,"n/a")</f>
        <v>0</v>
      </c>
      <c r="H216" s="59" t="n">
        <v>0.050000001</v>
      </c>
      <c r="I216" s="40" t="str">
        <f aca="false">IF(ISNUMBER(F216),IF(ABS(F216-E216)&lt;=H216,"PASS","FAIL"),"FAIL")</f>
        <v>PASS</v>
      </c>
      <c r="J216" s="40" t="str">
        <f aca="false">IF(ISNUMBER(F216),IF(ROUND(F216,1)=ROUND(E216,1),"same","differs"),"n/a")</f>
        <v>same</v>
      </c>
    </row>
    <row r="217" customFormat="false" ht="15" hidden="false" customHeight="false" outlineLevel="0" collapsed="false">
      <c r="B217" s="44" t="n">
        <v>210</v>
      </c>
      <c r="C217" s="8" t="s">
        <v>843</v>
      </c>
      <c r="D217" s="8" t="s">
        <v>373</v>
      </c>
      <c r="E217" s="56" t="n">
        <v>93</v>
      </c>
      <c r="F217" s="57" t="n">
        <f aca="false">Liquidation!$E$9</f>
        <v>93</v>
      </c>
      <c r="G217" s="58" t="n">
        <f aca="false">IF(ISNUMBER(F217),F217-E217,"n/a")</f>
        <v>0</v>
      </c>
      <c r="H217" s="59" t="n">
        <v>0.050000001</v>
      </c>
      <c r="I217" s="40" t="str">
        <f aca="false">IF(ISNUMBER(F217),IF(ABS(F217-E217)&lt;=H217,"PASS","FAIL"),"FAIL")</f>
        <v>PASS</v>
      </c>
      <c r="J217" s="40" t="str">
        <f aca="false">IF(ISNUMBER(F217),IF(ROUND(F217,1)=ROUND(E217,1),"same","differs"),"n/a")</f>
        <v>same</v>
      </c>
    </row>
    <row r="218" customFormat="false" ht="15" hidden="false" customHeight="false" outlineLevel="0" collapsed="false">
      <c r="B218" s="44" t="n">
        <v>211</v>
      </c>
      <c r="C218" s="8" t="s">
        <v>843</v>
      </c>
      <c r="D218" s="8" t="s">
        <v>178</v>
      </c>
      <c r="E218" s="61" t="n">
        <v>40</v>
      </c>
      <c r="F218" s="62" t="n">
        <f aca="false">Liquidation!$E$10</f>
        <v>40</v>
      </c>
      <c r="G218" s="58" t="n">
        <f aca="false">IF(ISNUMBER(F218),F218-E218,"n/a")</f>
        <v>0</v>
      </c>
      <c r="H218" s="59" t="n">
        <v>0.500000001</v>
      </c>
      <c r="I218" s="40" t="str">
        <f aca="false">IF(ISNUMBER(F218),IF(ABS(F218-E218)&lt;=H218,"PASS","FAIL"),"FAIL")</f>
        <v>PASS</v>
      </c>
      <c r="J218" s="40" t="str">
        <f aca="false">IF(ISNUMBER(F218),IF(ROUND(F218,0)=ROUND(E218,0),"same","differs"),"n/a")</f>
        <v>same</v>
      </c>
    </row>
    <row r="219" customFormat="false" ht="15" hidden="false" customHeight="false" outlineLevel="0" collapsed="false">
      <c r="B219" s="44" t="n">
        <v>212</v>
      </c>
      <c r="C219" s="8" t="s">
        <v>843</v>
      </c>
      <c r="D219" s="8" t="s">
        <v>374</v>
      </c>
      <c r="E219" s="61" t="n">
        <v>12</v>
      </c>
      <c r="F219" s="62" t="n">
        <f aca="false">Liquidation!$E$11</f>
        <v>12</v>
      </c>
      <c r="G219" s="58" t="n">
        <f aca="false">IF(ISNUMBER(F219),F219-E219,"n/a")</f>
        <v>0</v>
      </c>
      <c r="H219" s="59" t="n">
        <v>0.500000001</v>
      </c>
      <c r="I219" s="40" t="str">
        <f aca="false">IF(ISNUMBER(F219),IF(ABS(F219-E219)&lt;=H219,"PASS","FAIL"),"FAIL")</f>
        <v>PASS</v>
      </c>
      <c r="J219" s="40" t="str">
        <f aca="false">IF(ISNUMBER(F219),IF(ROUND(F219,0)=ROUND(E219,0),"same","differs"),"n/a")</f>
        <v>same</v>
      </c>
    </row>
    <row r="220" customFormat="false" ht="15" hidden="false" customHeight="false" outlineLevel="0" collapsed="false">
      <c r="B220" s="44" t="n">
        <v>213</v>
      </c>
      <c r="C220" s="8" t="s">
        <v>843</v>
      </c>
      <c r="D220" s="8" t="s">
        <v>845</v>
      </c>
      <c r="E220" s="56" t="n">
        <v>359.5</v>
      </c>
      <c r="F220" s="57" t="n">
        <f aca="false">Liquidation!$E$12</f>
        <v>359.544230769231</v>
      </c>
      <c r="G220" s="58" t="n">
        <f aca="false">IF(ISNUMBER(F220),F220-E220,"n/a")</f>
        <v>0.044230769230694</v>
      </c>
      <c r="H220" s="59" t="n">
        <v>0.050000001</v>
      </c>
      <c r="I220" s="40" t="str">
        <f aca="false">IF(ISNUMBER(F220),IF(ABS(F220-E220)&lt;=H220,"PASS","FAIL"),"FAIL")</f>
        <v>PASS</v>
      </c>
      <c r="J220" s="40" t="str">
        <f aca="false">IF(ISNUMBER(F220),IF(ROUND(F220,1)=ROUND(E220,1),"same","differs"),"n/a")</f>
        <v>same</v>
      </c>
    </row>
    <row r="221" customFormat="false" ht="15" hidden="false" customHeight="false" outlineLevel="0" collapsed="false">
      <c r="B221" s="44" t="n">
        <v>214</v>
      </c>
      <c r="C221" s="8" t="s">
        <v>843</v>
      </c>
      <c r="D221" s="8" t="s">
        <v>846</v>
      </c>
      <c r="E221" s="61" t="n">
        <v>38</v>
      </c>
      <c r="F221" s="62" t="n">
        <f aca="false">Liquidation!$E$13</f>
        <v>38</v>
      </c>
      <c r="G221" s="58" t="n">
        <f aca="false">IF(ISNUMBER(F221),F221-E221,"n/a")</f>
        <v>0</v>
      </c>
      <c r="H221" s="59" t="n">
        <v>0.500000001</v>
      </c>
      <c r="I221" s="40" t="str">
        <f aca="false">IF(ISNUMBER(F221),IF(ABS(F221-E221)&lt;=H221,"PASS","FAIL"),"FAIL")</f>
        <v>PASS</v>
      </c>
      <c r="J221" s="40" t="str">
        <f aca="false">IF(ISNUMBER(F221),IF(ROUND(F221,0)=ROUND(E221,0),"same","differs"),"n/a")</f>
        <v>same</v>
      </c>
    </row>
    <row r="222" customFormat="false" ht="15" hidden="false" customHeight="false" outlineLevel="0" collapsed="false">
      <c r="B222" s="44" t="n">
        <v>215</v>
      </c>
      <c r="C222" s="8" t="s">
        <v>843</v>
      </c>
      <c r="D222" s="8" t="s">
        <v>376</v>
      </c>
      <c r="E222" s="56" t="n">
        <v>10.8</v>
      </c>
      <c r="F222" s="57" t="n">
        <f aca="false">Liquidation!$E$14</f>
        <v>10.7863269230769</v>
      </c>
      <c r="G222" s="58" t="n">
        <f aca="false">IF(ISNUMBER(F222),F222-E222,"n/a")</f>
        <v>-0.0136730769230802</v>
      </c>
      <c r="H222" s="59" t="n">
        <v>0.050000001</v>
      </c>
      <c r="I222" s="40" t="str">
        <f aca="false">IF(ISNUMBER(F222),IF(ABS(F222-E222)&lt;=H222,"PASS","FAIL"),"FAIL")</f>
        <v>PASS</v>
      </c>
      <c r="J222" s="40" t="str">
        <f aca="false">IF(ISNUMBER(F222),IF(ROUND(F222,1)=ROUND(E222,1),"same","differs"),"n/a")</f>
        <v>same</v>
      </c>
    </row>
    <row r="223" customFormat="false" ht="15" hidden="false" customHeight="false" outlineLevel="0" collapsed="false">
      <c r="B223" s="44" t="n">
        <v>216</v>
      </c>
      <c r="C223" s="8" t="s">
        <v>843</v>
      </c>
      <c r="D223" s="8" t="s">
        <v>847</v>
      </c>
      <c r="E223" s="56" t="n">
        <v>310.8</v>
      </c>
      <c r="F223" s="57" t="n">
        <f aca="false">Liquidation!$E$15</f>
        <v>310.757903846154</v>
      </c>
      <c r="G223" s="58" t="n">
        <f aca="false">IF(ISNUMBER(F223),F223-E223,"n/a")</f>
        <v>-0.0420961538462166</v>
      </c>
      <c r="H223" s="59" t="n">
        <v>0.050000001</v>
      </c>
      <c r="I223" s="40" t="str">
        <f aca="false">IF(ISNUMBER(F223),IF(ABS(F223-E223)&lt;=H223,"PASS","FAIL"),"FAIL")</f>
        <v>PASS</v>
      </c>
      <c r="J223" s="40" t="str">
        <f aca="false">IF(ISNUMBER(F223),IF(ROUND(F223,1)=ROUND(E223,1),"same","differs"),"n/a")</f>
        <v>same</v>
      </c>
    </row>
    <row r="224" customFormat="false" ht="15" hidden="false" customHeight="false" outlineLevel="0" collapsed="false">
      <c r="B224" s="44" t="n">
        <v>217</v>
      </c>
      <c r="C224" s="8" t="s">
        <v>843</v>
      </c>
      <c r="D224" s="8" t="s">
        <v>848</v>
      </c>
      <c r="E224" s="12" t="n">
        <v>0.227</v>
      </c>
      <c r="F224" s="60" t="n">
        <f aca="false">Liquidation!$E$28</f>
        <v>0.226766645819538</v>
      </c>
      <c r="G224" s="58" t="n">
        <f aca="false">IF(ISNUMBER(F224),F224-E224,"n/a")</f>
        <v>-0.000233354180461637</v>
      </c>
      <c r="H224" s="59" t="n">
        <v>0.000500001</v>
      </c>
      <c r="I224" s="40" t="str">
        <f aca="false">IF(ISNUMBER(F224),IF(ABS(F224-E224)&lt;=H224,"PASS","FAIL"),"FAIL")</f>
        <v>PASS</v>
      </c>
      <c r="J224" s="40" t="str">
        <f aca="false">IF(ISNUMBER(F224),IF(ROUND(F224,3)=ROUND(E224,3),"same","differs"),"n/a")</f>
        <v>same</v>
      </c>
    </row>
    <row r="225" customFormat="false" ht="15" hidden="false" customHeight="false" outlineLevel="0" collapsed="false">
      <c r="B225" s="44" t="n">
        <v>218</v>
      </c>
      <c r="C225" s="8" t="s">
        <v>843</v>
      </c>
      <c r="D225" s="8" t="s">
        <v>849</v>
      </c>
      <c r="E225" s="12" t="n">
        <v>0.011</v>
      </c>
      <c r="F225" s="60" t="n">
        <f aca="false">Liquidation!$E$30</f>
        <v>0.011214787330362</v>
      </c>
      <c r="G225" s="58" t="n">
        <f aca="false">IF(ISNUMBER(F225),F225-E225,"n/a")</f>
        <v>0.000214787330362017</v>
      </c>
      <c r="H225" s="59" t="n">
        <v>0.000500001</v>
      </c>
      <c r="I225" s="40" t="str">
        <f aca="false">IF(ISNUMBER(F225),IF(ABS(F225-E225)&lt;=H225,"PASS","FAIL"),"FAIL")</f>
        <v>PASS</v>
      </c>
      <c r="J225" s="40" t="str">
        <f aca="false">IF(ISNUMBER(F225),IF(ROUND(F225,3)=ROUND(E225,3),"same","differs"),"n/a")</f>
        <v>same</v>
      </c>
    </row>
    <row r="226" customFormat="false" ht="15" hidden="false" customHeight="false" outlineLevel="0" collapsed="false">
      <c r="B226" s="44" t="n">
        <v>219</v>
      </c>
      <c r="C226" s="8" t="s">
        <v>843</v>
      </c>
      <c r="D226" s="8" t="s">
        <v>850</v>
      </c>
      <c r="E226" s="56" t="n">
        <v>686.8</v>
      </c>
      <c r="F226" s="57" t="n">
        <f aca="false">Liquidation!$E$31</f>
        <v>686.786326923077</v>
      </c>
      <c r="G226" s="58" t="n">
        <f aca="false">IF(ISNUMBER(F226),F226-E226,"n/a")</f>
        <v>-0.0136730769230553</v>
      </c>
      <c r="H226" s="59" t="n">
        <v>0.050000001</v>
      </c>
      <c r="I226" s="40" t="str">
        <f aca="false">IF(ISNUMBER(F226),IF(ABS(F226-E226)&lt;=H226,"PASS","FAIL"),"FAIL")</f>
        <v>PASS</v>
      </c>
      <c r="J226" s="40" t="str">
        <f aca="false">IF(ISNUMBER(F226),IF(ROUND(F226,1)=ROUND(E226,1),"same","differs"),"n/a")</f>
        <v>same</v>
      </c>
    </row>
    <row r="227" customFormat="false" ht="15" hidden="false" customHeight="false" outlineLevel="0" collapsed="false">
      <c r="B227" s="44" t="n">
        <v>220</v>
      </c>
      <c r="C227" s="8" t="s">
        <v>265</v>
      </c>
      <c r="D227" s="8" t="s">
        <v>851</v>
      </c>
      <c r="E227" s="66" t="n">
        <v>34.39</v>
      </c>
      <c r="F227" s="67" t="n">
        <f aca="false">DIP!$C$36</f>
        <v>34.385</v>
      </c>
      <c r="G227" s="58" t="n">
        <f aca="false">IF(ISNUMBER(F227),F227-E227,"n/a")</f>
        <v>-0.0050000000000523</v>
      </c>
      <c r="H227" s="59" t="n">
        <v>0.005000001</v>
      </c>
      <c r="I227" s="40" t="str">
        <f aca="false">IF(ISNUMBER(F227),IF(ABS(F227-E227)&lt;=H227,"PASS","FAIL"),"FAIL")</f>
        <v>PASS</v>
      </c>
      <c r="J227" s="40" t="str">
        <f aca="false">IF(ISNUMBER(F227),IF(ROUND(F227,2)=ROUND(E227,2),"same","differs"),"n/a")</f>
        <v>same</v>
      </c>
    </row>
    <row r="228" customFormat="false" ht="15" hidden="false" customHeight="false" outlineLevel="0" collapsed="false">
      <c r="B228" s="44" t="n">
        <v>221</v>
      </c>
      <c r="C228" s="8" t="s">
        <v>265</v>
      </c>
      <c r="D228" s="8" t="s">
        <v>852</v>
      </c>
      <c r="E228" s="66" t="n">
        <v>2.5</v>
      </c>
      <c r="F228" s="67" t="n">
        <f aca="false">Inputs!$C$109</f>
        <v>2.5</v>
      </c>
      <c r="G228" s="58" t="n">
        <f aca="false">IF(ISNUMBER(F228),F228-E228,"n/a")</f>
        <v>0</v>
      </c>
      <c r="H228" s="59" t="n">
        <v>0.005000001</v>
      </c>
      <c r="I228" s="40" t="str">
        <f aca="false">IF(ISNUMBER(F228),IF(ABS(F228-E228)&lt;=H228,"PASS","FAIL"),"FAIL")</f>
        <v>PASS</v>
      </c>
      <c r="J228" s="40" t="str">
        <f aca="false">IF(ISNUMBER(F228),IF(ROUND(F228,2)=ROUND(E228,2),"same","differs"),"n/a")</f>
        <v>same</v>
      </c>
    </row>
    <row r="229" customFormat="false" ht="15" hidden="false" customHeight="false" outlineLevel="0" collapsed="false">
      <c r="B229" s="44" t="n">
        <v>222</v>
      </c>
      <c r="C229" s="8" t="s">
        <v>265</v>
      </c>
      <c r="D229" s="8" t="s">
        <v>853</v>
      </c>
      <c r="E229" s="56" t="n">
        <v>26</v>
      </c>
      <c r="F229" s="57" t="n">
        <f aca="false">DIP!$P$41</f>
        <v>26</v>
      </c>
      <c r="G229" s="58" t="n">
        <f aca="false">IF(ISNUMBER(F229),F229-E229,"n/a")</f>
        <v>0</v>
      </c>
      <c r="H229" s="59" t="n">
        <v>0.050000001</v>
      </c>
      <c r="I229" s="40" t="str">
        <f aca="false">IF(ISNUMBER(F229),IF(ABS(F229-E229)&lt;=H229,"PASS","FAIL"),"FAIL")</f>
        <v>PASS</v>
      </c>
      <c r="J229" s="40" t="str">
        <f aca="false">IF(ISNUMBER(F229),IF(ROUND(F229,1)=ROUND(E229,1),"same","differs"),"n/a")</f>
        <v>same</v>
      </c>
    </row>
    <row r="230" customFormat="false" ht="15" hidden="false" customHeight="false" outlineLevel="0" collapsed="false">
      <c r="B230" s="44" t="n">
        <v>223</v>
      </c>
      <c r="C230" s="8" t="s">
        <v>265</v>
      </c>
      <c r="D230" s="8" t="s">
        <v>429</v>
      </c>
      <c r="E230" s="61" t="n">
        <v>18</v>
      </c>
      <c r="F230" s="62" t="n">
        <f aca="false">DIP!$P$42</f>
        <v>18</v>
      </c>
      <c r="G230" s="58" t="n">
        <f aca="false">IF(ISNUMBER(F230),F230-E230,"n/a")</f>
        <v>0</v>
      </c>
      <c r="H230" s="59" t="n">
        <v>0.500000001</v>
      </c>
      <c r="I230" s="40" t="str">
        <f aca="false">IF(ISNUMBER(F230),IF(ABS(F230-E230)&lt;=H230,"PASS","FAIL"),"FAIL")</f>
        <v>PASS</v>
      </c>
      <c r="J230" s="40" t="str">
        <f aca="false">IF(ISNUMBER(F230),IF(ROUND(F230,0)=ROUND(E230,0),"same","differs"),"n/a")</f>
        <v>same</v>
      </c>
    </row>
    <row r="231" customFormat="false" ht="15" hidden="false" customHeight="false" outlineLevel="0" collapsed="false">
      <c r="B231" s="44" t="n">
        <v>224</v>
      </c>
      <c r="C231" s="8" t="s">
        <v>265</v>
      </c>
      <c r="D231" s="8" t="s">
        <v>153</v>
      </c>
      <c r="E231" s="61" t="n">
        <v>2</v>
      </c>
      <c r="F231" s="62" t="n">
        <f aca="false">DIP!$P$43</f>
        <v>2</v>
      </c>
      <c r="G231" s="58" t="n">
        <f aca="false">IF(ISNUMBER(F231),F231-E231,"n/a")</f>
        <v>0</v>
      </c>
      <c r="H231" s="59" t="n">
        <v>0.500000001</v>
      </c>
      <c r="I231" s="40" t="str">
        <f aca="false">IF(ISNUMBER(F231),IF(ABS(F231-E231)&lt;=H231,"PASS","FAIL"),"FAIL")</f>
        <v>PASS</v>
      </c>
      <c r="J231" s="40" t="str">
        <f aca="false">IF(ISNUMBER(F231),IF(ROUND(F231,0)=ROUND(E231,0),"same","differs"),"n/a")</f>
        <v>same</v>
      </c>
    </row>
    <row r="232" customFormat="false" ht="15" hidden="false" customHeight="false" outlineLevel="0" collapsed="false">
      <c r="B232" s="44" t="n">
        <v>225</v>
      </c>
      <c r="C232" s="8" t="s">
        <v>265</v>
      </c>
      <c r="D232" s="8" t="s">
        <v>854</v>
      </c>
      <c r="E232" s="56" t="n">
        <v>21.8</v>
      </c>
      <c r="F232" s="57" t="n">
        <f aca="false">DIP!$P$44</f>
        <v>21.8</v>
      </c>
      <c r="G232" s="58" t="n">
        <f aca="false">IF(ISNUMBER(F232),F232-E232,"n/a")</f>
        <v>0</v>
      </c>
      <c r="H232" s="59" t="n">
        <v>0.050000001</v>
      </c>
      <c r="I232" s="40" t="str">
        <f aca="false">IF(ISNUMBER(F232),IF(ABS(F232-E232)&lt;=H232,"PASS","FAIL"),"FAIL")</f>
        <v>PASS</v>
      </c>
      <c r="J232" s="40" t="str">
        <f aca="false">IF(ISNUMBER(F232),IF(ROUND(F232,1)=ROUND(E232,1),"same","differs"),"n/a")</f>
        <v>same</v>
      </c>
    </row>
    <row r="233" customFormat="false" ht="15" hidden="false" customHeight="false" outlineLevel="0" collapsed="false">
      <c r="B233" s="44" t="n">
        <v>226</v>
      </c>
      <c r="C233" s="8" t="s">
        <v>265</v>
      </c>
      <c r="D233" s="8" t="s">
        <v>855</v>
      </c>
      <c r="E233" s="66" t="n">
        <v>16.36</v>
      </c>
      <c r="F233" s="67" t="n">
        <f aca="false">DIP!$P$40</f>
        <v>16.36</v>
      </c>
      <c r="G233" s="58" t="n">
        <f aca="false">IF(ISNUMBER(F233),F233-E233,"n/a")</f>
        <v>0</v>
      </c>
      <c r="H233" s="59" t="n">
        <v>0.005000001</v>
      </c>
      <c r="I233" s="40" t="str">
        <f aca="false">IF(ISNUMBER(F233),IF(ABS(F233-E233)&lt;=H233,"PASS","FAIL"),"FAIL")</f>
        <v>PASS</v>
      </c>
      <c r="J233" s="40" t="str">
        <f aca="false">IF(ISNUMBER(F233),IF(ROUND(F233,2)=ROUND(E233,2),"same","differs"),"n/a")</f>
        <v>same</v>
      </c>
    </row>
    <row r="234" customFormat="false" ht="15" hidden="false" customHeight="false" outlineLevel="0" collapsed="false">
      <c r="B234" s="44" t="n">
        <v>227</v>
      </c>
      <c r="C234" s="8" t="s">
        <v>265</v>
      </c>
      <c r="D234" s="8" t="s">
        <v>856</v>
      </c>
      <c r="E234" s="66" t="n">
        <v>-17.06</v>
      </c>
      <c r="F234" s="67" t="n">
        <f aca="false">DIP!$C$52</f>
        <v>-17.0550000000001</v>
      </c>
      <c r="G234" s="58" t="n">
        <f aca="false">IF(ISNUMBER(F234),F234-E234,"n/a")</f>
        <v>0.00499999999990664</v>
      </c>
      <c r="H234" s="59" t="n">
        <v>0.005000001</v>
      </c>
      <c r="I234" s="40" t="str">
        <f aca="false">IF(ISNUMBER(F234),IF(ABS(F234-E234)&lt;=H234,"PASS","FAIL"),"FAIL")</f>
        <v>PASS</v>
      </c>
      <c r="J234" s="40" t="str">
        <f aca="false">IF(ISNUMBER(F234),IF(ROUND(F234,2)=ROUND(E234,2),"same","differs"),"n/a")</f>
        <v>same</v>
      </c>
    </row>
    <row r="235" customFormat="false" ht="15" hidden="false" customHeight="false" outlineLevel="0" collapsed="false">
      <c r="B235" s="44" t="n">
        <v>228</v>
      </c>
      <c r="C235" s="8" t="s">
        <v>265</v>
      </c>
      <c r="D235" s="8" t="s">
        <v>437</v>
      </c>
      <c r="E235" s="61" t="n">
        <v>13</v>
      </c>
      <c r="F235" s="62" t="n">
        <f aca="false">DIP!$C$53</f>
        <v>13</v>
      </c>
      <c r="G235" s="58" t="n">
        <f aca="false">IF(ISNUMBER(F235),F235-E235,"n/a")</f>
        <v>0</v>
      </c>
      <c r="H235" s="59" t="n">
        <v>0.500000001</v>
      </c>
      <c r="I235" s="40" t="str">
        <f aca="false">IF(ISNUMBER(F235),IF(ABS(F235-E235)&lt;=H235,"PASS","FAIL"),"FAIL")</f>
        <v>PASS</v>
      </c>
      <c r="J235" s="40" t="str">
        <f aca="false">IF(ISNUMBER(F235),IF(ROUND(F235,0)=ROUND(E235,0),"same","differs"),"n/a")</f>
        <v>same</v>
      </c>
    </row>
    <row r="236" customFormat="false" ht="15" hidden="false" customHeight="false" outlineLevel="0" collapsed="false">
      <c r="B236" s="44" t="n">
        <v>229</v>
      </c>
      <c r="C236" s="8" t="s">
        <v>265</v>
      </c>
      <c r="D236" s="8" t="s">
        <v>857</v>
      </c>
      <c r="E236" s="66" t="n">
        <v>62.06</v>
      </c>
      <c r="F236" s="67" t="n">
        <f aca="false">DIP!$C$54</f>
        <v>62.0550000000001</v>
      </c>
      <c r="G236" s="58" t="n">
        <f aca="false">IF(ISNUMBER(F236),F236-E236,"n/a")</f>
        <v>-0.00499999999991019</v>
      </c>
      <c r="H236" s="59" t="n">
        <v>0.005000001</v>
      </c>
      <c r="I236" s="40" t="str">
        <f aca="false">IF(ISNUMBER(F236),IF(ABS(F236-E236)&lt;=H236,"PASS","FAIL"),"FAIL")</f>
        <v>PASS</v>
      </c>
      <c r="J236" s="40" t="str">
        <f aca="false">IF(ISNUMBER(F236),IF(ROUND(F236,2)=ROUND(E236,2),"same","differs"),"n/a")</f>
        <v>same</v>
      </c>
    </row>
    <row r="237" customFormat="false" ht="15" hidden="false" customHeight="false" outlineLevel="0" collapsed="false">
      <c r="B237" s="44" t="n">
        <v>230</v>
      </c>
      <c r="C237" s="8" t="s">
        <v>265</v>
      </c>
      <c r="D237" s="8" t="s">
        <v>858</v>
      </c>
      <c r="E237" s="61" t="n">
        <v>65</v>
      </c>
      <c r="F237" s="62" t="n">
        <f aca="false">DIP!$C$56</f>
        <v>65</v>
      </c>
      <c r="G237" s="58" t="n">
        <f aca="false">IF(ISNUMBER(F237),F237-E237,"n/a")</f>
        <v>0</v>
      </c>
      <c r="H237" s="59" t="n">
        <v>0.500000001</v>
      </c>
      <c r="I237" s="40" t="str">
        <f aca="false">IF(ISNUMBER(F237),IF(ABS(F237-E237)&lt;=H237,"PASS","FAIL"),"FAIL")</f>
        <v>PASS</v>
      </c>
      <c r="J237" s="40" t="str">
        <f aca="false">IF(ISNUMBER(F237),IF(ROUND(F237,0)=ROUND(E237,0),"same","differs"),"n/a")</f>
        <v>same</v>
      </c>
    </row>
    <row r="238" customFormat="false" ht="15" hidden="false" customHeight="false" outlineLevel="0" collapsed="false">
      <c r="B238" s="44" t="n">
        <v>231</v>
      </c>
      <c r="C238" s="8" t="s">
        <v>265</v>
      </c>
      <c r="D238" s="8" t="s">
        <v>441</v>
      </c>
      <c r="E238" s="66" t="n">
        <v>1.95</v>
      </c>
      <c r="F238" s="67" t="n">
        <f aca="false">DIP!$C$57</f>
        <v>1.95</v>
      </c>
      <c r="G238" s="58" t="n">
        <f aca="false">IF(ISNUMBER(F238),F238-E238,"n/a")</f>
        <v>0</v>
      </c>
      <c r="H238" s="59" t="n">
        <v>0.005000001</v>
      </c>
      <c r="I238" s="40" t="str">
        <f aca="false">IF(ISNUMBER(F238),IF(ABS(F238-E238)&lt;=H238,"PASS","FAIL"),"FAIL")</f>
        <v>PASS</v>
      </c>
      <c r="J238" s="40" t="str">
        <f aca="false">IF(ISNUMBER(F238),IF(ROUND(F238,2)=ROUND(E238,2),"same","differs"),"n/a")</f>
        <v>same</v>
      </c>
    </row>
    <row r="239" customFormat="false" ht="15" hidden="false" customHeight="false" outlineLevel="0" collapsed="false">
      <c r="B239" s="44" t="n">
        <v>232</v>
      </c>
      <c r="C239" s="8" t="s">
        <v>265</v>
      </c>
      <c r="D239" s="8" t="s">
        <v>442</v>
      </c>
      <c r="E239" s="66" t="n">
        <v>63.05</v>
      </c>
      <c r="F239" s="67" t="n">
        <f aca="false">DIP!$C$58</f>
        <v>63.05</v>
      </c>
      <c r="G239" s="58" t="n">
        <f aca="false">IF(ISNUMBER(F239),F239-E239,"n/a")</f>
        <v>0</v>
      </c>
      <c r="H239" s="59" t="n">
        <v>0.005000001</v>
      </c>
      <c r="I239" s="40" t="str">
        <f aca="false">IF(ISNUMBER(F239),IF(ABS(F239-E239)&lt;=H239,"PASS","FAIL"),"FAIL")</f>
        <v>PASS</v>
      </c>
      <c r="J239" s="40" t="str">
        <f aca="false">IF(ISNUMBER(F239),IF(ROUND(F239,2)=ROUND(E239,2),"same","differs"),"n/a")</f>
        <v>same</v>
      </c>
    </row>
    <row r="240" customFormat="false" ht="15" hidden="false" customHeight="false" outlineLevel="0" collapsed="false">
      <c r="B240" s="44" t="n">
        <v>233</v>
      </c>
      <c r="C240" s="8" t="s">
        <v>265</v>
      </c>
      <c r="D240" s="8" t="s">
        <v>859</v>
      </c>
      <c r="E240" s="9" t="n">
        <v>0.093</v>
      </c>
      <c r="F240" s="45" t="n">
        <f aca="false">DIP!$C$59</f>
        <v>0.093</v>
      </c>
      <c r="G240" s="58" t="n">
        <f aca="false">IF(ISNUMBER(F240),F240-E240,"n/a")</f>
        <v>0</v>
      </c>
      <c r="H240" s="59" t="n">
        <v>5.0001E-005</v>
      </c>
      <c r="I240" s="40" t="str">
        <f aca="false">IF(ISNUMBER(F240),IF(ABS(F240-E240)&lt;=H240,"PASS","FAIL"),"FAIL")</f>
        <v>PASS</v>
      </c>
      <c r="J240" s="40" t="str">
        <f aca="false">IF(ISNUMBER(F240),IF(ROUND(F240,4)=ROUND(E240,4),"same","differs"),"n/a")</f>
        <v>same</v>
      </c>
    </row>
    <row r="241" customFormat="false" ht="15" hidden="false" customHeight="false" outlineLevel="0" collapsed="false">
      <c r="B241" s="44" t="n">
        <v>234</v>
      </c>
      <c r="C241" s="8" t="s">
        <v>860</v>
      </c>
      <c r="D241" s="8" t="s">
        <v>861</v>
      </c>
      <c r="E241" s="61" t="n">
        <v>7</v>
      </c>
      <c r="F241" s="62" t="n">
        <f aca="false">Court_Cost!$C$6</f>
        <v>7</v>
      </c>
      <c r="G241" s="58" t="n">
        <f aca="false">IF(ISNUMBER(F241),F241-E241,"n/a")</f>
        <v>0</v>
      </c>
      <c r="H241" s="59" t="n">
        <v>0.500000001</v>
      </c>
      <c r="I241" s="40" t="str">
        <f aca="false">IF(ISNUMBER(F241),IF(ABS(F241-E241)&lt;=H241,"PASS","FAIL"),"FAIL")</f>
        <v>PASS</v>
      </c>
      <c r="J241" s="40" t="str">
        <f aca="false">IF(ISNUMBER(F241),IF(ROUND(F241,0)=ROUND(E241,0),"same","differs"),"n/a")</f>
        <v>same</v>
      </c>
    </row>
    <row r="242" customFormat="false" ht="15" hidden="false" customHeight="false" outlineLevel="0" collapsed="false">
      <c r="B242" s="44" t="n">
        <v>235</v>
      </c>
      <c r="C242" s="8" t="s">
        <v>860</v>
      </c>
      <c r="D242" s="8" t="s">
        <v>862</v>
      </c>
      <c r="E242" s="56" t="n">
        <v>25.5</v>
      </c>
      <c r="F242" s="57" t="n">
        <f aca="false">Court_Cost!$C$7</f>
        <v>25.5</v>
      </c>
      <c r="G242" s="58" t="n">
        <f aca="false">IF(ISNUMBER(F242),F242-E242,"n/a")</f>
        <v>0</v>
      </c>
      <c r="H242" s="59" t="n">
        <v>0.050000001</v>
      </c>
      <c r="I242" s="40" t="str">
        <f aca="false">IF(ISNUMBER(F242),IF(ABS(F242-E242)&lt;=H242,"PASS","FAIL"),"FAIL")</f>
        <v>PASS</v>
      </c>
      <c r="J242" s="40" t="str">
        <f aca="false">IF(ISNUMBER(F242),IF(ROUND(F242,1)=ROUND(E242,1),"same","differs"),"n/a")</f>
        <v>same</v>
      </c>
    </row>
    <row r="243" customFormat="false" ht="15" hidden="false" customHeight="false" outlineLevel="0" collapsed="false">
      <c r="B243" s="44" t="n">
        <v>236</v>
      </c>
      <c r="C243" s="8" t="s">
        <v>860</v>
      </c>
      <c r="D243" s="8" t="s">
        <v>863</v>
      </c>
      <c r="E243" s="61" t="n">
        <v>65</v>
      </c>
      <c r="F243" s="62" t="n">
        <f aca="false">Court_Cost!$C$11</f>
        <v>65</v>
      </c>
      <c r="G243" s="58" t="n">
        <f aca="false">IF(ISNUMBER(F243),F243-E243,"n/a")</f>
        <v>0</v>
      </c>
      <c r="H243" s="59" t="n">
        <v>0.500000001</v>
      </c>
      <c r="I243" s="40" t="str">
        <f aca="false">IF(ISNUMBER(F243),IF(ABS(F243-E243)&lt;=H243,"PASS","FAIL"),"FAIL")</f>
        <v>PASS</v>
      </c>
      <c r="J243" s="40" t="str">
        <f aca="false">IF(ISNUMBER(F243),IF(ROUND(F243,0)=ROUND(E243,0),"same","differs"),"n/a")</f>
        <v>same</v>
      </c>
    </row>
    <row r="244" customFormat="false" ht="15" hidden="false" customHeight="false" outlineLevel="0" collapsed="false">
      <c r="B244" s="44" t="n">
        <v>237</v>
      </c>
      <c r="C244" s="8" t="s">
        <v>860</v>
      </c>
      <c r="D244" s="8" t="s">
        <v>864</v>
      </c>
      <c r="E244" s="66" t="n">
        <v>1.95</v>
      </c>
      <c r="F244" s="67" t="n">
        <f aca="false">Court_Cost!$C$12</f>
        <v>1.95</v>
      </c>
      <c r="G244" s="58" t="n">
        <f aca="false">IF(ISNUMBER(F244),F244-E244,"n/a")</f>
        <v>0</v>
      </c>
      <c r="H244" s="59" t="n">
        <v>0.005000001</v>
      </c>
      <c r="I244" s="40" t="str">
        <f aca="false">IF(ISNUMBER(F244),IF(ABS(F244-E244)&lt;=H244,"PASS","FAIL"),"FAIL")</f>
        <v>PASS</v>
      </c>
      <c r="J244" s="40" t="str">
        <f aca="false">IF(ISNUMBER(F244),IF(ROUND(F244,2)=ROUND(E244,2),"same","differs"),"n/a")</f>
        <v>same</v>
      </c>
    </row>
    <row r="245" customFormat="false" ht="15" hidden="false" customHeight="false" outlineLevel="0" collapsed="false">
      <c r="B245" s="44" t="n">
        <v>238</v>
      </c>
      <c r="C245" s="8" t="s">
        <v>860</v>
      </c>
      <c r="D245" s="8" t="s">
        <v>865</v>
      </c>
      <c r="E245" s="66" t="n">
        <v>0.81</v>
      </c>
      <c r="F245" s="67" t="n">
        <f aca="false">Court_Cost!$C$13</f>
        <v>0.81375</v>
      </c>
      <c r="G245" s="58" t="n">
        <f aca="false">IF(ISNUMBER(F245),F245-E245,"n/a")</f>
        <v>0.00374999999999992</v>
      </c>
      <c r="H245" s="59" t="n">
        <v>0.005000001</v>
      </c>
      <c r="I245" s="40" t="str">
        <f aca="false">IF(ISNUMBER(F245),IF(ABS(F245-E245)&lt;=H245,"PASS","FAIL"),"FAIL")</f>
        <v>PASS</v>
      </c>
      <c r="J245" s="40" t="str">
        <f aca="false">IF(ISNUMBER(F245),IF(ROUND(F245,2)=ROUND(E245,2),"same","differs"),"n/a")</f>
        <v>same</v>
      </c>
    </row>
    <row r="246" customFormat="false" ht="15" hidden="false" customHeight="false" outlineLevel="0" collapsed="false">
      <c r="B246" s="44" t="n">
        <v>239</v>
      </c>
      <c r="C246" s="8" t="s">
        <v>860</v>
      </c>
      <c r="D246" s="8" t="s">
        <v>866</v>
      </c>
      <c r="E246" s="12" t="n">
        <v>0.005</v>
      </c>
      <c r="F246" s="60" t="n">
        <f aca="false">Court_Cost!$C$14</f>
        <v>0.005</v>
      </c>
      <c r="G246" s="58" t="n">
        <f aca="false">IF(ISNUMBER(F246),F246-E246,"n/a")</f>
        <v>0</v>
      </c>
      <c r="H246" s="59" t="n">
        <v>0.000500001</v>
      </c>
      <c r="I246" s="40" t="str">
        <f aca="false">IF(ISNUMBER(F246),IF(ABS(F246-E246)&lt;=H246,"PASS","FAIL"),"FAIL")</f>
        <v>PASS</v>
      </c>
      <c r="J246" s="40" t="str">
        <f aca="false">IF(ISNUMBER(F246),IF(ROUND(F246,3)=ROUND(E246,3),"same","differs"),"n/a")</f>
        <v>same</v>
      </c>
    </row>
    <row r="247" customFormat="false" ht="15" hidden="false" customHeight="false" outlineLevel="0" collapsed="false">
      <c r="B247" s="44" t="n">
        <v>240</v>
      </c>
      <c r="C247" s="8" t="s">
        <v>860</v>
      </c>
      <c r="D247" s="8" t="s">
        <v>867</v>
      </c>
      <c r="E247" s="63" t="n">
        <v>1.575</v>
      </c>
      <c r="F247" s="64" t="n">
        <f aca="false">Court_Cost!$C$16</f>
        <v>1.575</v>
      </c>
      <c r="G247" s="58" t="n">
        <f aca="false">IF(ISNUMBER(F247),F247-E247,"n/a")</f>
        <v>0</v>
      </c>
      <c r="H247" s="59" t="n">
        <v>0.000500001</v>
      </c>
      <c r="I247" s="40" t="str">
        <f aca="false">IF(ISNUMBER(F247),IF(ABS(F247-E247)&lt;=H247,"PASS","FAIL"),"FAIL")</f>
        <v>PASS</v>
      </c>
      <c r="J247" s="40" t="str">
        <f aca="false">IF(ISNUMBER(F247),IF(ROUND(F247,3)=ROUND(E247,3),"same","differs"),"n/a")</f>
        <v>same</v>
      </c>
    </row>
    <row r="248" customFormat="false" ht="15" hidden="false" customHeight="false" outlineLevel="0" collapsed="false">
      <c r="B248" s="44" t="n">
        <v>241</v>
      </c>
      <c r="C248" s="8" t="s">
        <v>860</v>
      </c>
      <c r="D248" s="8" t="s">
        <v>868</v>
      </c>
      <c r="E248" s="66" t="n">
        <v>11.03</v>
      </c>
      <c r="F248" s="67" t="n">
        <f aca="false">Court_Cost!$C$17</f>
        <v>11.025</v>
      </c>
      <c r="G248" s="58" t="n">
        <f aca="false">IF(ISNUMBER(F248),F248-E248,"n/a")</f>
        <v>-0.00499999999999901</v>
      </c>
      <c r="H248" s="59" t="n">
        <v>0.005000001</v>
      </c>
      <c r="I248" s="40" t="str">
        <f aca="false">IF(ISNUMBER(F248),IF(ABS(F248-E248)&lt;=H248,"PASS","FAIL"),"FAIL")</f>
        <v>PASS</v>
      </c>
      <c r="J248" s="40" t="str">
        <f aca="false">IF(ISNUMBER(F248),IF(ROUND(F248,2)=ROUND(E248,2),"same","differs"),"n/a")</f>
        <v>same</v>
      </c>
    </row>
    <row r="249" customFormat="false" ht="15" hidden="false" customHeight="false" outlineLevel="0" collapsed="false">
      <c r="B249" s="44" t="n">
        <v>242</v>
      </c>
      <c r="C249" s="8" t="s">
        <v>860</v>
      </c>
      <c r="D249" s="8" t="s">
        <v>869</v>
      </c>
      <c r="E249" s="56" t="n">
        <v>39.3</v>
      </c>
      <c r="F249" s="57" t="n">
        <f aca="false">Court_Cost!$C$18</f>
        <v>39.28875</v>
      </c>
      <c r="G249" s="58" t="n">
        <f aca="false">IF(ISNUMBER(F249),F249-E249,"n/a")</f>
        <v>-0.0112499999999969</v>
      </c>
      <c r="H249" s="59" t="n">
        <v>0.050000001</v>
      </c>
      <c r="I249" s="40" t="str">
        <f aca="false">IF(ISNUMBER(F249),IF(ABS(F249-E249)&lt;=H249,"PASS","FAIL"),"FAIL")</f>
        <v>PASS</v>
      </c>
      <c r="J249" s="40" t="str">
        <f aca="false">IF(ISNUMBER(F249),IF(ROUND(F249,1)=ROUND(E249,1),"same","differs"),"n/a")</f>
        <v>same</v>
      </c>
    </row>
    <row r="250" customFormat="false" ht="15" hidden="false" customHeight="false" outlineLevel="0" collapsed="false">
      <c r="B250" s="44" t="n">
        <v>243</v>
      </c>
      <c r="C250" s="8" t="s">
        <v>860</v>
      </c>
      <c r="D250" s="8" t="s">
        <v>870</v>
      </c>
      <c r="E250" s="61" t="n">
        <v>12</v>
      </c>
      <c r="F250" s="62" t="n">
        <f aca="false">Court_Cost!$D$6</f>
        <v>12</v>
      </c>
      <c r="G250" s="58" t="n">
        <f aca="false">IF(ISNUMBER(F250),F250-E250,"n/a")</f>
        <v>0</v>
      </c>
      <c r="H250" s="59" t="n">
        <v>0.500000001</v>
      </c>
      <c r="I250" s="40" t="str">
        <f aca="false">IF(ISNUMBER(F250),IF(ABS(F250-E250)&lt;=H250,"PASS","FAIL"),"FAIL")</f>
        <v>PASS</v>
      </c>
      <c r="J250" s="40" t="str">
        <f aca="false">IF(ISNUMBER(F250),IF(ROUND(F250,0)=ROUND(E250,0),"same","differs"),"n/a")</f>
        <v>same</v>
      </c>
    </row>
    <row r="251" customFormat="false" ht="15" hidden="false" customHeight="false" outlineLevel="0" collapsed="false">
      <c r="B251" s="44" t="n">
        <v>244</v>
      </c>
      <c r="C251" s="8" t="s">
        <v>860</v>
      </c>
      <c r="D251" s="8" t="s">
        <v>871</v>
      </c>
      <c r="E251" s="56" t="n">
        <v>38</v>
      </c>
      <c r="F251" s="57" t="n">
        <f aca="false">Court_Cost!$D$7</f>
        <v>38</v>
      </c>
      <c r="G251" s="58" t="n">
        <f aca="false">IF(ISNUMBER(F251),F251-E251,"n/a")</f>
        <v>0</v>
      </c>
      <c r="H251" s="59" t="n">
        <v>0.050000001</v>
      </c>
      <c r="I251" s="40" t="str">
        <f aca="false">IF(ISNUMBER(F251),IF(ABS(F251-E251)&lt;=H251,"PASS","FAIL"),"FAIL")</f>
        <v>PASS</v>
      </c>
      <c r="J251" s="40" t="str">
        <f aca="false">IF(ISNUMBER(F251),IF(ROUND(F251,1)=ROUND(E251,1),"same","differs"),"n/a")</f>
        <v>same</v>
      </c>
    </row>
    <row r="252" customFormat="false" ht="15" hidden="false" customHeight="false" outlineLevel="0" collapsed="false">
      <c r="B252" s="44" t="n">
        <v>245</v>
      </c>
      <c r="C252" s="8" t="s">
        <v>860</v>
      </c>
      <c r="D252" s="8" t="s">
        <v>872</v>
      </c>
      <c r="E252" s="61" t="n">
        <v>65</v>
      </c>
      <c r="F252" s="62" t="n">
        <f aca="false">Court_Cost!$D$11</f>
        <v>65</v>
      </c>
      <c r="G252" s="58" t="n">
        <f aca="false">IF(ISNUMBER(F252),F252-E252,"n/a")</f>
        <v>0</v>
      </c>
      <c r="H252" s="59" t="n">
        <v>0.500000001</v>
      </c>
      <c r="I252" s="40" t="str">
        <f aca="false">IF(ISNUMBER(F252),IF(ABS(F252-E252)&lt;=H252,"PASS","FAIL"),"FAIL")</f>
        <v>PASS</v>
      </c>
      <c r="J252" s="40" t="str">
        <f aca="false">IF(ISNUMBER(F252),IF(ROUND(F252,0)=ROUND(E252,0),"same","differs"),"n/a")</f>
        <v>same</v>
      </c>
    </row>
    <row r="253" customFormat="false" ht="15" hidden="false" customHeight="false" outlineLevel="0" collapsed="false">
      <c r="B253" s="44" t="n">
        <v>246</v>
      </c>
      <c r="C253" s="8" t="s">
        <v>860</v>
      </c>
      <c r="D253" s="8" t="s">
        <v>873</v>
      </c>
      <c r="E253" s="66" t="n">
        <v>1.95</v>
      </c>
      <c r="F253" s="67" t="n">
        <f aca="false">Court_Cost!$D$12</f>
        <v>1.95</v>
      </c>
      <c r="G253" s="58" t="n">
        <f aca="false">IF(ISNUMBER(F253),F253-E253,"n/a")</f>
        <v>0</v>
      </c>
      <c r="H253" s="59" t="n">
        <v>0.005000001</v>
      </c>
      <c r="I253" s="40" t="str">
        <f aca="false">IF(ISNUMBER(F253),IF(ABS(F253-E253)&lt;=H253,"PASS","FAIL"),"FAIL")</f>
        <v>PASS</v>
      </c>
      <c r="J253" s="40" t="str">
        <f aca="false">IF(ISNUMBER(F253),IF(ROUND(F253,2)=ROUND(E253,2),"same","differs"),"n/a")</f>
        <v>same</v>
      </c>
    </row>
    <row r="254" customFormat="false" ht="15" hidden="false" customHeight="false" outlineLevel="0" collapsed="false">
      <c r="B254" s="44" t="n">
        <v>247</v>
      </c>
      <c r="C254" s="8" t="s">
        <v>860</v>
      </c>
      <c r="D254" s="8" t="s">
        <v>874</v>
      </c>
      <c r="E254" s="66" t="n">
        <v>1.4</v>
      </c>
      <c r="F254" s="67" t="n">
        <f aca="false">Court_Cost!$D$13</f>
        <v>1.395</v>
      </c>
      <c r="G254" s="58" t="n">
        <f aca="false">IF(ISNUMBER(F254),F254-E254,"n/a")</f>
        <v>-0.00500000000000012</v>
      </c>
      <c r="H254" s="59" t="n">
        <v>0.005000001</v>
      </c>
      <c r="I254" s="40" t="str">
        <f aca="false">IF(ISNUMBER(F254),IF(ABS(F254-E254)&lt;=H254,"PASS","FAIL"),"FAIL")</f>
        <v>PASS</v>
      </c>
      <c r="J254" s="40" t="str">
        <f aca="false">IF(ISNUMBER(F254),IF(ROUND(F254,2)=ROUND(E254,2),"same","differs"),"n/a")</f>
        <v>same</v>
      </c>
    </row>
    <row r="255" customFormat="false" ht="15" hidden="false" customHeight="false" outlineLevel="0" collapsed="false">
      <c r="B255" s="44" t="n">
        <v>248</v>
      </c>
      <c r="C255" s="8" t="s">
        <v>860</v>
      </c>
      <c r="D255" s="8" t="s">
        <v>875</v>
      </c>
      <c r="E255" s="12" t="n">
        <v>0.01</v>
      </c>
      <c r="F255" s="60" t="n">
        <f aca="false">Court_Cost!$D$14</f>
        <v>0.01</v>
      </c>
      <c r="G255" s="58" t="n">
        <f aca="false">IF(ISNUMBER(F255),F255-E255,"n/a")</f>
        <v>0</v>
      </c>
      <c r="H255" s="59" t="n">
        <v>0.000500001</v>
      </c>
      <c r="I255" s="40" t="str">
        <f aca="false">IF(ISNUMBER(F255),IF(ABS(F255-E255)&lt;=H255,"PASS","FAIL"),"FAIL")</f>
        <v>PASS</v>
      </c>
      <c r="J255" s="40" t="str">
        <f aca="false">IF(ISNUMBER(F255),IF(ROUND(F255,3)=ROUND(E255,3),"same","differs"),"n/a")</f>
        <v>same</v>
      </c>
    </row>
    <row r="256" customFormat="false" ht="15" hidden="false" customHeight="false" outlineLevel="0" collapsed="false">
      <c r="B256" s="44" t="n">
        <v>249</v>
      </c>
      <c r="C256" s="8" t="s">
        <v>860</v>
      </c>
      <c r="D256" s="8" t="s">
        <v>876</v>
      </c>
      <c r="E256" s="63" t="n">
        <v>3.15</v>
      </c>
      <c r="F256" s="64" t="n">
        <f aca="false">Court_Cost!$D$16</f>
        <v>3.15</v>
      </c>
      <c r="G256" s="58" t="n">
        <f aca="false">IF(ISNUMBER(F256),F256-E256,"n/a")</f>
        <v>0</v>
      </c>
      <c r="H256" s="59" t="n">
        <v>0.000500001</v>
      </c>
      <c r="I256" s="40" t="str">
        <f aca="false">IF(ISNUMBER(F256),IF(ABS(F256-E256)&lt;=H256,"PASS","FAIL"),"FAIL")</f>
        <v>PASS</v>
      </c>
      <c r="J256" s="40" t="str">
        <f aca="false">IF(ISNUMBER(F256),IF(ROUND(F256,3)=ROUND(E256,3),"same","differs"),"n/a")</f>
        <v>same</v>
      </c>
    </row>
    <row r="257" customFormat="false" ht="15" hidden="false" customHeight="false" outlineLevel="0" collapsed="false">
      <c r="B257" s="44" t="n">
        <v>250</v>
      </c>
      <c r="C257" s="8" t="s">
        <v>860</v>
      </c>
      <c r="D257" s="8" t="s">
        <v>877</v>
      </c>
      <c r="E257" s="66" t="n">
        <v>22.05</v>
      </c>
      <c r="F257" s="67" t="n">
        <f aca="false">Court_Cost!$D$17</f>
        <v>22.05</v>
      </c>
      <c r="G257" s="58" t="n">
        <f aca="false">IF(ISNUMBER(F257),F257-E257,"n/a")</f>
        <v>0</v>
      </c>
      <c r="H257" s="59" t="n">
        <v>0.005000001</v>
      </c>
      <c r="I257" s="40" t="str">
        <f aca="false">IF(ISNUMBER(F257),IF(ABS(F257-E257)&lt;=H257,"PASS","FAIL"),"FAIL")</f>
        <v>PASS</v>
      </c>
      <c r="J257" s="40" t="str">
        <f aca="false">IF(ISNUMBER(F257),IF(ROUND(F257,2)=ROUND(E257,2),"same","differs"),"n/a")</f>
        <v>same</v>
      </c>
    </row>
    <row r="258" customFormat="false" ht="15" hidden="false" customHeight="false" outlineLevel="0" collapsed="false">
      <c r="B258" s="44" t="n">
        <v>251</v>
      </c>
      <c r="C258" s="8" t="s">
        <v>860</v>
      </c>
      <c r="D258" s="8" t="s">
        <v>878</v>
      </c>
      <c r="E258" s="56" t="n">
        <v>63.4</v>
      </c>
      <c r="F258" s="57" t="n">
        <f aca="false">Court_Cost!$D$18</f>
        <v>63.395</v>
      </c>
      <c r="G258" s="58" t="n">
        <f aca="false">IF(ISNUMBER(F258),F258-E258,"n/a")</f>
        <v>-0.00499999999998835</v>
      </c>
      <c r="H258" s="59" t="n">
        <v>0.050000001</v>
      </c>
      <c r="I258" s="40" t="str">
        <f aca="false">IF(ISNUMBER(F258),IF(ABS(F258-E258)&lt;=H258,"PASS","FAIL"),"FAIL")</f>
        <v>PASS</v>
      </c>
      <c r="J258" s="40" t="str">
        <f aca="false">IF(ISNUMBER(F258),IF(ROUND(F258,1)=ROUND(E258,1),"same","differs"),"n/a")</f>
        <v>same</v>
      </c>
    </row>
    <row r="259" customFormat="false" ht="15" hidden="false" customHeight="false" outlineLevel="0" collapsed="false">
      <c r="B259" s="44" t="n">
        <v>252</v>
      </c>
      <c r="C259" s="8" t="s">
        <v>860</v>
      </c>
      <c r="D259" s="8" t="s">
        <v>879</v>
      </c>
      <c r="E259" s="61" t="n">
        <v>39</v>
      </c>
      <c r="F259" s="62" t="n">
        <f aca="false">Court_Cost!$E$6</f>
        <v>39</v>
      </c>
      <c r="G259" s="58" t="n">
        <f aca="false">IF(ISNUMBER(F259),F259-E259,"n/a")</f>
        <v>0</v>
      </c>
      <c r="H259" s="59" t="n">
        <v>0.500000001</v>
      </c>
      <c r="I259" s="40" t="str">
        <f aca="false">IF(ISNUMBER(F259),IF(ABS(F259-E259)&lt;=H259,"PASS","FAIL"),"FAIL")</f>
        <v>PASS</v>
      </c>
      <c r="J259" s="40" t="str">
        <f aca="false">IF(ISNUMBER(F259),IF(ROUND(F259,0)=ROUND(E259,0),"same","differs"),"n/a")</f>
        <v>same</v>
      </c>
    </row>
    <row r="260" customFormat="false" ht="15" hidden="false" customHeight="false" outlineLevel="0" collapsed="false">
      <c r="B260" s="44" t="n">
        <v>253</v>
      </c>
      <c r="C260" s="8" t="s">
        <v>860</v>
      </c>
      <c r="D260" s="8" t="s">
        <v>880</v>
      </c>
      <c r="E260" s="56" t="n">
        <v>105.5</v>
      </c>
      <c r="F260" s="57" t="n">
        <f aca="false">Court_Cost!$E$7</f>
        <v>105.5</v>
      </c>
      <c r="G260" s="58" t="n">
        <f aca="false">IF(ISNUMBER(F260),F260-E260,"n/a")</f>
        <v>0</v>
      </c>
      <c r="H260" s="59" t="n">
        <v>0.050000001</v>
      </c>
      <c r="I260" s="40" t="str">
        <f aca="false">IF(ISNUMBER(F260),IF(ABS(F260-E260)&lt;=H260,"PASS","FAIL"),"FAIL")</f>
        <v>PASS</v>
      </c>
      <c r="J260" s="40" t="str">
        <f aca="false">IF(ISNUMBER(F260),IF(ROUND(F260,1)=ROUND(E260,1),"same","differs"),"n/a")</f>
        <v>same</v>
      </c>
    </row>
    <row r="261" customFormat="false" ht="15" hidden="false" customHeight="false" outlineLevel="0" collapsed="false">
      <c r="B261" s="44" t="n">
        <v>254</v>
      </c>
      <c r="C261" s="8" t="s">
        <v>860</v>
      </c>
      <c r="D261" s="8" t="s">
        <v>881</v>
      </c>
      <c r="E261" s="61" t="n">
        <v>75</v>
      </c>
      <c r="F261" s="62" t="n">
        <f aca="false">Court_Cost!$E$11</f>
        <v>75</v>
      </c>
      <c r="G261" s="58" t="n">
        <f aca="false">IF(ISNUMBER(F261),F261-E261,"n/a")</f>
        <v>0</v>
      </c>
      <c r="H261" s="59" t="n">
        <v>0.500000001</v>
      </c>
      <c r="I261" s="40" t="str">
        <f aca="false">IF(ISNUMBER(F261),IF(ABS(F261-E261)&lt;=H261,"PASS","FAIL"),"FAIL")</f>
        <v>PASS</v>
      </c>
      <c r="J261" s="40" t="str">
        <f aca="false">IF(ISNUMBER(F261),IF(ROUND(F261,0)=ROUND(E261,0),"same","differs"),"n/a")</f>
        <v>same</v>
      </c>
    </row>
    <row r="262" customFormat="false" ht="15" hidden="false" customHeight="false" outlineLevel="0" collapsed="false">
      <c r="B262" s="44" t="n">
        <v>255</v>
      </c>
      <c r="C262" s="8" t="s">
        <v>860</v>
      </c>
      <c r="D262" s="8" t="s">
        <v>882</v>
      </c>
      <c r="E262" s="66" t="n">
        <v>2.25</v>
      </c>
      <c r="F262" s="67" t="n">
        <f aca="false">Court_Cost!$E$12</f>
        <v>2.25</v>
      </c>
      <c r="G262" s="58" t="n">
        <f aca="false">IF(ISNUMBER(F262),F262-E262,"n/a")</f>
        <v>0</v>
      </c>
      <c r="H262" s="59" t="n">
        <v>0.005000001</v>
      </c>
      <c r="I262" s="40" t="str">
        <f aca="false">IF(ISNUMBER(F262),IF(ABS(F262-E262)&lt;=H262,"PASS","FAIL"),"FAIL")</f>
        <v>PASS</v>
      </c>
      <c r="J262" s="40" t="str">
        <f aca="false">IF(ISNUMBER(F262),IF(ROUND(F262,2)=ROUND(E262,2),"same","differs"),"n/a")</f>
        <v>same</v>
      </c>
    </row>
    <row r="263" customFormat="false" ht="15" hidden="false" customHeight="false" outlineLevel="0" collapsed="false">
      <c r="B263" s="44" t="n">
        <v>256</v>
      </c>
      <c r="C263" s="8" t="s">
        <v>860</v>
      </c>
      <c r="D263" s="8" t="s">
        <v>883</v>
      </c>
      <c r="E263" s="66" t="n">
        <v>5.23</v>
      </c>
      <c r="F263" s="67" t="n">
        <f aca="false">Court_Cost!$E$13</f>
        <v>5.23125</v>
      </c>
      <c r="G263" s="58" t="n">
        <f aca="false">IF(ISNUMBER(F263),F263-E263,"n/a")</f>
        <v>0.00124999999999886</v>
      </c>
      <c r="H263" s="59" t="n">
        <v>0.005000001</v>
      </c>
      <c r="I263" s="40" t="str">
        <f aca="false">IF(ISNUMBER(F263),IF(ABS(F263-E263)&lt;=H263,"PASS","FAIL"),"FAIL")</f>
        <v>PASS</v>
      </c>
      <c r="J263" s="40" t="str">
        <f aca="false">IF(ISNUMBER(F263),IF(ROUND(F263,2)=ROUND(E263,2),"same","differs"),"n/a")</f>
        <v>same</v>
      </c>
    </row>
    <row r="264" customFormat="false" ht="15" hidden="false" customHeight="false" outlineLevel="0" collapsed="false">
      <c r="B264" s="44" t="n">
        <v>257</v>
      </c>
      <c r="C264" s="8" t="s">
        <v>860</v>
      </c>
      <c r="D264" s="8" t="s">
        <v>884</v>
      </c>
      <c r="E264" s="12" t="n">
        <v>0.03</v>
      </c>
      <c r="F264" s="60" t="n">
        <f aca="false">Court_Cost!$E$14</f>
        <v>0.03</v>
      </c>
      <c r="G264" s="58" t="n">
        <f aca="false">IF(ISNUMBER(F264),F264-E264,"n/a")</f>
        <v>0</v>
      </c>
      <c r="H264" s="59" t="n">
        <v>0.000500001</v>
      </c>
      <c r="I264" s="40" t="str">
        <f aca="false">IF(ISNUMBER(F264),IF(ABS(F264-E264)&lt;=H264,"PASS","FAIL"),"FAIL")</f>
        <v>PASS</v>
      </c>
      <c r="J264" s="40" t="str">
        <f aca="false">IF(ISNUMBER(F264),IF(ROUND(F264,3)=ROUND(E264,3),"same","differs"),"n/a")</f>
        <v>same</v>
      </c>
    </row>
    <row r="265" customFormat="false" ht="15" hidden="false" customHeight="false" outlineLevel="0" collapsed="false">
      <c r="B265" s="44" t="n">
        <v>258</v>
      </c>
      <c r="C265" s="8" t="s">
        <v>860</v>
      </c>
      <c r="D265" s="8" t="s">
        <v>885</v>
      </c>
      <c r="E265" s="63" t="n">
        <v>9.45</v>
      </c>
      <c r="F265" s="64" t="n">
        <f aca="false">Court_Cost!$E$16</f>
        <v>9.45</v>
      </c>
      <c r="G265" s="58" t="n">
        <f aca="false">IF(ISNUMBER(F265),F265-E265,"n/a")</f>
        <v>0</v>
      </c>
      <c r="H265" s="59" t="n">
        <v>0.000500001</v>
      </c>
      <c r="I265" s="40" t="str">
        <f aca="false">IF(ISNUMBER(F265),IF(ABS(F265-E265)&lt;=H265,"PASS","FAIL"),"FAIL")</f>
        <v>PASS</v>
      </c>
      <c r="J265" s="40" t="str">
        <f aca="false">IF(ISNUMBER(F265),IF(ROUND(F265,3)=ROUND(E265,3),"same","differs"),"n/a")</f>
        <v>same</v>
      </c>
    </row>
    <row r="266" customFormat="false" ht="15" hidden="false" customHeight="false" outlineLevel="0" collapsed="false">
      <c r="B266" s="44" t="n">
        <v>259</v>
      </c>
      <c r="C266" s="8" t="s">
        <v>860</v>
      </c>
      <c r="D266" s="8" t="s">
        <v>886</v>
      </c>
      <c r="E266" s="66" t="n">
        <v>66.15</v>
      </c>
      <c r="F266" s="67" t="n">
        <f aca="false">Court_Cost!$E$17</f>
        <v>66.15</v>
      </c>
      <c r="G266" s="58" t="n">
        <f aca="false">IF(ISNUMBER(F266),F266-E266,"n/a")</f>
        <v>0</v>
      </c>
      <c r="H266" s="59" t="n">
        <v>0.005000001</v>
      </c>
      <c r="I266" s="40" t="str">
        <f aca="false">IF(ISNUMBER(F266),IF(ABS(F266-E266)&lt;=H266,"PASS","FAIL"),"FAIL")</f>
        <v>PASS</v>
      </c>
      <c r="J266" s="40" t="str">
        <f aca="false">IF(ISNUMBER(F266),IF(ROUND(F266,2)=ROUND(E266,2),"same","differs"),"n/a")</f>
        <v>same</v>
      </c>
    </row>
    <row r="267" customFormat="false" ht="15" hidden="false" customHeight="false" outlineLevel="0" collapsed="false">
      <c r="B267" s="44" t="n">
        <v>260</v>
      </c>
      <c r="C267" s="8" t="s">
        <v>860</v>
      </c>
      <c r="D267" s="8" t="s">
        <v>887</v>
      </c>
      <c r="E267" s="56" t="n">
        <v>179.1</v>
      </c>
      <c r="F267" s="57" t="n">
        <f aca="false">Court_Cost!$E$18</f>
        <v>179.13125</v>
      </c>
      <c r="G267" s="58" t="n">
        <f aca="false">IF(ISNUMBER(F267),F267-E267,"n/a")</f>
        <v>0.03125</v>
      </c>
      <c r="H267" s="59" t="n">
        <v>0.050000001</v>
      </c>
      <c r="I267" s="40" t="str">
        <f aca="false">IF(ISNUMBER(F267),IF(ABS(F267-E267)&lt;=H267,"PASS","FAIL"),"FAIL")</f>
        <v>PASS</v>
      </c>
      <c r="J267" s="40" t="str">
        <f aca="false">IF(ISNUMBER(F267),IF(ROUND(F267,1)=ROUND(E267,1),"same","differs"),"n/a")</f>
        <v>same</v>
      </c>
    </row>
    <row r="268" customFormat="false" ht="15" hidden="false" customHeight="false" outlineLevel="0" collapsed="false">
      <c r="B268" s="44" t="n">
        <v>261</v>
      </c>
      <c r="C268" s="8" t="s">
        <v>860</v>
      </c>
      <c r="D268" s="8" t="s">
        <v>481</v>
      </c>
      <c r="E268" s="56" t="n">
        <v>115.7</v>
      </c>
      <c r="F268" s="57" t="n">
        <f aca="false">Court_Cost!$C$21</f>
        <v>115.73625</v>
      </c>
      <c r="G268" s="58" t="n">
        <f aca="false">IF(ISNUMBER(F268),F268-E268,"n/a")</f>
        <v>0.0362499999999812</v>
      </c>
      <c r="H268" s="59" t="n">
        <v>0.050000001</v>
      </c>
      <c r="I268" s="40" t="str">
        <f aca="false">IF(ISNUMBER(F268),IF(ABS(F268-E268)&lt;=H268,"PASS","FAIL"),"FAIL")</f>
        <v>PASS</v>
      </c>
      <c r="J268" s="40" t="str">
        <f aca="false">IF(ISNUMBER(F268),IF(ROUND(F268,1)=ROUND(E268,1),"same","differs"),"n/a")</f>
        <v>same</v>
      </c>
    </row>
    <row r="269" customFormat="false" ht="15" hidden="false" customHeight="false" outlineLevel="0" collapsed="false">
      <c r="B269" s="44" t="n">
        <v>262</v>
      </c>
      <c r="C269" s="8" t="s">
        <v>860</v>
      </c>
      <c r="D269" s="8" t="s">
        <v>888</v>
      </c>
      <c r="E269" s="12" t="n">
        <v>0.121</v>
      </c>
      <c r="F269" s="60" t="n">
        <f aca="false">Court_Cost!$C$22</f>
        <v>0.120541871945849</v>
      </c>
      <c r="G269" s="58" t="n">
        <f aca="false">IF(ISNUMBER(F269),F269-E269,"n/a")</f>
        <v>-0.000458128054151158</v>
      </c>
      <c r="H269" s="59" t="n">
        <v>0.000500001</v>
      </c>
      <c r="I269" s="40" t="str">
        <f aca="false">IF(ISNUMBER(F269),IF(ABS(F269-E269)&lt;=H269,"PASS","FAIL"),"FAIL")</f>
        <v>PASS</v>
      </c>
      <c r="J269" s="40" t="str">
        <f aca="false">IF(ISNUMBER(F269),IF(ROUND(F269,3)=ROUND(E269,3),"same","differs"),"n/a")</f>
        <v>same</v>
      </c>
    </row>
    <row r="270" customFormat="false" ht="15" hidden="false" customHeight="false" outlineLevel="0" collapsed="false">
      <c r="B270" s="44" t="n">
        <v>263</v>
      </c>
      <c r="C270" s="8" t="s">
        <v>860</v>
      </c>
      <c r="D270" s="8" t="s">
        <v>889</v>
      </c>
      <c r="E270" s="56" t="n">
        <v>67.5</v>
      </c>
      <c r="F270" s="57" t="n">
        <f aca="false">Court_Cost!$F$7</f>
        <v>67.5</v>
      </c>
      <c r="G270" s="58" t="n">
        <f aca="false">IF(ISNUMBER(F270),F270-E270,"n/a")</f>
        <v>0</v>
      </c>
      <c r="H270" s="59" t="n">
        <v>0.050000001</v>
      </c>
      <c r="I270" s="40" t="str">
        <f aca="false">IF(ISNUMBER(F270),IF(ABS(F270-E270)&lt;=H270,"PASS","FAIL"),"FAIL")</f>
        <v>PASS</v>
      </c>
      <c r="J270" s="40" t="str">
        <f aca="false">IF(ISNUMBER(F270),IF(ROUND(F270,1)=ROUND(E270,1),"same","differs"),"n/a")</f>
        <v>same</v>
      </c>
    </row>
    <row r="271" customFormat="false" ht="15" hidden="false" customHeight="false" outlineLevel="0" collapsed="false">
      <c r="B271" s="44" t="n">
        <v>264</v>
      </c>
      <c r="C271" s="8" t="s">
        <v>860</v>
      </c>
      <c r="D271" s="8" t="s">
        <v>890</v>
      </c>
      <c r="E271" s="65" t="n">
        <v>0.58</v>
      </c>
      <c r="F271" s="38" t="n">
        <f aca="false">Court_Cost!$C$23</f>
        <v>0.583222629038007</v>
      </c>
      <c r="G271" s="58" t="n">
        <f aca="false">IF(ISNUMBER(F271),F271-E271,"n/a")</f>
        <v>0.00322262903800674</v>
      </c>
      <c r="H271" s="59" t="n">
        <v>0.005000001</v>
      </c>
      <c r="I271" s="40" t="str">
        <f aca="false">IF(ISNUMBER(F271),IF(ABS(F271-E271)&lt;=H271,"PASS","FAIL"),"FAIL")</f>
        <v>PASS</v>
      </c>
      <c r="J271" s="40" t="str">
        <f aca="false">IF(ISNUMBER(F271),IF(ROUND(F271,2)=ROUND(E271,2),"same","differs"),"n/a")</f>
        <v>same</v>
      </c>
    </row>
    <row r="272" customFormat="false" ht="15" hidden="false" customHeight="false" outlineLevel="0" collapsed="false">
      <c r="B272" s="44" t="n">
        <v>265</v>
      </c>
      <c r="C272" s="8" t="s">
        <v>860</v>
      </c>
      <c r="D272" s="8" t="s">
        <v>891</v>
      </c>
      <c r="E272" s="56" t="n">
        <v>44.1</v>
      </c>
      <c r="F272" s="57" t="n">
        <f aca="false">Court_Cost!$F$17</f>
        <v>44.1</v>
      </c>
      <c r="G272" s="58" t="n">
        <f aca="false">IF(ISNUMBER(F272),F272-E272,"n/a")</f>
        <v>0</v>
      </c>
      <c r="H272" s="59" t="n">
        <v>0.050000001</v>
      </c>
      <c r="I272" s="40" t="str">
        <f aca="false">IF(ISNUMBER(F272),IF(ABS(F272-E272)&lt;=H272,"PASS","FAIL"),"FAIL")</f>
        <v>PASS</v>
      </c>
      <c r="J272" s="40" t="str">
        <f aca="false">IF(ISNUMBER(F272),IF(ROUND(F272,1)=ROUND(E272,1),"same","differs"),"n/a")</f>
        <v>same</v>
      </c>
    </row>
    <row r="273" customFormat="false" ht="15" hidden="false" customHeight="false" outlineLevel="0" collapsed="false">
      <c r="B273" s="44" t="n">
        <v>266</v>
      </c>
      <c r="C273" s="8" t="s">
        <v>860</v>
      </c>
      <c r="D273" s="8" t="s">
        <v>892</v>
      </c>
      <c r="E273" s="65" t="n">
        <v>0.38</v>
      </c>
      <c r="F273" s="38" t="n">
        <f aca="false">Court_Cost!$C$24</f>
        <v>0.381038784304831</v>
      </c>
      <c r="G273" s="58" t="n">
        <f aca="false">IF(ISNUMBER(F273),F273-E273,"n/a")</f>
        <v>0.00103878430483101</v>
      </c>
      <c r="H273" s="59" t="n">
        <v>0.005000001</v>
      </c>
      <c r="I273" s="40" t="str">
        <f aca="false">IF(ISNUMBER(F273),IF(ABS(F273-E273)&lt;=H273,"PASS","FAIL"),"FAIL")</f>
        <v>PASS</v>
      </c>
      <c r="J273" s="40" t="str">
        <f aca="false">IF(ISNUMBER(F273),IF(ROUND(F273,2)=ROUND(E273,2),"same","differs"),"n/a")</f>
        <v>same</v>
      </c>
    </row>
    <row r="274" customFormat="false" ht="15" hidden="false" customHeight="false" outlineLevel="0" collapsed="false">
      <c r="B274" s="44" t="n">
        <v>267</v>
      </c>
      <c r="C274" s="8" t="s">
        <v>860</v>
      </c>
      <c r="D274" s="8" t="s">
        <v>893</v>
      </c>
      <c r="E274" s="66" t="n">
        <v>4.14</v>
      </c>
      <c r="F274" s="67" t="n">
        <f aca="false">Court_Cost!$C$25</f>
        <v>4.13625</v>
      </c>
      <c r="G274" s="58" t="n">
        <f aca="false">IF(ISNUMBER(F274),F274-E274,"n/a")</f>
        <v>-0.00375000000000014</v>
      </c>
      <c r="H274" s="59" t="n">
        <v>0.005000001</v>
      </c>
      <c r="I274" s="40" t="str">
        <f aca="false">IF(ISNUMBER(F274),IF(ABS(F274-E274)&lt;=H274,"PASS","FAIL"),"FAIL")</f>
        <v>PASS</v>
      </c>
      <c r="J274" s="40" t="str">
        <f aca="false">IF(ISNUMBER(F274),IF(ROUND(F274,2)=ROUND(E274,2),"same","differs"),"n/a")</f>
        <v>same</v>
      </c>
    </row>
    <row r="275" customFormat="false" ht="15" hidden="false" customHeight="false" outlineLevel="0" collapsed="false">
      <c r="B275" s="44" t="n">
        <v>268</v>
      </c>
      <c r="C275" s="8" t="s">
        <v>860</v>
      </c>
      <c r="D275" s="8" t="s">
        <v>894</v>
      </c>
      <c r="E275" s="56" t="n">
        <v>24.1</v>
      </c>
      <c r="F275" s="57" t="n">
        <f aca="false">Court_Cost!$C$26</f>
        <v>24.10625</v>
      </c>
      <c r="G275" s="58" t="n">
        <f aca="false">IF(ISNUMBER(F275),F275-E275,"n/a")</f>
        <v>0.00625000000000853</v>
      </c>
      <c r="H275" s="59" t="n">
        <v>0.050000001</v>
      </c>
      <c r="I275" s="40" t="str">
        <f aca="false">IF(ISNUMBER(F275),IF(ABS(F275-E275)&lt;=H275,"PASS","FAIL"),"FAIL")</f>
        <v>PASS</v>
      </c>
      <c r="J275" s="40" t="str">
        <f aca="false">IF(ISNUMBER(F275),IF(ROUND(F275,1)=ROUND(E275,1),"same","differs"),"n/a")</f>
        <v>same</v>
      </c>
    </row>
    <row r="276" customFormat="false" ht="15" hidden="false" customHeight="false" outlineLevel="0" collapsed="false">
      <c r="B276" s="44" t="n">
        <v>269</v>
      </c>
      <c r="C276" s="8" t="s">
        <v>313</v>
      </c>
      <c r="D276" s="8" t="s">
        <v>512</v>
      </c>
      <c r="E276" s="61" t="n">
        <v>975</v>
      </c>
      <c r="F276" s="62" t="n">
        <f aca="false">Plan!$C$30</f>
        <v>975</v>
      </c>
      <c r="G276" s="58" t="n">
        <f aca="false">IF(ISNUMBER(F276),F276-E276,"n/a")</f>
        <v>0</v>
      </c>
      <c r="H276" s="59" t="n">
        <v>0.500000001</v>
      </c>
      <c r="I276" s="40" t="str">
        <f aca="false">IF(ISNUMBER(F276),IF(ABS(F276-E276)&lt;=H276,"PASS","FAIL"),"FAIL")</f>
        <v>PASS</v>
      </c>
      <c r="J276" s="40" t="str">
        <f aca="false">IF(ISNUMBER(F276),IF(ROUND(F276,0)=ROUND(E276,0),"same","differs"),"n/a")</f>
        <v>same</v>
      </c>
    </row>
    <row r="277" customFormat="false" ht="15" hidden="false" customHeight="false" outlineLevel="0" collapsed="false">
      <c r="B277" s="44" t="n">
        <v>270</v>
      </c>
      <c r="C277" s="8" t="s">
        <v>313</v>
      </c>
      <c r="D277" s="8" t="s">
        <v>188</v>
      </c>
      <c r="E277" s="61" t="n">
        <v>50</v>
      </c>
      <c r="F277" s="62" t="n">
        <f aca="false">Plan!$C$13</f>
        <v>50</v>
      </c>
      <c r="G277" s="58" t="n">
        <f aca="false">IF(ISNUMBER(F277),F277-E277,"n/a")</f>
        <v>0</v>
      </c>
      <c r="H277" s="59" t="n">
        <v>0.500000001</v>
      </c>
      <c r="I277" s="40" t="str">
        <f aca="false">IF(ISNUMBER(F277),IF(ABS(F277-E277)&lt;=H277,"PASS","FAIL"),"FAIL")</f>
        <v>PASS</v>
      </c>
      <c r="J277" s="40" t="str">
        <f aca="false">IF(ISNUMBER(F277),IF(ROUND(F277,0)=ROUND(E277,0),"same","differs"),"n/a")</f>
        <v>same</v>
      </c>
    </row>
    <row r="278" customFormat="false" ht="15" hidden="false" customHeight="false" outlineLevel="0" collapsed="false">
      <c r="B278" s="44" t="n">
        <v>271</v>
      </c>
      <c r="C278" s="8" t="s">
        <v>313</v>
      </c>
      <c r="D278" s="8" t="s">
        <v>895</v>
      </c>
      <c r="E278" s="66" t="n">
        <v>22.54</v>
      </c>
      <c r="F278" s="67" t="n">
        <f aca="false">Plan!$C$14</f>
        <v>22.5442307692307</v>
      </c>
      <c r="G278" s="58" t="n">
        <f aca="false">IF(ISNUMBER(F278),F278-E278,"n/a")</f>
        <v>0.00423076923068066</v>
      </c>
      <c r="H278" s="59" t="n">
        <v>0.005000001</v>
      </c>
      <c r="I278" s="40" t="str">
        <f aca="false">IF(ISNUMBER(F278),IF(ABS(F278-E278)&lt;=H278,"PASS","FAIL"),"FAIL")</f>
        <v>PASS</v>
      </c>
      <c r="J278" s="40" t="str">
        <f aca="false">IF(ISNUMBER(F278),IF(ROUND(F278,2)=ROUND(E278,2),"same","differs"),"n/a")</f>
        <v>same</v>
      </c>
    </row>
    <row r="279" customFormat="false" ht="15" hidden="false" customHeight="false" outlineLevel="0" collapsed="false">
      <c r="B279" s="44" t="n">
        <v>272</v>
      </c>
      <c r="C279" s="8" t="s">
        <v>313</v>
      </c>
      <c r="D279" s="8" t="s">
        <v>896</v>
      </c>
      <c r="E279" s="61" t="n">
        <v>75</v>
      </c>
      <c r="F279" s="62" t="n">
        <f aca="false">Plan!$C$17</f>
        <v>75</v>
      </c>
      <c r="G279" s="58" t="n">
        <f aca="false">IF(ISNUMBER(F279),F279-E279,"n/a")</f>
        <v>0</v>
      </c>
      <c r="H279" s="59" t="n">
        <v>0.500000001</v>
      </c>
      <c r="I279" s="40" t="str">
        <f aca="false">IF(ISNUMBER(F279),IF(ABS(F279-E279)&lt;=H279,"PASS","FAIL"),"FAIL")</f>
        <v>PASS</v>
      </c>
      <c r="J279" s="40" t="str">
        <f aca="false">IF(ISNUMBER(F279),IF(ROUND(F279,0)=ROUND(E279,0),"same","differs"),"n/a")</f>
        <v>same</v>
      </c>
    </row>
    <row r="280" customFormat="false" ht="15" hidden="false" customHeight="false" outlineLevel="0" collapsed="false">
      <c r="B280" s="44" t="n">
        <v>273</v>
      </c>
      <c r="C280" s="8" t="s">
        <v>313</v>
      </c>
      <c r="D280" s="8" t="s">
        <v>897</v>
      </c>
      <c r="E280" s="66" t="n">
        <v>19.85</v>
      </c>
      <c r="F280" s="67" t="n">
        <f aca="false">Plan!$C$15</f>
        <v>19.8507692307693</v>
      </c>
      <c r="G280" s="58" t="n">
        <f aca="false">IF(ISNUMBER(F280),F280-E280,"n/a")</f>
        <v>0.000769230769314788</v>
      </c>
      <c r="H280" s="59" t="n">
        <v>0.005000001</v>
      </c>
      <c r="I280" s="40" t="str">
        <f aca="false">IF(ISNUMBER(F280),IF(ABS(F280-E280)&lt;=H280,"PASS","FAIL"),"FAIL")</f>
        <v>PASS</v>
      </c>
      <c r="J280" s="40" t="str">
        <f aca="false">IF(ISNUMBER(F280),IF(ROUND(F280,2)=ROUND(E280,2),"same","differs"),"n/a")</f>
        <v>same</v>
      </c>
    </row>
    <row r="281" customFormat="false" ht="15" hidden="false" customHeight="false" outlineLevel="0" collapsed="false">
      <c r="B281" s="44" t="n">
        <v>274</v>
      </c>
      <c r="C281" s="8" t="s">
        <v>313</v>
      </c>
      <c r="D281" s="8" t="s">
        <v>898</v>
      </c>
      <c r="E281" s="66" t="n">
        <v>92.4</v>
      </c>
      <c r="F281" s="67" t="n">
        <f aca="false">Plan!$C$12</f>
        <v>92.395</v>
      </c>
      <c r="G281" s="58" t="n">
        <f aca="false">IF(ISNUMBER(F281),F281-E281,"n/a")</f>
        <v>-0.00500000000000966</v>
      </c>
      <c r="H281" s="59" t="n">
        <v>0.005000001</v>
      </c>
      <c r="I281" s="40" t="str">
        <f aca="false">IF(ISNUMBER(F281),IF(ABS(F281-E281)&lt;=H281,"PASS","FAIL"),"FAIL")</f>
        <v>PASS</v>
      </c>
      <c r="J281" s="40" t="str">
        <f aca="false">IF(ISNUMBER(F281),IF(ROUND(F281,2)=ROUND(E281,2),"same","differs"),"n/a")</f>
        <v>same</v>
      </c>
    </row>
    <row r="282" customFormat="false" ht="15" hidden="false" customHeight="false" outlineLevel="0" collapsed="false">
      <c r="B282" s="44" t="n">
        <v>275</v>
      </c>
      <c r="C282" s="8" t="s">
        <v>313</v>
      </c>
      <c r="D282" s="8" t="s">
        <v>899</v>
      </c>
      <c r="E282" s="66" t="n">
        <v>92.4</v>
      </c>
      <c r="F282" s="67" t="n">
        <f aca="false">Plan!$C$16</f>
        <v>92.395</v>
      </c>
      <c r="G282" s="58" t="n">
        <f aca="false">IF(ISNUMBER(F282),F282-E282,"n/a")</f>
        <v>-0.00500000000000966</v>
      </c>
      <c r="H282" s="59" t="n">
        <v>0.005000001</v>
      </c>
      <c r="I282" s="40" t="str">
        <f aca="false">IF(ISNUMBER(F282),IF(ABS(F282-E282)&lt;=H282,"PASS","FAIL"),"FAIL")</f>
        <v>PASS</v>
      </c>
      <c r="J282" s="40" t="str">
        <f aca="false">IF(ISNUMBER(F282),IF(ROUND(F282,2)=ROUND(E282,2),"same","differs"),"n/a")</f>
        <v>same</v>
      </c>
    </row>
    <row r="283" customFormat="false" ht="15" hidden="false" customHeight="false" outlineLevel="0" collapsed="false">
      <c r="B283" s="44" t="n">
        <v>276</v>
      </c>
      <c r="C283" s="8" t="s">
        <v>313</v>
      </c>
      <c r="D283" s="8" t="s">
        <v>900</v>
      </c>
      <c r="E283" s="66" t="n">
        <v>1.4</v>
      </c>
      <c r="F283" s="67" t="n">
        <f aca="false">Plan!$C$8</f>
        <v>1.395</v>
      </c>
      <c r="G283" s="58" t="n">
        <f aca="false">IF(ISNUMBER(F283),F283-E283,"n/a")</f>
        <v>-0.00500000000000012</v>
      </c>
      <c r="H283" s="59" t="n">
        <v>0.005000001</v>
      </c>
      <c r="I283" s="40" t="str">
        <f aca="false">IF(ISNUMBER(F283),IF(ABS(F283-E283)&lt;=H283,"PASS","FAIL"),"FAIL")</f>
        <v>PASS</v>
      </c>
      <c r="J283" s="40" t="str">
        <f aca="false">IF(ISNUMBER(F283),IF(ROUND(F283,2)=ROUND(E283,2),"same","differs"),"n/a")</f>
        <v>same</v>
      </c>
    </row>
    <row r="284" customFormat="false" ht="15" hidden="false" customHeight="false" outlineLevel="0" collapsed="false">
      <c r="B284" s="44" t="n">
        <v>277</v>
      </c>
      <c r="C284" s="8" t="s">
        <v>313</v>
      </c>
      <c r="D284" s="8" t="s">
        <v>901</v>
      </c>
      <c r="E284" s="56" t="n">
        <v>14</v>
      </c>
      <c r="F284" s="57" t="n">
        <f aca="false">Plan!$C$9</f>
        <v>14</v>
      </c>
      <c r="G284" s="58" t="n">
        <f aca="false">IF(ISNUMBER(F284),F284-E284,"n/a")</f>
        <v>0</v>
      </c>
      <c r="H284" s="59" t="n">
        <v>0.050000001</v>
      </c>
      <c r="I284" s="40" t="str">
        <f aca="false">IF(ISNUMBER(F284),IF(ABS(F284-E284)&lt;=H284,"PASS","FAIL"),"FAIL")</f>
        <v>PASS</v>
      </c>
      <c r="J284" s="40" t="str">
        <f aca="false">IF(ISNUMBER(F284),IF(ROUND(F284,1)=ROUND(E284,1),"same","differs"),"n/a")</f>
        <v>same</v>
      </c>
    </row>
    <row r="285" customFormat="false" ht="15" hidden="false" customHeight="false" outlineLevel="0" collapsed="false">
      <c r="B285" s="44" t="n">
        <v>278</v>
      </c>
      <c r="C285" s="8" t="s">
        <v>313</v>
      </c>
      <c r="D285" s="8" t="s">
        <v>902</v>
      </c>
      <c r="E285" s="61" t="n">
        <v>395</v>
      </c>
      <c r="F285" s="62" t="n">
        <f aca="false">Plan!$C$24</f>
        <v>395</v>
      </c>
      <c r="G285" s="58" t="n">
        <f aca="false">IF(ISNUMBER(F285),F285-E285,"n/a")</f>
        <v>0</v>
      </c>
      <c r="H285" s="59" t="n">
        <v>0.500000001</v>
      </c>
      <c r="I285" s="40" t="str">
        <f aca="false">IF(ISNUMBER(F285),IF(ABS(F285-E285)&lt;=H285,"PASS","FAIL"),"FAIL")</f>
        <v>PASS</v>
      </c>
      <c r="J285" s="40" t="str">
        <f aca="false">IF(ISNUMBER(F285),IF(ROUND(F285,0)=ROUND(E285,0),"same","differs"),"n/a")</f>
        <v>same</v>
      </c>
    </row>
    <row r="286" customFormat="false" ht="15" hidden="false" customHeight="false" outlineLevel="0" collapsed="false">
      <c r="B286" s="44" t="n">
        <v>279</v>
      </c>
      <c r="C286" s="8" t="s">
        <v>313</v>
      </c>
      <c r="D286" s="8" t="s">
        <v>613</v>
      </c>
      <c r="E286" s="66" t="n">
        <v>414.85</v>
      </c>
      <c r="F286" s="67" t="n">
        <f aca="false">Plan!$C$25</f>
        <v>414.850769230769</v>
      </c>
      <c r="G286" s="58" t="n">
        <f aca="false">IF(ISNUMBER(F286),F286-E286,"n/a")</f>
        <v>0.00076923076926505</v>
      </c>
      <c r="H286" s="59" t="n">
        <v>0.005000001</v>
      </c>
      <c r="I286" s="40" t="str">
        <f aca="false">IF(ISNUMBER(F286),IF(ABS(F286-E286)&lt;=H286,"PASS","FAIL"),"FAIL")</f>
        <v>PASS</v>
      </c>
      <c r="J286" s="40" t="str">
        <f aca="false">IF(ISNUMBER(F286),IF(ROUND(F286,2)=ROUND(E286,2),"same","differs"),"n/a")</f>
        <v>same</v>
      </c>
    </row>
    <row r="287" customFormat="false" ht="15" hidden="false" customHeight="false" outlineLevel="0" collapsed="false">
      <c r="B287" s="44" t="n">
        <v>280</v>
      </c>
      <c r="C287" s="8" t="s">
        <v>313</v>
      </c>
      <c r="D287" s="8" t="s">
        <v>510</v>
      </c>
      <c r="E287" s="66" t="n">
        <v>3.01</v>
      </c>
      <c r="F287" s="67" t="n">
        <f aca="false">Plan!$C$26</f>
        <v>3.00616499442586</v>
      </c>
      <c r="G287" s="58" t="n">
        <f aca="false">IF(ISNUMBER(F287),F287-E287,"n/a")</f>
        <v>-0.00383500557413541</v>
      </c>
      <c r="H287" s="59" t="n">
        <v>0.005000001</v>
      </c>
      <c r="I287" s="40" t="str">
        <f aca="false">IF(ISNUMBER(F287),IF(ABS(F287-E287)&lt;=H287,"PASS","FAIL"),"FAIL")</f>
        <v>PASS</v>
      </c>
      <c r="J287" s="40" t="str">
        <f aca="false">IF(ISNUMBER(F287),IF(ROUND(F287,2)=ROUND(E287,2),"same","differs"),"n/a")</f>
        <v>same</v>
      </c>
    </row>
    <row r="288" customFormat="false" ht="15" hidden="false" customHeight="false" outlineLevel="0" collapsed="false">
      <c r="B288" s="44" t="n">
        <v>281</v>
      </c>
      <c r="C288" s="8" t="s">
        <v>313</v>
      </c>
      <c r="D288" s="8" t="s">
        <v>903</v>
      </c>
      <c r="E288" s="61" t="n">
        <v>138</v>
      </c>
      <c r="F288" s="62" t="n">
        <f aca="false">Plan!$C$23</f>
        <v>138</v>
      </c>
      <c r="G288" s="58" t="n">
        <f aca="false">IF(ISNUMBER(F288),F288-E288,"n/a")</f>
        <v>0</v>
      </c>
      <c r="H288" s="59" t="n">
        <v>0.500000001</v>
      </c>
      <c r="I288" s="40" t="str">
        <f aca="false">IF(ISNUMBER(F288),IF(ABS(F288-E288)&lt;=H288,"PASS","FAIL"),"FAIL")</f>
        <v>PASS</v>
      </c>
      <c r="J288" s="40" t="str">
        <f aca="false">IF(ISNUMBER(F288),IF(ROUND(F288,0)=ROUND(E288,0),"same","differs"),"n/a")</f>
        <v>same</v>
      </c>
    </row>
    <row r="289" customFormat="false" ht="15" hidden="false" customHeight="false" outlineLevel="0" collapsed="false">
      <c r="B289" s="44" t="n">
        <v>282</v>
      </c>
      <c r="C289" s="8" t="s">
        <v>313</v>
      </c>
      <c r="D289" s="8" t="s">
        <v>904</v>
      </c>
      <c r="E289" s="66" t="n">
        <v>560.15</v>
      </c>
      <c r="F289" s="67" t="n">
        <f aca="false">Plan!$C$31</f>
        <v>560.149230769231</v>
      </c>
      <c r="G289" s="58" t="n">
        <f aca="false">IF(ISNUMBER(F289),F289-E289,"n/a")</f>
        <v>-0.00076923076926505</v>
      </c>
      <c r="H289" s="59" t="n">
        <v>0.005000001</v>
      </c>
      <c r="I289" s="40" t="str">
        <f aca="false">IF(ISNUMBER(F289),IF(ABS(F289-E289)&lt;=H289,"PASS","FAIL"),"FAIL")</f>
        <v>PASS</v>
      </c>
      <c r="J289" s="40" t="str">
        <f aca="false">IF(ISNUMBER(F289),IF(ROUND(F289,2)=ROUND(E289,2),"same","differs"),"n/a")</f>
        <v>same</v>
      </c>
    </row>
    <row r="290" customFormat="false" ht="15" hidden="false" customHeight="false" outlineLevel="0" collapsed="false">
      <c r="B290" s="44" t="n">
        <v>283</v>
      </c>
      <c r="C290" s="8" t="s">
        <v>313</v>
      </c>
      <c r="D290" s="8" t="s">
        <v>905</v>
      </c>
      <c r="E290" s="66" t="n">
        <v>510.15</v>
      </c>
      <c r="F290" s="67" t="n">
        <f aca="false">Plan!$C$32</f>
        <v>510.149230769231</v>
      </c>
      <c r="G290" s="58" t="n">
        <f aca="false">IF(ISNUMBER(F290),F290-E290,"n/a")</f>
        <v>-0.00076923076926505</v>
      </c>
      <c r="H290" s="59" t="n">
        <v>0.005000001</v>
      </c>
      <c r="I290" s="40" t="str">
        <f aca="false">IF(ISNUMBER(F290),IF(ABS(F290-E290)&lt;=H290,"PASS","FAIL"),"FAIL")</f>
        <v>PASS</v>
      </c>
      <c r="J290" s="40" t="str">
        <f aca="false">IF(ISNUMBER(F290),IF(ROUND(F290,2)=ROUND(E290,2),"same","differs"),"n/a")</f>
        <v>same</v>
      </c>
    </row>
    <row r="291" customFormat="false" ht="15" hidden="false" customHeight="false" outlineLevel="0" collapsed="false">
      <c r="B291" s="44" t="n">
        <v>284</v>
      </c>
      <c r="C291" s="8" t="s">
        <v>313</v>
      </c>
      <c r="D291" s="8" t="s">
        <v>906</v>
      </c>
      <c r="E291" s="66" t="n">
        <v>456.95</v>
      </c>
      <c r="F291" s="67" t="n">
        <f aca="false">Plan!$C$35</f>
        <v>456.953831171394</v>
      </c>
      <c r="G291" s="58" t="n">
        <f aca="false">IF(ISNUMBER(F291),F291-E291,"n/a")</f>
        <v>0.00383117139352862</v>
      </c>
      <c r="H291" s="59" t="n">
        <v>0.005000001</v>
      </c>
      <c r="I291" s="40" t="str">
        <f aca="false">IF(ISNUMBER(F291),IF(ABS(F291-E291)&lt;=H291,"PASS","FAIL"),"FAIL")</f>
        <v>PASS</v>
      </c>
      <c r="J291" s="40" t="str">
        <f aca="false">IF(ISNUMBER(F291),IF(ROUND(F291,2)=ROUND(E291,2),"same","differs"),"n/a")</f>
        <v>same</v>
      </c>
    </row>
    <row r="292" customFormat="false" ht="15" hidden="false" customHeight="false" outlineLevel="0" collapsed="false">
      <c r="B292" s="44" t="n">
        <v>285</v>
      </c>
      <c r="C292" s="8" t="s">
        <v>313</v>
      </c>
      <c r="D292" s="8" t="s">
        <v>907</v>
      </c>
      <c r="E292" s="9" t="n">
        <v>0.8957</v>
      </c>
      <c r="F292" s="45" t="n">
        <f aca="false">Plan!$C$37</f>
        <v>0.89572580651033</v>
      </c>
      <c r="G292" s="58" t="n">
        <f aca="false">IF(ISNUMBER(F292),F292-E292,"n/a")</f>
        <v>2.58065103297955E-005</v>
      </c>
      <c r="H292" s="59" t="n">
        <v>5.0001E-005</v>
      </c>
      <c r="I292" s="40" t="str">
        <f aca="false">IF(ISNUMBER(F292),IF(ABS(F292-E292)&lt;=H292,"PASS","FAIL"),"FAIL")</f>
        <v>PASS</v>
      </c>
      <c r="J292" s="40" t="str">
        <f aca="false">IF(ISNUMBER(F292),IF(ROUND(F292,4)=ROUND(E292,4),"same","differs"),"n/a")</f>
        <v>same</v>
      </c>
    </row>
    <row r="293" customFormat="false" ht="15" hidden="false" customHeight="false" outlineLevel="0" collapsed="false">
      <c r="B293" s="44" t="n">
        <v>286</v>
      </c>
      <c r="C293" s="8" t="s">
        <v>313</v>
      </c>
      <c r="D293" s="8" t="s">
        <v>908</v>
      </c>
      <c r="E293" s="66" t="n">
        <v>53.2</v>
      </c>
      <c r="F293" s="67" t="n">
        <f aca="false">Plan!$C$36</f>
        <v>53.1953995978372</v>
      </c>
      <c r="G293" s="58" t="n">
        <f aca="false">IF(ISNUMBER(F293),F293-E293,"n/a")</f>
        <v>-0.0046004021628292</v>
      </c>
      <c r="H293" s="59" t="n">
        <v>0.005000001</v>
      </c>
      <c r="I293" s="40" t="str">
        <f aca="false">IF(ISNUMBER(F293),IF(ABS(F293-E293)&lt;=H293,"PASS","FAIL"),"FAIL")</f>
        <v>PASS</v>
      </c>
      <c r="J293" s="40" t="str">
        <f aca="false">IF(ISNUMBER(F293),IF(ROUND(F293,2)=ROUND(E293,2),"same","differs"),"n/a")</f>
        <v>same</v>
      </c>
    </row>
    <row r="294" customFormat="false" ht="15" hidden="false" customHeight="false" outlineLevel="0" collapsed="false">
      <c r="B294" s="44" t="n">
        <v>287</v>
      </c>
      <c r="C294" s="8" t="s">
        <v>313</v>
      </c>
      <c r="D294" s="8" t="s">
        <v>909</v>
      </c>
      <c r="E294" s="9" t="n">
        <v>0.1043</v>
      </c>
      <c r="F294" s="45" t="n">
        <f aca="false">Plan!$C$38</f>
        <v>0.10427419348967</v>
      </c>
      <c r="G294" s="58" t="n">
        <f aca="false">IF(ISNUMBER(F294),F294-E294,"n/a")</f>
        <v>-2.58065103298094E-005</v>
      </c>
      <c r="H294" s="59" t="n">
        <v>5.0001E-005</v>
      </c>
      <c r="I294" s="40" t="str">
        <f aca="false">IF(ISNUMBER(F294),IF(ABS(F294-E294)&lt;=H294,"PASS","FAIL"),"FAIL")</f>
        <v>PASS</v>
      </c>
      <c r="J294" s="40" t="str">
        <f aca="false">IF(ISNUMBER(F294),IF(ROUND(F294,4)=ROUND(E294,4),"same","differs"),"n/a")</f>
        <v>same</v>
      </c>
    </row>
    <row r="295" customFormat="false" ht="15" hidden="false" customHeight="false" outlineLevel="0" collapsed="false">
      <c r="B295" s="44" t="n">
        <v>288</v>
      </c>
      <c r="C295" s="8" t="s">
        <v>313</v>
      </c>
      <c r="D295" s="8" t="s">
        <v>910</v>
      </c>
      <c r="E295" s="66" t="n">
        <v>510.15</v>
      </c>
      <c r="F295" s="67" t="n">
        <f aca="false">Plan!$C$43</f>
        <v>510.149230769231</v>
      </c>
      <c r="G295" s="58" t="n">
        <f aca="false">IF(ISNUMBER(F295),F295-E295,"n/a")</f>
        <v>-0.00076923076926505</v>
      </c>
      <c r="H295" s="59" t="n">
        <v>0.005000001</v>
      </c>
      <c r="I295" s="40" t="str">
        <f aca="false">IF(ISNUMBER(F295),IF(ABS(F295-E295)&lt;=H295,"PASS","FAIL"),"FAIL")</f>
        <v>PASS</v>
      </c>
      <c r="J295" s="40" t="str">
        <f aca="false">IF(ISNUMBER(F295),IF(ROUND(F295,2)=ROUND(E295,2),"same","differs"),"n/a")</f>
        <v>same</v>
      </c>
    </row>
    <row r="296" customFormat="false" ht="15" hidden="false" customHeight="false" outlineLevel="0" collapsed="false">
      <c r="B296" s="44" t="n">
        <v>289</v>
      </c>
      <c r="C296" s="8" t="s">
        <v>313</v>
      </c>
      <c r="D296" s="8" t="s">
        <v>911</v>
      </c>
      <c r="E296" s="66" t="n">
        <v>66.67</v>
      </c>
      <c r="F296" s="67" t="n">
        <f aca="false">Plan!$C$46</f>
        <v>66.6666666666667</v>
      </c>
      <c r="G296" s="58" t="n">
        <f aca="false">IF(ISNUMBER(F296),F296-E296,"n/a")</f>
        <v>-0.0033333333333303</v>
      </c>
      <c r="H296" s="59" t="n">
        <v>0.005000001</v>
      </c>
      <c r="I296" s="40" t="str">
        <f aca="false">IF(ISNUMBER(F296),IF(ABS(F296-E296)&lt;=H296,"PASS","FAIL"),"FAIL")</f>
        <v>PASS</v>
      </c>
      <c r="J296" s="40" t="str">
        <f aca="false">IF(ISNUMBER(F296),IF(ROUND(F296,2)=ROUND(E296,2),"same","differs"),"n/a")</f>
        <v>same</v>
      </c>
    </row>
    <row r="297" customFormat="false" ht="15" hidden="false" customHeight="false" outlineLevel="0" collapsed="false">
      <c r="B297" s="44" t="n">
        <v>290</v>
      </c>
      <c r="C297" s="8" t="s">
        <v>313</v>
      </c>
      <c r="D297" s="8" t="s">
        <v>912</v>
      </c>
      <c r="E297" s="56" t="n">
        <v>5</v>
      </c>
      <c r="F297" s="57" t="n">
        <f aca="false">Plan!$C$47</f>
        <v>5</v>
      </c>
      <c r="G297" s="58" t="n">
        <f aca="false">IF(ISNUMBER(F297),F297-E297,"n/a")</f>
        <v>0</v>
      </c>
      <c r="H297" s="59" t="n">
        <v>0.050000001</v>
      </c>
      <c r="I297" s="40" t="str">
        <f aca="false">IF(ISNUMBER(F297),IF(ABS(F297-E297)&lt;=H297,"PASS","FAIL"),"FAIL")</f>
        <v>PASS</v>
      </c>
      <c r="J297" s="40" t="str">
        <f aca="false">IF(ISNUMBER(F297),IF(ROUND(F297,1)=ROUND(E297,1),"same","differs"),"n/a")</f>
        <v>same</v>
      </c>
    </row>
    <row r="298" customFormat="false" ht="15" hidden="false" customHeight="false" outlineLevel="0" collapsed="false">
      <c r="B298" s="44" t="n">
        <v>291</v>
      </c>
      <c r="C298" s="8" t="s">
        <v>313</v>
      </c>
      <c r="D298" s="8" t="s">
        <v>532</v>
      </c>
      <c r="E298" s="66" t="n">
        <v>581.82</v>
      </c>
      <c r="F298" s="67" t="n">
        <f aca="false">Plan!$C$48</f>
        <v>581.815897435897</v>
      </c>
      <c r="G298" s="58" t="n">
        <f aca="false">IF(ISNUMBER(F298),F298-E298,"n/a")</f>
        <v>-0.00410256410270904</v>
      </c>
      <c r="H298" s="59" t="n">
        <v>0.005000001</v>
      </c>
      <c r="I298" s="40" t="str">
        <f aca="false">IF(ISNUMBER(F298),IF(ABS(F298-E298)&lt;=H298,"PASS","FAIL"),"FAIL")</f>
        <v>PASS</v>
      </c>
      <c r="J298" s="40" t="str">
        <f aca="false">IF(ISNUMBER(F298),IF(ROUND(F298,2)=ROUND(E298,2),"same","differs"),"n/a")</f>
        <v>same</v>
      </c>
    </row>
    <row r="299" customFormat="false" ht="15" hidden="false" customHeight="false" outlineLevel="0" collapsed="false">
      <c r="B299" s="44" t="n">
        <v>292</v>
      </c>
      <c r="C299" s="8" t="s">
        <v>313</v>
      </c>
      <c r="D299" s="8" t="s">
        <v>913</v>
      </c>
      <c r="E299" s="66" t="n">
        <v>50.59</v>
      </c>
      <c r="F299" s="67" t="n">
        <f aca="false">Plan!$C$49</f>
        <v>50.5926867335563</v>
      </c>
      <c r="G299" s="58" t="n">
        <f aca="false">IF(ISNUMBER(F299),F299-E299,"n/a")</f>
        <v>0.00268673355628835</v>
      </c>
      <c r="H299" s="59" t="n">
        <v>0.005000001</v>
      </c>
      <c r="I299" s="40" t="str">
        <f aca="false">IF(ISNUMBER(F299),IF(ABS(F299-E299)&lt;=H299,"PASS","FAIL"),"FAIL")</f>
        <v>PASS</v>
      </c>
      <c r="J299" s="40" t="str">
        <f aca="false">IF(ISNUMBER(F299),IF(ROUND(F299,2)=ROUND(E299,2),"same","differs"),"n/a")</f>
        <v>same</v>
      </c>
    </row>
    <row r="300" customFormat="false" ht="15" hidden="false" customHeight="false" outlineLevel="0" collapsed="false">
      <c r="B300" s="44" t="n">
        <v>293</v>
      </c>
      <c r="C300" s="8" t="s">
        <v>313</v>
      </c>
      <c r="D300" s="8" t="s">
        <v>534</v>
      </c>
      <c r="E300" s="66" t="n">
        <v>632.41</v>
      </c>
      <c r="F300" s="67" t="n">
        <f aca="false">Plan!$C$50</f>
        <v>632.408584169454</v>
      </c>
      <c r="G300" s="58" t="n">
        <f aca="false">IF(ISNUMBER(F300),F300-E300,"n/a")</f>
        <v>-0.00141583054630701</v>
      </c>
      <c r="H300" s="59" t="n">
        <v>0.005000001</v>
      </c>
      <c r="I300" s="40" t="str">
        <f aca="false">IF(ISNUMBER(F300),IF(ABS(F300-E300)&lt;=H300,"PASS","FAIL"),"FAIL")</f>
        <v>PASS</v>
      </c>
      <c r="J300" s="40" t="str">
        <f aca="false">IF(ISNUMBER(F300),IF(ROUND(F300,2)=ROUND(E300,2),"same","differs"),"n/a")</f>
        <v>same</v>
      </c>
    </row>
    <row r="301" customFormat="false" ht="15" hidden="false" customHeight="false" outlineLevel="0" collapsed="false">
      <c r="B301" s="44" t="n">
        <v>294</v>
      </c>
      <c r="C301" s="8" t="s">
        <v>313</v>
      </c>
      <c r="D301" s="8" t="s">
        <v>914</v>
      </c>
      <c r="E301" s="9" t="n">
        <v>0.8067</v>
      </c>
      <c r="F301" s="45" t="n">
        <f aca="false">Plan!$D$43</f>
        <v>0.806676638393853</v>
      </c>
      <c r="G301" s="58" t="n">
        <f aca="false">IF(ISNUMBER(F301),F301-E301,"n/a")</f>
        <v>-2.33616061473541E-005</v>
      </c>
      <c r="H301" s="59" t="n">
        <v>5.0001E-005</v>
      </c>
      <c r="I301" s="40" t="str">
        <f aca="false">IF(ISNUMBER(F301),IF(ABS(F301-E301)&lt;=H301,"PASS","FAIL"),"FAIL")</f>
        <v>PASS</v>
      </c>
      <c r="J301" s="40" t="str">
        <f aca="false">IF(ISNUMBER(F301),IF(ROUND(F301,4)=ROUND(E301,4),"same","differs"),"n/a")</f>
        <v>same</v>
      </c>
    </row>
    <row r="302" customFormat="false" ht="15" hidden="false" customHeight="false" outlineLevel="0" collapsed="false">
      <c r="B302" s="44" t="n">
        <v>295</v>
      </c>
      <c r="C302" s="8" t="s">
        <v>313</v>
      </c>
      <c r="D302" s="8" t="s">
        <v>915</v>
      </c>
      <c r="E302" s="9" t="n">
        <v>0.7226</v>
      </c>
      <c r="F302" s="45" t="n">
        <f aca="false">Plan!$D$44</f>
        <v>0.722561082518375</v>
      </c>
      <c r="G302" s="58" t="n">
        <f aca="false">IF(ISNUMBER(F302),F302-E302,"n/a")</f>
        <v>-3.89174816246563E-005</v>
      </c>
      <c r="H302" s="59" t="n">
        <v>5.0001E-005</v>
      </c>
      <c r="I302" s="40" t="str">
        <f aca="false">IF(ISNUMBER(F302),IF(ABS(F302-E302)&lt;=H302,"PASS","FAIL"),"FAIL")</f>
        <v>PASS</v>
      </c>
      <c r="J302" s="40" t="str">
        <f aca="false">IF(ISNUMBER(F302),IF(ROUND(F302,4)=ROUND(E302,4),"same","differs"),"n/a")</f>
        <v>same</v>
      </c>
    </row>
    <row r="303" customFormat="false" ht="15" hidden="false" customHeight="false" outlineLevel="0" collapsed="false">
      <c r="B303" s="44" t="n">
        <v>296</v>
      </c>
      <c r="C303" s="8" t="s">
        <v>313</v>
      </c>
      <c r="D303" s="8" t="s">
        <v>916</v>
      </c>
      <c r="E303" s="9" t="n">
        <v>0.0841</v>
      </c>
      <c r="F303" s="45" t="n">
        <f aca="false">Plan!$D$45</f>
        <v>0.0841155558754773</v>
      </c>
      <c r="G303" s="58" t="n">
        <f aca="false">IF(ISNUMBER(F303),F303-E303,"n/a")</f>
        <v>1.55558754773022E-005</v>
      </c>
      <c r="H303" s="59" t="n">
        <v>5.0001E-005</v>
      </c>
      <c r="I303" s="40" t="str">
        <f aca="false">IF(ISNUMBER(F303),IF(ABS(F303-E303)&lt;=H303,"PASS","FAIL"),"FAIL")</f>
        <v>PASS</v>
      </c>
      <c r="J303" s="40" t="str">
        <f aca="false">IF(ISNUMBER(F303),IF(ROUND(F303,4)=ROUND(E303,4),"same","differs"),"n/a")</f>
        <v>same</v>
      </c>
    </row>
    <row r="304" customFormat="false" ht="15" hidden="false" customHeight="false" outlineLevel="0" collapsed="false">
      <c r="B304" s="44" t="n">
        <v>297</v>
      </c>
      <c r="C304" s="8" t="s">
        <v>313</v>
      </c>
      <c r="D304" s="8" t="s">
        <v>917</v>
      </c>
      <c r="E304" s="9" t="n">
        <v>0.1054</v>
      </c>
      <c r="F304" s="45" t="n">
        <f aca="false">Plan!$D$46</f>
        <v>0.105417080563858</v>
      </c>
      <c r="G304" s="58" t="n">
        <f aca="false">IF(ISNUMBER(F304),F304-E304,"n/a")</f>
        <v>1.70805638580046E-005</v>
      </c>
      <c r="H304" s="59" t="n">
        <v>5.0001E-005</v>
      </c>
      <c r="I304" s="40" t="str">
        <f aca="false">IF(ISNUMBER(F304),IF(ABS(F304-E304)&lt;=H304,"PASS","FAIL"),"FAIL")</f>
        <v>PASS</v>
      </c>
      <c r="J304" s="40" t="str">
        <f aca="false">IF(ISNUMBER(F304),IF(ROUND(F304,4)=ROUND(E304,4),"same","differs"),"n/a")</f>
        <v>same</v>
      </c>
    </row>
    <row r="305" customFormat="false" ht="15" hidden="false" customHeight="false" outlineLevel="0" collapsed="false">
      <c r="B305" s="44" t="n">
        <v>298</v>
      </c>
      <c r="C305" s="8" t="s">
        <v>313</v>
      </c>
      <c r="D305" s="8" t="s">
        <v>918</v>
      </c>
      <c r="E305" s="9" t="n">
        <v>0.0079</v>
      </c>
      <c r="F305" s="45" t="n">
        <f aca="false">Plan!$D$47</f>
        <v>0.00790628104228935</v>
      </c>
      <c r="G305" s="58" t="n">
        <f aca="false">IF(ISNUMBER(F305),F305-E305,"n/a")</f>
        <v>6.28104228934945E-006</v>
      </c>
      <c r="H305" s="59" t="n">
        <v>5.0001E-005</v>
      </c>
      <c r="I305" s="40" t="str">
        <f aca="false">IF(ISNUMBER(F305),IF(ABS(F305-E305)&lt;=H305,"PASS","FAIL"),"FAIL")</f>
        <v>PASS</v>
      </c>
      <c r="J305" s="40" t="str">
        <f aca="false">IF(ISNUMBER(F305),IF(ROUND(F305,4)=ROUND(E305,4),"same","differs"),"n/a")</f>
        <v>same</v>
      </c>
    </row>
    <row r="306" customFormat="false" ht="15" hidden="false" customHeight="false" outlineLevel="0" collapsed="false">
      <c r="B306" s="44" t="n">
        <v>299</v>
      </c>
      <c r="C306" s="8" t="s">
        <v>313</v>
      </c>
      <c r="D306" s="8" t="s">
        <v>919</v>
      </c>
      <c r="E306" s="9" t="n">
        <v>0.08</v>
      </c>
      <c r="F306" s="45" t="n">
        <f aca="false">Plan!$D$49</f>
        <v>0.08</v>
      </c>
      <c r="G306" s="58" t="n">
        <f aca="false">IF(ISNUMBER(F306),F306-E306,"n/a")</f>
        <v>0</v>
      </c>
      <c r="H306" s="59" t="n">
        <v>5.0001E-005</v>
      </c>
      <c r="I306" s="40" t="str">
        <f aca="false">IF(ISNUMBER(F306),IF(ABS(F306-E306)&lt;=H306,"PASS","FAIL"),"FAIL")</f>
        <v>PASS</v>
      </c>
      <c r="J306" s="40" t="str">
        <f aca="false">IF(ISNUMBER(F306),IF(ROUND(F306,4)=ROUND(E306,4),"same","differs"),"n/a")</f>
        <v>same</v>
      </c>
    </row>
    <row r="307" customFormat="false" ht="15" hidden="false" customHeight="false" outlineLevel="0" collapsed="false">
      <c r="B307" s="44" t="n">
        <v>300</v>
      </c>
      <c r="C307" s="8" t="s">
        <v>313</v>
      </c>
      <c r="D307" s="8" t="s">
        <v>536</v>
      </c>
      <c r="E307" s="68" t="n">
        <v>0.9628</v>
      </c>
      <c r="F307" s="69" t="n">
        <f aca="false">Plan!$C$52</f>
        <v>0.962760270452985</v>
      </c>
      <c r="G307" s="58" t="n">
        <f aca="false">IF(ISNUMBER(F307),F307-E307,"n/a")</f>
        <v>-3.97295470150327E-005</v>
      </c>
      <c r="H307" s="59" t="n">
        <v>5.0001E-005</v>
      </c>
      <c r="I307" s="40" t="str">
        <f aca="false">IF(ISNUMBER(F307),IF(ABS(F307-E307)&lt;=H307,"PASS","FAIL"),"FAIL")</f>
        <v>PASS</v>
      </c>
      <c r="J307" s="40" t="str">
        <f aca="false">IF(ISNUMBER(F307),IF(ROUND(F307,4)=ROUND(E307,4),"same","differs"),"n/a")</f>
        <v>same</v>
      </c>
    </row>
    <row r="308" customFormat="false" ht="15" hidden="false" customHeight="false" outlineLevel="0" collapsed="false">
      <c r="B308" s="44" t="n">
        <v>301</v>
      </c>
      <c r="C308" s="8" t="s">
        <v>313</v>
      </c>
      <c r="D308" s="8" t="s">
        <v>537</v>
      </c>
      <c r="E308" s="68" t="n">
        <v>0.8857</v>
      </c>
      <c r="F308" s="69" t="n">
        <f aca="false">Plan!$C$53</f>
        <v>0.885739448816746</v>
      </c>
      <c r="G308" s="58" t="n">
        <f aca="false">IF(ISNUMBER(F308),F308-E308,"n/a")</f>
        <v>3.94488167461127E-005</v>
      </c>
      <c r="H308" s="59" t="n">
        <v>5.0001E-005</v>
      </c>
      <c r="I308" s="40" t="str">
        <f aca="false">IF(ISNUMBER(F308),IF(ABS(F308-E308)&lt;=H308,"PASS","FAIL"),"FAIL")</f>
        <v>PASS</v>
      </c>
      <c r="J308" s="40" t="str">
        <f aca="false">IF(ISNUMBER(F308),IF(ROUND(F308,4)=ROUND(E308,4),"same","differs"),"n/a")</f>
        <v>same</v>
      </c>
    </row>
    <row r="309" customFormat="false" ht="15" hidden="false" customHeight="false" outlineLevel="0" collapsed="false">
      <c r="B309" s="44" t="n">
        <v>302</v>
      </c>
      <c r="C309" s="8" t="s">
        <v>313</v>
      </c>
      <c r="D309" s="8" t="s">
        <v>920</v>
      </c>
      <c r="E309" s="66" t="n">
        <v>59.05</v>
      </c>
      <c r="F309" s="67" t="n">
        <f aca="false">Plan!$C$59</f>
        <v>59.0492965877831</v>
      </c>
      <c r="G309" s="58" t="n">
        <f aca="false">IF(ISNUMBER(F309),F309-E309,"n/a")</f>
        <v>-0.000703412216914501</v>
      </c>
      <c r="H309" s="59" t="n">
        <v>0.005000001</v>
      </c>
      <c r="I309" s="40" t="str">
        <f aca="false">IF(ISNUMBER(F309),IF(ABS(F309-E309)&lt;=H309,"PASS","FAIL"),"FAIL")</f>
        <v>PASS</v>
      </c>
      <c r="J309" s="40" t="str">
        <f aca="false">IF(ISNUMBER(F309),IF(ROUND(F309,2)=ROUND(E309,2),"same","differs"),"n/a")</f>
        <v>same</v>
      </c>
    </row>
    <row r="310" customFormat="false" ht="15" hidden="false" customHeight="false" outlineLevel="0" collapsed="false">
      <c r="B310" s="44" t="n">
        <v>303</v>
      </c>
      <c r="C310" s="8" t="s">
        <v>313</v>
      </c>
      <c r="D310" s="8" t="s">
        <v>921</v>
      </c>
      <c r="E310" s="66" t="n">
        <v>9.05</v>
      </c>
      <c r="F310" s="67" t="n">
        <f aca="false">Plan!$C$60</f>
        <v>9.04929658778308</v>
      </c>
      <c r="G310" s="58" t="n">
        <f aca="false">IF(ISNUMBER(F310),F310-E310,"n/a")</f>
        <v>-0.000703412216918053</v>
      </c>
      <c r="H310" s="59" t="n">
        <v>0.005000001</v>
      </c>
      <c r="I310" s="40" t="str">
        <f aca="false">IF(ISNUMBER(F310),IF(ABS(F310-E310)&lt;=H310,"PASS","FAIL"),"FAIL")</f>
        <v>PASS</v>
      </c>
      <c r="J310" s="40" t="str">
        <f aca="false">IF(ISNUMBER(F310),IF(ROUND(F310,2)=ROUND(E310,2),"same","differs"),"n/a")</f>
        <v>same</v>
      </c>
    </row>
    <row r="311" customFormat="false" ht="15" hidden="false" customHeight="false" outlineLevel="0" collapsed="false">
      <c r="B311" s="44" t="n">
        <v>304</v>
      </c>
      <c r="C311" s="8" t="s">
        <v>313</v>
      </c>
      <c r="D311" s="8" t="s">
        <v>922</v>
      </c>
      <c r="E311" s="66" t="n">
        <v>4.43</v>
      </c>
      <c r="F311" s="67" t="n">
        <f aca="false">Plan!$C$61</f>
        <v>4.42869724408373</v>
      </c>
      <c r="G311" s="58" t="n">
        <f aca="false">IF(ISNUMBER(F311),F311-E311,"n/a")</f>
        <v>-0.00130275591626905</v>
      </c>
      <c r="H311" s="59" t="n">
        <v>0.005000001</v>
      </c>
      <c r="I311" s="40" t="str">
        <f aca="false">IF(ISNUMBER(F311),IF(ABS(F311-E311)&lt;=H311,"PASS","FAIL"),"FAIL")</f>
        <v>PASS</v>
      </c>
      <c r="J311" s="40" t="str">
        <f aca="false">IF(ISNUMBER(F311),IF(ROUND(F311,2)=ROUND(E311,2),"same","differs"),"n/a")</f>
        <v>same</v>
      </c>
    </row>
    <row r="312" customFormat="false" ht="15" hidden="false" customHeight="false" outlineLevel="0" collapsed="false">
      <c r="B312" s="44" t="n">
        <v>305</v>
      </c>
      <c r="C312" s="8" t="s">
        <v>313</v>
      </c>
      <c r="D312" s="8" t="s">
        <v>923</v>
      </c>
      <c r="E312" s="66" t="n">
        <v>404.74</v>
      </c>
      <c r="F312" s="67" t="n">
        <f aca="false">Plan!$C$69</f>
        <v>404.742034556451</v>
      </c>
      <c r="G312" s="58" t="n">
        <f aca="false">IF(ISNUMBER(F312),F312-E312,"n/a")</f>
        <v>0.00203455645055328</v>
      </c>
      <c r="H312" s="59" t="n">
        <v>0.005000001</v>
      </c>
      <c r="I312" s="40" t="str">
        <f aca="false">IF(ISNUMBER(F312),IF(ABS(F312-E312)&lt;=H312,"PASS","FAIL"),"FAIL")</f>
        <v>PASS</v>
      </c>
      <c r="J312" s="40" t="str">
        <f aca="false">IF(ISNUMBER(F312),IF(ROUND(F312,2)=ROUND(E312,2),"same","differs"),"n/a")</f>
        <v>same</v>
      </c>
    </row>
    <row r="313" customFormat="false" ht="15" hidden="false" customHeight="false" outlineLevel="0" collapsed="false">
      <c r="B313" s="44" t="n">
        <v>306</v>
      </c>
      <c r="C313" s="8" t="s">
        <v>313</v>
      </c>
      <c r="D313" s="8" t="s">
        <v>335</v>
      </c>
      <c r="E313" s="66" t="n">
        <v>799.74</v>
      </c>
      <c r="F313" s="67" t="n">
        <f aca="false">Plan!$C$70</f>
        <v>799.742034556451</v>
      </c>
      <c r="G313" s="58" t="n">
        <f aca="false">IF(ISNUMBER(F313),F313-E313,"n/a")</f>
        <v>0.00203455645055328</v>
      </c>
      <c r="H313" s="59" t="n">
        <v>0.005000001</v>
      </c>
      <c r="I313" s="40" t="str">
        <f aca="false">IF(ISNUMBER(F313),IF(ABS(F313-E313)&lt;=H313,"PASS","FAIL"),"FAIL")</f>
        <v>PASS</v>
      </c>
      <c r="J313" s="40" t="str">
        <f aca="false">IF(ISNUMBER(F313),IF(ROUND(F313,2)=ROUND(E313,2),"same","differs"),"n/a")</f>
        <v>same</v>
      </c>
    </row>
    <row r="314" customFormat="false" ht="15" hidden="false" customHeight="false" outlineLevel="0" collapsed="false">
      <c r="B314" s="44" t="n">
        <v>307</v>
      </c>
      <c r="C314" s="8" t="s">
        <v>313</v>
      </c>
      <c r="D314" s="8" t="s">
        <v>924</v>
      </c>
      <c r="E314" s="12" t="n">
        <v>0.833</v>
      </c>
      <c r="F314" s="60" t="n">
        <f aca="false">Plan!$C$71</f>
        <v>0.832949071005984</v>
      </c>
      <c r="G314" s="58" t="n">
        <f aca="false">IF(ISNUMBER(F314),F314-E314,"n/a")</f>
        <v>-5.09289940161528E-005</v>
      </c>
      <c r="H314" s="59" t="n">
        <v>0.000500001</v>
      </c>
      <c r="I314" s="40" t="str">
        <f aca="false">IF(ISNUMBER(F314),IF(ABS(F314-E314)&lt;=H314,"PASS","FAIL"),"FAIL")</f>
        <v>PASS</v>
      </c>
      <c r="J314" s="40" t="str">
        <f aca="false">IF(ISNUMBER(F314),IF(ROUND(F314,3)=ROUND(E314,3),"same","differs"),"n/a")</f>
        <v>same</v>
      </c>
    </row>
    <row r="315" customFormat="false" ht="15" hidden="false" customHeight="false" outlineLevel="0" collapsed="false">
      <c r="B315" s="44" t="n">
        <v>308</v>
      </c>
      <c r="C315" s="8" t="s">
        <v>313</v>
      </c>
      <c r="D315" s="8" t="s">
        <v>925</v>
      </c>
      <c r="E315" s="12" t="n">
        <v>0.887</v>
      </c>
      <c r="F315" s="60" t="n">
        <f aca="false">Plan!$C$80</f>
        <v>0.887328815482076</v>
      </c>
      <c r="G315" s="58" t="n">
        <f aca="false">IF(ISNUMBER(F315),F315-E315,"n/a")</f>
        <v>0.000328815482076306</v>
      </c>
      <c r="H315" s="59" t="n">
        <v>0.000500001</v>
      </c>
      <c r="I315" s="40" t="str">
        <f aca="false">IF(ISNUMBER(F315),IF(ABS(F315-E315)&lt;=H315,"PASS","FAIL"),"FAIL")</f>
        <v>PASS</v>
      </c>
      <c r="J315" s="40" t="str">
        <f aca="false">IF(ISNUMBER(F315),IF(ROUND(F315,3)=ROUND(E315,3),"same","differs"),"n/a")</f>
        <v>same</v>
      </c>
    </row>
    <row r="316" customFormat="false" ht="15" hidden="false" customHeight="false" outlineLevel="0" collapsed="false">
      <c r="B316" s="44" t="n">
        <v>309</v>
      </c>
      <c r="C316" s="8" t="s">
        <v>313</v>
      </c>
      <c r="D316" s="8" t="s">
        <v>926</v>
      </c>
      <c r="E316" s="12" t="n">
        <v>0.094</v>
      </c>
      <c r="F316" s="60" t="n">
        <f aca="false">Plan!$C$73</f>
        <v>0.093744173699399</v>
      </c>
      <c r="G316" s="58" t="n">
        <f aca="false">IF(ISNUMBER(F316),F316-E316,"n/a")</f>
        <v>-0.000255826300600989</v>
      </c>
      <c r="H316" s="59" t="n">
        <v>0.000500001</v>
      </c>
      <c r="I316" s="40" t="str">
        <f aca="false">IF(ISNUMBER(F316),IF(ABS(F316-E316)&lt;=H316,"PASS","FAIL"),"FAIL")</f>
        <v>PASS</v>
      </c>
      <c r="J316" s="40" t="str">
        <f aca="false">IF(ISNUMBER(F316),IF(ROUND(F316,3)=ROUND(E316,3),"same","differs"),"n/a")</f>
        <v>same</v>
      </c>
    </row>
    <row r="317" customFormat="false" ht="15" hidden="false" customHeight="false" outlineLevel="0" collapsed="false">
      <c r="B317" s="44" t="n">
        <v>310</v>
      </c>
      <c r="C317" s="8" t="s">
        <v>313</v>
      </c>
      <c r="D317" s="8" t="s">
        <v>927</v>
      </c>
      <c r="E317" s="12" t="n">
        <v>0.106</v>
      </c>
      <c r="F317" s="60" t="n">
        <f aca="false">Plan!$C$81</f>
        <v>0.105837189282504</v>
      </c>
      <c r="G317" s="58" t="n">
        <f aca="false">IF(ISNUMBER(F317),F317-E317,"n/a")</f>
        <v>-0.000162810717495673</v>
      </c>
      <c r="H317" s="59" t="n">
        <v>0.000500001</v>
      </c>
      <c r="I317" s="40" t="str">
        <f aca="false">IF(ISNUMBER(F317),IF(ABS(F317-E317)&lt;=H317,"PASS","FAIL"),"FAIL")</f>
        <v>PASS</v>
      </c>
      <c r="J317" s="40" t="str">
        <f aca="false">IF(ISNUMBER(F317),IF(ROUND(F317,3)=ROUND(E317,3),"same","differs"),"n/a")</f>
        <v>same</v>
      </c>
    </row>
    <row r="318" customFormat="false" ht="15" hidden="false" customHeight="false" outlineLevel="0" collapsed="false">
      <c r="B318" s="44" t="n">
        <v>311</v>
      </c>
      <c r="C318" s="8" t="s">
        <v>313</v>
      </c>
      <c r="D318" s="8" t="s">
        <v>928</v>
      </c>
      <c r="E318" s="66" t="n">
        <v>813.22</v>
      </c>
      <c r="F318" s="67" t="n">
        <f aca="false">Plan!$C$82</f>
        <v>813.220028388317</v>
      </c>
      <c r="G318" s="58" t="n">
        <f aca="false">IF(ISNUMBER(F318),F318-E318,"n/a")</f>
        <v>2.83883173324284E-005</v>
      </c>
      <c r="H318" s="59" t="n">
        <v>0.005000001</v>
      </c>
      <c r="I318" s="40" t="str">
        <f aca="false">IF(ISNUMBER(F318),IF(ABS(F318-E318)&lt;=H318,"PASS","FAIL"),"FAIL")</f>
        <v>PASS</v>
      </c>
      <c r="J318" s="40" t="str">
        <f aca="false">IF(ISNUMBER(F318),IF(ROUND(F318,2)=ROUND(E318,2),"same","differs"),"n/a")</f>
        <v>same</v>
      </c>
    </row>
    <row r="319" customFormat="false" ht="15" hidden="false" customHeight="false" outlineLevel="0" collapsed="false">
      <c r="B319" s="44" t="n">
        <v>312</v>
      </c>
      <c r="C319" s="8" t="s">
        <v>313</v>
      </c>
      <c r="D319" s="8" t="s">
        <v>929</v>
      </c>
      <c r="E319" s="12" t="n">
        <v>0.847</v>
      </c>
      <c r="F319" s="60" t="n">
        <f aca="false">Plan!$C$83</f>
        <v>0.846986700586758</v>
      </c>
      <c r="G319" s="58" t="n">
        <f aca="false">IF(ISNUMBER(F319),F319-E319,"n/a")</f>
        <v>-1.32994132423514E-005</v>
      </c>
      <c r="H319" s="59" t="n">
        <v>0.000500001</v>
      </c>
      <c r="I319" s="40" t="str">
        <f aca="false">IF(ISNUMBER(F319),IF(ABS(F319-E319)&lt;=H319,"PASS","FAIL"),"FAIL")</f>
        <v>PASS</v>
      </c>
      <c r="J319" s="40" t="str">
        <f aca="false">IF(ISNUMBER(F319),IF(ROUND(F319,3)=ROUND(E319,3),"same","differs"),"n/a")</f>
        <v>same</v>
      </c>
    </row>
    <row r="320" customFormat="false" ht="15" hidden="false" customHeight="false" outlineLevel="0" collapsed="false">
      <c r="B320" s="44" t="n">
        <v>313</v>
      </c>
      <c r="C320" s="8" t="s">
        <v>313</v>
      </c>
      <c r="D320" s="8" t="s">
        <v>930</v>
      </c>
      <c r="E320" s="12" t="n">
        <v>0.98</v>
      </c>
      <c r="F320" s="60" t="n">
        <f aca="false">Plan!$D$71</f>
        <v>0.979698933464694</v>
      </c>
      <c r="G320" s="58" t="n">
        <f aca="false">IF(ISNUMBER(F320),F320-E320,"n/a")</f>
        <v>-0.00030106653530626</v>
      </c>
      <c r="H320" s="59" t="n">
        <v>0.000500001</v>
      </c>
      <c r="I320" s="40" t="str">
        <f aca="false">IF(ISNUMBER(F320),IF(ABS(F320-E320)&lt;=H320,"PASS","FAIL"),"FAIL")</f>
        <v>PASS</v>
      </c>
      <c r="J320" s="40" t="str">
        <f aca="false">IF(ISNUMBER(F320),IF(ROUND(F320,3)=ROUND(E320,3),"same","differs"),"n/a")</f>
        <v>same</v>
      </c>
    </row>
    <row r="321" customFormat="false" ht="15" hidden="false" customHeight="false" outlineLevel="0" collapsed="false">
      <c r="B321" s="44" t="n">
        <v>314</v>
      </c>
      <c r="C321" s="8" t="s">
        <v>313</v>
      </c>
      <c r="D321" s="8" t="s">
        <v>931</v>
      </c>
      <c r="E321" s="12" t="n">
        <v>0.126</v>
      </c>
      <c r="F321" s="60" t="n">
        <f aca="false">Plan!$D$73</f>
        <v>0.126378537663944</v>
      </c>
      <c r="G321" s="58" t="n">
        <f aca="false">IF(ISNUMBER(F321),F321-E321,"n/a")</f>
        <v>0.00037853766394369</v>
      </c>
      <c r="H321" s="59" t="n">
        <v>0.000500001</v>
      </c>
      <c r="I321" s="40" t="str">
        <f aca="false">IF(ISNUMBER(F321),IF(ABS(F321-E321)&lt;=H321,"PASS","FAIL"),"FAIL")</f>
        <v>PASS</v>
      </c>
      <c r="J321" s="40" t="str">
        <f aca="false">IF(ISNUMBER(F321),IF(ROUND(F321,3)=ROUND(E321,3),"same","differs"),"n/a")</f>
        <v>same</v>
      </c>
    </row>
    <row r="322" customFormat="false" ht="15" hidden="false" customHeight="false" outlineLevel="0" collapsed="false">
      <c r="B322" s="44" t="n">
        <v>315</v>
      </c>
      <c r="C322" s="8" t="s">
        <v>313</v>
      </c>
      <c r="D322" s="8" t="s">
        <v>932</v>
      </c>
      <c r="E322" s="12" t="n">
        <v>1.017</v>
      </c>
      <c r="F322" s="60" t="n">
        <f aca="false">Plan!$D$77</f>
        <v>1.0167521781006</v>
      </c>
      <c r="G322" s="58" t="n">
        <f aca="false">IF(ISNUMBER(F322),F322-E322,"n/a")</f>
        <v>-0.000247821899402645</v>
      </c>
      <c r="H322" s="59" t="n">
        <v>0.000500001</v>
      </c>
      <c r="I322" s="40" t="str">
        <f aca="false">IF(ISNUMBER(F322),IF(ABS(F322-E322)&lt;=H322,"PASS","FAIL"),"FAIL")</f>
        <v>PASS</v>
      </c>
      <c r="J322" s="40" t="str">
        <f aca="false">IF(ISNUMBER(F322),IF(ROUND(F322,3)=ROUND(E322,3),"same","differs"),"n/a")</f>
        <v>same</v>
      </c>
    </row>
    <row r="323" customFormat="false" ht="15" hidden="false" customHeight="false" outlineLevel="0" collapsed="false">
      <c r="B323" s="44" t="n">
        <v>316</v>
      </c>
      <c r="C323" s="8" t="s">
        <v>313</v>
      </c>
      <c r="D323" s="8" t="s">
        <v>933</v>
      </c>
      <c r="E323" s="12" t="n">
        <v>0.713</v>
      </c>
      <c r="F323" s="60" t="n">
        <f aca="false">Plan!$E$71</f>
        <v>0.712538927450119</v>
      </c>
      <c r="G323" s="58" t="n">
        <f aca="false">IF(ISNUMBER(F323),F323-E323,"n/a")</f>
        <v>-0.000461072549880592</v>
      </c>
      <c r="H323" s="59" t="n">
        <v>0.000500001</v>
      </c>
      <c r="I323" s="40" t="str">
        <f aca="false">IF(ISNUMBER(F323),IF(ABS(F323-E323)&lt;=H323,"PASS","FAIL"),"FAIL")</f>
        <v>PASS</v>
      </c>
      <c r="J323" s="40" t="str">
        <f aca="false">IF(ISNUMBER(F323),IF(ROUND(F323,3)=ROUND(E323,3),"same","differs"),"n/a")</f>
        <v>same</v>
      </c>
    </row>
    <row r="324" customFormat="false" ht="15" hidden="false" customHeight="false" outlineLevel="0" collapsed="false">
      <c r="B324" s="44" t="n">
        <v>317</v>
      </c>
      <c r="C324" s="8" t="s">
        <v>313</v>
      </c>
      <c r="D324" s="8" t="s">
        <v>934</v>
      </c>
      <c r="E324" s="12" t="n">
        <v>0.067</v>
      </c>
      <c r="F324" s="60" t="n">
        <f aca="false">Plan!$E$73</f>
        <v>0.0669672596772085</v>
      </c>
      <c r="G324" s="58" t="n">
        <f aca="false">IF(ISNUMBER(F324),F324-E324,"n/a")</f>
        <v>-3.27403227915191E-005</v>
      </c>
      <c r="H324" s="59" t="n">
        <v>0.000500001</v>
      </c>
      <c r="I324" s="40" t="str">
        <f aca="false">IF(ISNUMBER(F324),IF(ABS(F324-E324)&lt;=H324,"PASS","FAIL"),"FAIL")</f>
        <v>PASS</v>
      </c>
      <c r="J324" s="40" t="str">
        <f aca="false">IF(ISNUMBER(F324),IF(ROUND(F324,3)=ROUND(E324,3),"same","differs"),"n/a")</f>
        <v>same</v>
      </c>
    </row>
    <row r="325" customFormat="false" ht="15" hidden="false" customHeight="false" outlineLevel="0" collapsed="false">
      <c r="B325" s="44" t="n">
        <v>318</v>
      </c>
      <c r="C325" s="8" t="s">
        <v>313</v>
      </c>
      <c r="D325" s="8" t="s">
        <v>935</v>
      </c>
      <c r="E325" s="56" t="n">
        <v>1197</v>
      </c>
      <c r="F325" s="57" t="n">
        <f aca="false">Plan!$C$84</f>
        <v>1196.97588882237</v>
      </c>
      <c r="G325" s="58" t="n">
        <f aca="false">IF(ISNUMBER(F325),F325-E325,"n/a")</f>
        <v>-0.0241111776267644</v>
      </c>
      <c r="H325" s="59" t="n">
        <v>0.050000001</v>
      </c>
      <c r="I325" s="40" t="str">
        <f aca="false">IF(ISNUMBER(F325),IF(ABS(F325-E325)&lt;=H325,"PASS","FAIL"),"FAIL")</f>
        <v>PASS</v>
      </c>
      <c r="J325" s="40" t="str">
        <f aca="false">IF(ISNUMBER(F325),IF(ROUND(F325,1)=ROUND(E325,1),"same","differs"),"n/a")</f>
        <v>same</v>
      </c>
    </row>
    <row r="326" customFormat="false" ht="15" hidden="false" customHeight="false" outlineLevel="0" collapsed="false">
      <c r="B326" s="44" t="n">
        <v>319</v>
      </c>
      <c r="C326" s="8" t="s">
        <v>313</v>
      </c>
      <c r="D326" s="8" t="s">
        <v>936</v>
      </c>
      <c r="E326" s="65" t="n">
        <v>1</v>
      </c>
      <c r="F326" s="38" t="n">
        <f aca="false">Plan!$F$71</f>
        <v>1</v>
      </c>
      <c r="G326" s="58" t="n">
        <f aca="false">IF(ISNUMBER(F326),F326-E326,"n/a")</f>
        <v>0</v>
      </c>
      <c r="H326" s="59" t="n">
        <v>0.005000001</v>
      </c>
      <c r="I326" s="40" t="str">
        <f aca="false">IF(ISNUMBER(F326),IF(ABS(F326-E326)&lt;=H326,"PASS","FAIL"),"FAIL")</f>
        <v>PASS</v>
      </c>
      <c r="J326" s="40" t="str">
        <f aca="false">IF(ISNUMBER(F326),IF(ROUND(F326,2)=ROUND(E326,2),"same","differs"),"n/a")</f>
        <v>same</v>
      </c>
    </row>
    <row r="327" customFormat="false" ht="15" hidden="false" customHeight="false" outlineLevel="0" collapsed="false">
      <c r="B327" s="44" t="n">
        <v>320</v>
      </c>
      <c r="C327" s="8" t="s">
        <v>313</v>
      </c>
      <c r="D327" s="8" t="s">
        <v>937</v>
      </c>
      <c r="E327" s="56" t="n">
        <v>1150.8</v>
      </c>
      <c r="F327" s="57" t="n">
        <f aca="false">Plan!$C$85</f>
        <v>1150.75772072476</v>
      </c>
      <c r="G327" s="58" t="n">
        <f aca="false">IF(ISNUMBER(F327),F327-E327,"n/a")</f>
        <v>-0.0422792752440273</v>
      </c>
      <c r="H327" s="59" t="n">
        <v>0.050000001</v>
      </c>
      <c r="I327" s="40" t="str">
        <f aca="false">IF(ISNUMBER(F327),IF(ABS(F327-E327)&lt;=H327,"PASS","FAIL"),"FAIL")</f>
        <v>PASS</v>
      </c>
      <c r="J327" s="40" t="str">
        <f aca="false">IF(ISNUMBER(F327),IF(ROUND(F327,1)=ROUND(E327,1),"same","differs"),"n/a")</f>
        <v>same</v>
      </c>
    </row>
    <row r="328" customFormat="false" ht="15" hidden="false" customHeight="false" outlineLevel="0" collapsed="false">
      <c r="B328" s="44" t="n">
        <v>321</v>
      </c>
      <c r="C328" s="8" t="s">
        <v>313</v>
      </c>
      <c r="D328" s="8" t="s">
        <v>938</v>
      </c>
      <c r="E328" s="65" t="n">
        <v>1</v>
      </c>
      <c r="F328" s="38" t="n">
        <f aca="false">Plan!$G$77</f>
        <v>1</v>
      </c>
      <c r="G328" s="58" t="n">
        <f aca="false">IF(ISNUMBER(F328),F328-E328,"n/a")</f>
        <v>0</v>
      </c>
      <c r="H328" s="59" t="n">
        <v>0.005000001</v>
      </c>
      <c r="I328" s="40" t="str">
        <f aca="false">IF(ISNUMBER(F328),IF(ABS(F328-E328)&lt;=H328,"PASS","FAIL"),"FAIL")</f>
        <v>PASS</v>
      </c>
      <c r="J328" s="40" t="str">
        <f aca="false">IF(ISNUMBER(F328),IF(ROUND(F328,2)=ROUND(E328,2),"same","differs"),"n/a")</f>
        <v>same</v>
      </c>
    </row>
    <row r="329" customFormat="false" ht="15" hidden="false" customHeight="false" outlineLevel="0" collapsed="false">
      <c r="B329" s="44" t="n">
        <v>322</v>
      </c>
      <c r="C329" s="8" t="s">
        <v>313</v>
      </c>
      <c r="D329" s="8" t="s">
        <v>939</v>
      </c>
      <c r="E329" s="56" t="n">
        <v>62.2</v>
      </c>
      <c r="F329" s="57" t="n">
        <f aca="false">Plan!$C$90</f>
        <v>62.2388034188034</v>
      </c>
      <c r="G329" s="58" t="n">
        <f aca="false">IF(ISNUMBER(F329),F329-E329,"n/a")</f>
        <v>0.0388034188034112</v>
      </c>
      <c r="H329" s="59" t="n">
        <v>0.050000001</v>
      </c>
      <c r="I329" s="40" t="str">
        <f aca="false">IF(ISNUMBER(F329),IF(ABS(F329-E329)&lt;=H329,"PASS","FAIL"),"FAIL")</f>
        <v>PASS</v>
      </c>
      <c r="J329" s="40" t="str">
        <f aca="false">IF(ISNUMBER(F329),IF(ROUND(F329,1)=ROUND(E329,1),"same","differs"),"n/a")</f>
        <v>same</v>
      </c>
    </row>
    <row r="330" customFormat="false" ht="15" hidden="false" customHeight="false" outlineLevel="0" collapsed="false">
      <c r="B330" s="44" t="n">
        <v>323</v>
      </c>
      <c r="C330" s="8" t="s">
        <v>313</v>
      </c>
      <c r="D330" s="8" t="s">
        <v>573</v>
      </c>
      <c r="E330" s="12" t="n">
        <v>0.092</v>
      </c>
      <c r="F330" s="60" t="n">
        <f aca="false">Plan!$C$94</f>
        <v>0.092</v>
      </c>
      <c r="G330" s="58" t="n">
        <f aca="false">IF(ISNUMBER(F330),F330-E330,"n/a")</f>
        <v>0</v>
      </c>
      <c r="H330" s="59" t="n">
        <v>0.000500001</v>
      </c>
      <c r="I330" s="40" t="str">
        <f aca="false">IF(ISNUMBER(F330),IF(ABS(F330-E330)&lt;=H330,"PASS","FAIL"),"FAIL")</f>
        <v>PASS</v>
      </c>
      <c r="J330" s="40" t="str">
        <f aca="false">IF(ISNUMBER(F330),IF(ROUND(F330,3)=ROUND(E330,3),"same","differs"),"n/a")</f>
        <v>same</v>
      </c>
    </row>
    <row r="331" customFormat="false" ht="15" hidden="false" customHeight="false" outlineLevel="0" collapsed="false">
      <c r="B331" s="44" t="n">
        <v>324</v>
      </c>
      <c r="C331" s="8" t="s">
        <v>313</v>
      </c>
      <c r="D331" s="8" t="s">
        <v>940</v>
      </c>
      <c r="E331" s="56" t="n">
        <v>68.3</v>
      </c>
      <c r="F331" s="57" t="n">
        <f aca="false">Plan!$C$95</f>
        <v>68.3108818011257</v>
      </c>
      <c r="G331" s="58" t="n">
        <f aca="false">IF(ISNUMBER(F331),F331-E331,"n/a")</f>
        <v>0.0108818011257057</v>
      </c>
      <c r="H331" s="59" t="n">
        <v>0.050000001</v>
      </c>
      <c r="I331" s="40" t="str">
        <f aca="false">IF(ISNUMBER(F331),IF(ABS(F331-E331)&lt;=H331,"PASS","FAIL"),"FAIL")</f>
        <v>PASS</v>
      </c>
      <c r="J331" s="40" t="str">
        <f aca="false">IF(ISNUMBER(F331),IF(ROUND(F331,1)=ROUND(E331,1),"same","differs"),"n/a")</f>
        <v>same</v>
      </c>
    </row>
    <row r="332" customFormat="false" ht="15" hidden="false" customHeight="false" outlineLevel="0" collapsed="false">
      <c r="B332" s="44" t="n">
        <v>325</v>
      </c>
      <c r="C332" s="8" t="s">
        <v>313</v>
      </c>
      <c r="D332" s="8" t="s">
        <v>941</v>
      </c>
      <c r="E332" s="65" t="n">
        <v>0.1</v>
      </c>
      <c r="F332" s="38" t="n">
        <f aca="false">Plan!$C$96</f>
        <v>0.1</v>
      </c>
      <c r="G332" s="58" t="n">
        <f aca="false">IF(ISNUMBER(F332),F332-E332,"n/a")</f>
        <v>0</v>
      </c>
      <c r="H332" s="59" t="n">
        <v>0.005000001</v>
      </c>
      <c r="I332" s="40" t="str">
        <f aca="false">IF(ISNUMBER(F332),IF(ABS(F332-E332)&lt;=H332,"PASS","FAIL"),"FAIL")</f>
        <v>PASS</v>
      </c>
      <c r="J332" s="40" t="str">
        <f aca="false">IF(ISNUMBER(F332),IF(ROUND(F332,2)=ROUND(E332,2),"same","differs"),"n/a")</f>
        <v>same</v>
      </c>
    </row>
    <row r="333" customFormat="false" ht="15" hidden="false" customHeight="false" outlineLevel="0" collapsed="false">
      <c r="B333" s="44" t="n">
        <v>326</v>
      </c>
      <c r="C333" s="8" t="s">
        <v>942</v>
      </c>
      <c r="D333" s="8" t="s">
        <v>943</v>
      </c>
      <c r="E333" s="12" t="n">
        <v>0.957</v>
      </c>
      <c r="F333" s="60" t="n">
        <f aca="false">Votes!$C$11</f>
        <v>0.957244655581948</v>
      </c>
      <c r="G333" s="58" t="n">
        <f aca="false">IF(ISNUMBER(F333),F333-E333,"n/a")</f>
        <v>0.000244655581947639</v>
      </c>
      <c r="H333" s="59" t="n">
        <v>0.000500001</v>
      </c>
      <c r="I333" s="40" t="str">
        <f aca="false">IF(ISNUMBER(F333),IF(ABS(F333-E333)&lt;=H333,"PASS","FAIL"),"FAIL")</f>
        <v>PASS</v>
      </c>
      <c r="J333" s="40" t="str">
        <f aca="false">IF(ISNUMBER(F333),IF(ROUND(F333,3)=ROUND(E333,3),"same","differs"),"n/a")</f>
        <v>same</v>
      </c>
    </row>
    <row r="334" customFormat="false" ht="15" hidden="false" customHeight="false" outlineLevel="0" collapsed="false">
      <c r="B334" s="44" t="n">
        <v>327</v>
      </c>
      <c r="C334" s="8" t="s">
        <v>942</v>
      </c>
      <c r="D334" s="8" t="s">
        <v>944</v>
      </c>
      <c r="E334" s="12" t="n">
        <v>0.816</v>
      </c>
      <c r="F334" s="60" t="n">
        <f aca="false">Votes!$C$12</f>
        <v>0.815789473684211</v>
      </c>
      <c r="G334" s="58" t="n">
        <f aca="false">IF(ISNUMBER(F334),F334-E334,"n/a")</f>
        <v>-0.000210526315789439</v>
      </c>
      <c r="H334" s="59" t="n">
        <v>0.000500001</v>
      </c>
      <c r="I334" s="40" t="str">
        <f aca="false">IF(ISNUMBER(F334),IF(ABS(F334-E334)&lt;=H334,"PASS","FAIL"),"FAIL")</f>
        <v>PASS</v>
      </c>
      <c r="J334" s="40" t="str">
        <f aca="false">IF(ISNUMBER(F334),IF(ROUND(F334,3)=ROUND(E334,3),"same","differs"),"n/a")</f>
        <v>same</v>
      </c>
    </row>
    <row r="335" customFormat="false" ht="15" hidden="false" customHeight="false" outlineLevel="0" collapsed="false">
      <c r="B335" s="44" t="n">
        <v>328</v>
      </c>
      <c r="C335" s="8" t="s">
        <v>942</v>
      </c>
      <c r="D335" s="8" t="s">
        <v>945</v>
      </c>
      <c r="E335" s="61" t="n">
        <v>1</v>
      </c>
      <c r="F335" s="62" t="n">
        <f aca="false">Votes!$C$15</f>
        <v>1</v>
      </c>
      <c r="G335" s="58" t="n">
        <f aca="false">IF(ISNUMBER(F335),F335-E335,"n/a")</f>
        <v>0</v>
      </c>
      <c r="H335" s="59" t="n">
        <v>0.500000001</v>
      </c>
      <c r="I335" s="40" t="str">
        <f aca="false">IF(ISNUMBER(F335),IF(ABS(F335-E335)&lt;=H335,"PASS","FAIL"),"FAIL")</f>
        <v>PASS</v>
      </c>
      <c r="J335" s="40" t="str">
        <f aca="false">IF(ISNUMBER(F335),IF(ROUND(F335,0)=ROUND(E335,0),"same","differs"),"n/a")</f>
        <v>same</v>
      </c>
    </row>
    <row r="336" customFormat="false" ht="15" hidden="false" customHeight="false" outlineLevel="0" collapsed="false">
      <c r="B336" s="44" t="n">
        <v>329</v>
      </c>
      <c r="C336" s="8" t="s">
        <v>942</v>
      </c>
      <c r="D336" s="8" t="s">
        <v>946</v>
      </c>
      <c r="E336" s="12" t="n">
        <v>0.418</v>
      </c>
      <c r="F336" s="60" t="n">
        <f aca="false">Votes!$D$11</f>
        <v>0.417633410672854</v>
      </c>
      <c r="G336" s="58" t="n">
        <f aca="false">IF(ISNUMBER(F336),F336-E336,"n/a")</f>
        <v>-0.000366589327146172</v>
      </c>
      <c r="H336" s="59" t="n">
        <v>0.000500001</v>
      </c>
      <c r="I336" s="40" t="str">
        <f aca="false">IF(ISNUMBER(F336),IF(ABS(F336-E336)&lt;=H336,"PASS","FAIL"),"FAIL")</f>
        <v>PASS</v>
      </c>
      <c r="J336" s="40" t="str">
        <f aca="false">IF(ISNUMBER(F336),IF(ROUND(F336,3)=ROUND(E336,3),"same","differs"),"n/a")</f>
        <v>same</v>
      </c>
    </row>
    <row r="337" customFormat="false" ht="15" hidden="false" customHeight="false" outlineLevel="0" collapsed="false">
      <c r="B337" s="44" t="n">
        <v>330</v>
      </c>
      <c r="C337" s="8" t="s">
        <v>942</v>
      </c>
      <c r="D337" s="8" t="s">
        <v>947</v>
      </c>
      <c r="E337" s="12" t="n">
        <v>0.612</v>
      </c>
      <c r="F337" s="60" t="n">
        <f aca="false">Votes!$D$12</f>
        <v>0.611570247933884</v>
      </c>
      <c r="G337" s="58" t="n">
        <f aca="false">IF(ISNUMBER(F337),F337-E337,"n/a")</f>
        <v>-0.000429752066115729</v>
      </c>
      <c r="H337" s="59" t="n">
        <v>0.000500001</v>
      </c>
      <c r="I337" s="40" t="str">
        <f aca="false">IF(ISNUMBER(F337),IF(ABS(F337-E337)&lt;=H337,"PASS","FAIL"),"FAIL")</f>
        <v>PASS</v>
      </c>
      <c r="J337" s="40" t="str">
        <f aca="false">IF(ISNUMBER(F337),IF(ROUND(F337,3)=ROUND(E337,3),"same","differs"),"n/a")</f>
        <v>same</v>
      </c>
    </row>
    <row r="338" customFormat="false" ht="15" hidden="false" customHeight="false" outlineLevel="0" collapsed="false">
      <c r="B338" s="44" t="n">
        <v>331</v>
      </c>
      <c r="C338" s="8" t="s">
        <v>942</v>
      </c>
      <c r="D338" s="8" t="s">
        <v>948</v>
      </c>
      <c r="E338" s="61" t="n">
        <v>0</v>
      </c>
      <c r="F338" s="62" t="n">
        <f aca="false">Votes!$D$15</f>
        <v>0</v>
      </c>
      <c r="G338" s="58" t="n">
        <f aca="false">IF(ISNUMBER(F338),F338-E338,"n/a")</f>
        <v>0</v>
      </c>
      <c r="H338" s="59" t="n">
        <v>0.500000001</v>
      </c>
      <c r="I338" s="40" t="str">
        <f aca="false">IF(ISNUMBER(F338),IF(ABS(F338-E338)&lt;=H338,"PASS","FAIL"),"FAIL")</f>
        <v>PASS</v>
      </c>
      <c r="J338" s="40" t="str">
        <f aca="false">IF(ISNUMBER(F338),IF(ROUND(F338,0)=ROUND(E338,0),"same","differs"),"n/a")</f>
        <v>same</v>
      </c>
    </row>
    <row r="339" customFormat="false" ht="15" hidden="false" customHeight="false" outlineLevel="0" collapsed="false">
      <c r="B339" s="44" t="n">
        <v>332</v>
      </c>
      <c r="C339" s="8" t="s">
        <v>942</v>
      </c>
      <c r="D339" s="8" t="s">
        <v>949</v>
      </c>
      <c r="E339" s="66" t="n">
        <v>606.7</v>
      </c>
      <c r="F339" s="67" t="n">
        <f aca="false">Votes!$C$20</f>
        <v>606.703846153846</v>
      </c>
      <c r="G339" s="58" t="n">
        <f aca="false">IF(ISNUMBER(F339),F339-E339,"n/a")</f>
        <v>0.00384615384609788</v>
      </c>
      <c r="H339" s="59" t="n">
        <v>0.005000001</v>
      </c>
      <c r="I339" s="40" t="str">
        <f aca="false">IF(ISNUMBER(F339),IF(ABS(F339-E339)&lt;=H339,"PASS","FAIL"),"FAIL")</f>
        <v>PASS</v>
      </c>
      <c r="J339" s="40" t="str">
        <f aca="false">IF(ISNUMBER(F339),IF(ROUND(F339,2)=ROUND(E339,2),"same","differs"),"n/a")</f>
        <v>same</v>
      </c>
    </row>
    <row r="340" customFormat="false" ht="15" hidden="false" customHeight="false" outlineLevel="0" collapsed="false">
      <c r="B340" s="44" t="n">
        <v>333</v>
      </c>
      <c r="C340" s="8" t="s">
        <v>942</v>
      </c>
      <c r="D340" s="8" t="s">
        <v>950</v>
      </c>
      <c r="E340" s="12" t="n">
        <v>0.632</v>
      </c>
      <c r="F340" s="60" t="n">
        <f aca="false">Votes!$C$21</f>
        <v>0.631895515295605</v>
      </c>
      <c r="G340" s="58" t="n">
        <f aca="false">IF(ISNUMBER(F340),F340-E340,"n/a")</f>
        <v>-0.000104484704395502</v>
      </c>
      <c r="H340" s="59" t="n">
        <v>0.000500001</v>
      </c>
      <c r="I340" s="40" t="str">
        <f aca="false">IF(ISNUMBER(F340),IF(ABS(F340-E340)&lt;=H340,"PASS","FAIL"),"FAIL")</f>
        <v>PASS</v>
      </c>
      <c r="J340" s="40" t="str">
        <f aca="false">IF(ISNUMBER(F340),IF(ROUND(F340,3)=ROUND(E340,3),"same","differs"),"n/a")</f>
        <v>same</v>
      </c>
    </row>
    <row r="341" customFormat="false" ht="15" hidden="false" customHeight="false" outlineLevel="0" collapsed="false">
      <c r="B341" s="44" t="n">
        <v>334</v>
      </c>
      <c r="C341" s="8" t="s">
        <v>942</v>
      </c>
      <c r="D341" s="8" t="s">
        <v>951</v>
      </c>
      <c r="E341" s="66" t="n">
        <v>50.08</v>
      </c>
      <c r="F341" s="67" t="n">
        <f aca="false">Votes!$C$22</f>
        <v>50.0774038461539</v>
      </c>
      <c r="G341" s="58" t="n">
        <f aca="false">IF(ISNUMBER(F341),F341-E341,"n/a")</f>
        <v>-0.00259615384614875</v>
      </c>
      <c r="H341" s="59" t="n">
        <v>0.005000001</v>
      </c>
      <c r="I341" s="40" t="str">
        <f aca="false">IF(ISNUMBER(F341),IF(ABS(F341-E341)&lt;=H341,"PASS","FAIL"),"FAIL")</f>
        <v>PASS</v>
      </c>
      <c r="J341" s="40" t="str">
        <f aca="false">IF(ISNUMBER(F341),IF(ROUND(F341,2)=ROUND(E341,2),"same","differs"),"n/a")</f>
        <v>same</v>
      </c>
    </row>
    <row r="342" customFormat="false" ht="15" hidden="false" customHeight="false" outlineLevel="0" collapsed="false">
      <c r="B342" s="44" t="n">
        <v>335</v>
      </c>
      <c r="C342" s="8" t="s">
        <v>942</v>
      </c>
      <c r="D342" s="8" t="s">
        <v>952</v>
      </c>
      <c r="E342" s="12" t="n">
        <v>0.684</v>
      </c>
      <c r="F342" s="60" t="n">
        <f aca="false">Votes!$C$23</f>
        <v>0.684052242352198</v>
      </c>
      <c r="G342" s="58" t="n">
        <f aca="false">IF(ISNUMBER(F342),F342-E342,"n/a")</f>
        <v>5.22423521976956E-005</v>
      </c>
      <c r="H342" s="59" t="n">
        <v>0.000500001</v>
      </c>
      <c r="I342" s="40" t="str">
        <f aca="false">IF(ISNUMBER(F342),IF(ABS(F342-E342)&lt;=H342,"PASS","FAIL"),"FAIL")</f>
        <v>PASS</v>
      </c>
      <c r="J342" s="40" t="str">
        <f aca="false">IF(ISNUMBER(F342),IF(ROUND(F342,3)=ROUND(E342,3),"same","differs"),"n/a")</f>
        <v>same</v>
      </c>
    </row>
    <row r="343" customFormat="false" ht="15" hidden="false" customHeight="false" outlineLevel="0" collapsed="false">
      <c r="B343" s="44" t="n">
        <v>336</v>
      </c>
      <c r="C343" s="8" t="s">
        <v>942</v>
      </c>
      <c r="D343" s="8" t="s">
        <v>953</v>
      </c>
      <c r="E343" s="61" t="n">
        <v>46</v>
      </c>
      <c r="F343" s="62" t="n">
        <f aca="false">Votes!$C$6</f>
        <v>46</v>
      </c>
      <c r="G343" s="58" t="n">
        <f aca="false">IF(ISNUMBER(F343),F343-E343,"n/a")</f>
        <v>0</v>
      </c>
      <c r="H343" s="59" t="n">
        <v>0.500000001</v>
      </c>
      <c r="I343" s="40" t="str">
        <f aca="false">IF(ISNUMBER(F343),IF(ABS(F343-E343)&lt;=H343,"PASS","FAIL"),"FAIL")</f>
        <v>PASS</v>
      </c>
      <c r="J343" s="40" t="str">
        <f aca="false">IF(ISNUMBER(F343),IF(ROUND(F343,0)=ROUND(E343,0),"same","differs"),"n/a")</f>
        <v>same</v>
      </c>
    </row>
    <row r="344" customFormat="false" ht="15" hidden="false" customHeight="false" outlineLevel="0" collapsed="false">
      <c r="B344" s="44" t="n">
        <v>337</v>
      </c>
      <c r="C344" s="8" t="s">
        <v>942</v>
      </c>
      <c r="D344" s="8" t="s">
        <v>954</v>
      </c>
      <c r="E344" s="61" t="n">
        <v>24</v>
      </c>
      <c r="F344" s="62" t="n">
        <f aca="false">Votes!$C$25</f>
        <v>24</v>
      </c>
      <c r="G344" s="58" t="n">
        <f aca="false">IF(ISNUMBER(F344),F344-E344,"n/a")</f>
        <v>0</v>
      </c>
      <c r="H344" s="59" t="n">
        <v>0.500000001</v>
      </c>
      <c r="I344" s="40" t="str">
        <f aca="false">IF(ISNUMBER(F344),IF(ABS(F344-E344)&lt;=H344,"PASS","FAIL"),"FAIL")</f>
        <v>PASS</v>
      </c>
      <c r="J344" s="40" t="str">
        <f aca="false">IF(ISNUMBER(F344),IF(ROUND(F344,0)=ROUND(E344,0),"same","differs"),"n/a")</f>
        <v>same</v>
      </c>
    </row>
    <row r="345" customFormat="false" ht="15" hidden="false" customHeight="false" outlineLevel="0" collapsed="false">
      <c r="B345" s="44" t="n">
        <v>338</v>
      </c>
      <c r="C345" s="8" t="s">
        <v>942</v>
      </c>
      <c r="D345" s="8" t="s">
        <v>955</v>
      </c>
      <c r="E345" s="61" t="n">
        <v>38</v>
      </c>
      <c r="F345" s="62" t="n">
        <f aca="false">Votes!$C$7</f>
        <v>38</v>
      </c>
      <c r="G345" s="58" t="n">
        <f aca="false">IF(ISNUMBER(F345),F345-E345,"n/a")</f>
        <v>0</v>
      </c>
      <c r="H345" s="59" t="n">
        <v>0.500000001</v>
      </c>
      <c r="I345" s="40" t="str">
        <f aca="false">IF(ISNUMBER(F345),IF(ABS(F345-E345)&lt;=H345,"PASS","FAIL"),"FAIL")</f>
        <v>PASS</v>
      </c>
      <c r="J345" s="40" t="str">
        <f aca="false">IF(ISNUMBER(F345),IF(ROUND(F345,0)=ROUND(E345,0),"same","differs"),"n/a")</f>
        <v>same</v>
      </c>
    </row>
    <row r="346" customFormat="false" ht="15" hidden="false" customHeight="false" outlineLevel="0" collapsed="false">
      <c r="B346" s="44" t="n">
        <v>339</v>
      </c>
      <c r="C346" s="8" t="s">
        <v>942</v>
      </c>
      <c r="D346" s="8" t="s">
        <v>956</v>
      </c>
      <c r="E346" s="61" t="n">
        <v>31</v>
      </c>
      <c r="F346" s="62" t="n">
        <f aca="false">Votes!$C$9</f>
        <v>31</v>
      </c>
      <c r="G346" s="58" t="n">
        <f aca="false">IF(ISNUMBER(F346),F346-E346,"n/a")</f>
        <v>0</v>
      </c>
      <c r="H346" s="59" t="n">
        <v>0.500000001</v>
      </c>
      <c r="I346" s="40" t="str">
        <f aca="false">IF(ISNUMBER(F346),IF(ABS(F346-E346)&lt;=H346,"PASS","FAIL"),"FAIL")</f>
        <v>PASS</v>
      </c>
      <c r="J346" s="40" t="str">
        <f aca="false">IF(ISNUMBER(F346),IF(ROUND(F346,0)=ROUND(E346,0),"same","differs"),"n/a")</f>
        <v>same</v>
      </c>
    </row>
    <row r="347" customFormat="false" ht="15" hidden="false" customHeight="false" outlineLevel="0" collapsed="false">
      <c r="B347" s="44" t="n">
        <v>340</v>
      </c>
      <c r="C347" s="8" t="s">
        <v>942</v>
      </c>
      <c r="D347" s="8" t="s">
        <v>957</v>
      </c>
      <c r="E347" s="12" t="n">
        <v>0.094</v>
      </c>
      <c r="F347" s="60" t="n">
        <f aca="false">Votes!$C$26</f>
        <v>0.093744173699399</v>
      </c>
      <c r="G347" s="58" t="n">
        <f aca="false">IF(ISNUMBER(F347),F347-E347,"n/a")</f>
        <v>-0.000255826300600989</v>
      </c>
      <c r="H347" s="59" t="n">
        <v>0.000500001</v>
      </c>
      <c r="I347" s="40" t="str">
        <f aca="false">IF(ISNUMBER(F347),IF(ABS(F347-E347)&lt;=H347,"PASS","FAIL"),"FAIL")</f>
        <v>PASS</v>
      </c>
      <c r="J347" s="40" t="str">
        <f aca="false">IF(ISNUMBER(F347),IF(ROUND(F347,3)=ROUND(E347,3),"same","differs"),"n/a")</f>
        <v>same</v>
      </c>
    </row>
    <row r="348" customFormat="false" ht="15" hidden="false" customHeight="false" outlineLevel="0" collapsed="false">
      <c r="B348" s="44" t="n">
        <v>341</v>
      </c>
      <c r="C348" s="8" t="s">
        <v>942</v>
      </c>
      <c r="D348" s="8" t="s">
        <v>958</v>
      </c>
      <c r="E348" s="12" t="n">
        <v>0.011</v>
      </c>
      <c r="F348" s="60" t="n">
        <f aca="false">Votes!$C$27</f>
        <v>0.011214787330362</v>
      </c>
      <c r="G348" s="58" t="n">
        <f aca="false">IF(ISNUMBER(F348),F348-E348,"n/a")</f>
        <v>0.000214787330362017</v>
      </c>
      <c r="H348" s="59" t="n">
        <v>0.000500001</v>
      </c>
      <c r="I348" s="40" t="str">
        <f aca="false">IF(ISNUMBER(F348),IF(ABS(F348-E348)&lt;=H348,"PASS","FAIL"),"FAIL")</f>
        <v>PASS</v>
      </c>
      <c r="J348" s="40" t="str">
        <f aca="false">IF(ISNUMBER(F348),IF(ROUND(F348,3)=ROUND(E348,3),"same","differs"),"n/a")</f>
        <v>same</v>
      </c>
    </row>
    <row r="349" customFormat="false" ht="15" hidden="false" customHeight="false" outlineLevel="0" collapsed="false">
      <c r="B349" s="44" t="n">
        <v>342</v>
      </c>
      <c r="C349" s="8" t="s">
        <v>942</v>
      </c>
      <c r="D349" s="8" t="s">
        <v>959</v>
      </c>
      <c r="E349" s="61" t="n">
        <v>1</v>
      </c>
      <c r="F349" s="62" t="n">
        <f aca="false">Votes!$C$17</f>
        <v>1</v>
      </c>
      <c r="G349" s="58" t="n">
        <f aca="false">IF(ISNUMBER(F349),F349-E349,"n/a")</f>
        <v>0</v>
      </c>
      <c r="H349" s="59" t="n">
        <v>0.500000001</v>
      </c>
      <c r="I349" s="40" t="str">
        <f aca="false">IF(ISNUMBER(F349),IF(ABS(F349-E349)&lt;=H349,"PASS","FAIL"),"FAIL")</f>
        <v>PASS</v>
      </c>
      <c r="J349" s="40" t="str">
        <f aca="false">IF(ISNUMBER(F349),IF(ROUND(F349,0)=ROUND(E349,0),"same","differs"),"n/a")</f>
        <v>same</v>
      </c>
    </row>
    <row r="350" customFormat="false" ht="15" hidden="false" customHeight="false" outlineLevel="0" collapsed="false">
      <c r="B350" s="44" t="n">
        <v>343</v>
      </c>
      <c r="C350" s="8" t="s">
        <v>942</v>
      </c>
      <c r="D350" s="8" t="s">
        <v>960</v>
      </c>
      <c r="E350" s="61" t="n">
        <v>0</v>
      </c>
      <c r="F350" s="62" t="n">
        <f aca="false">Votes!$D$17</f>
        <v>0</v>
      </c>
      <c r="G350" s="58" t="n">
        <f aca="false">IF(ISNUMBER(F350),F350-E350,"n/a")</f>
        <v>0</v>
      </c>
      <c r="H350" s="59" t="n">
        <v>0.500000001</v>
      </c>
      <c r="I350" s="40" t="str">
        <f aca="false">IF(ISNUMBER(F350),IF(ABS(F350-E350)&lt;=H350,"PASS","FAIL"),"FAIL")</f>
        <v>PASS</v>
      </c>
      <c r="J350" s="40" t="str">
        <f aca="false">IF(ISNUMBER(F350),IF(ROUND(F350,0)=ROUND(E350,0),"same","differs"),"n/a")</f>
        <v>same</v>
      </c>
    </row>
    <row r="351" customFormat="false" ht="15" hidden="false" customHeight="false" outlineLevel="0" collapsed="false">
      <c r="B351" s="44" t="n">
        <v>344</v>
      </c>
      <c r="C351" s="8" t="s">
        <v>961</v>
      </c>
      <c r="D351" s="8" t="s">
        <v>962</v>
      </c>
      <c r="E351" s="9" t="n">
        <v>0.088</v>
      </c>
      <c r="F351" s="45" t="n">
        <f aca="false">Exit_Capacity!$C$7</f>
        <v>0.088</v>
      </c>
      <c r="G351" s="58" t="n">
        <f aca="false">IF(ISNUMBER(F351),F351-E351,"n/a")</f>
        <v>0</v>
      </c>
      <c r="H351" s="59" t="n">
        <v>5.0001E-005</v>
      </c>
      <c r="I351" s="40" t="str">
        <f aca="false">IF(ISNUMBER(F351),IF(ABS(F351-E351)&lt;=H351,"PASS","FAIL"),"FAIL")</f>
        <v>PASS</v>
      </c>
      <c r="J351" s="40" t="str">
        <f aca="false">IF(ISNUMBER(F351),IF(ROUND(F351,4)=ROUND(E351,4),"same","differs"),"n/a")</f>
        <v>same</v>
      </c>
    </row>
    <row r="352" customFormat="false" ht="15" hidden="false" customHeight="false" outlineLevel="0" collapsed="false">
      <c r="B352" s="44" t="n">
        <v>345</v>
      </c>
      <c r="C352" s="8" t="s">
        <v>961</v>
      </c>
      <c r="D352" s="8" t="s">
        <v>963</v>
      </c>
      <c r="E352" s="61" t="n">
        <v>138</v>
      </c>
      <c r="F352" s="62" t="n">
        <f aca="false">Exit_Capacity!$C$8</f>
        <v>138</v>
      </c>
      <c r="G352" s="58" t="n">
        <f aca="false">IF(ISNUMBER(F352),F352-E352,"n/a")</f>
        <v>0</v>
      </c>
      <c r="H352" s="59" t="n">
        <v>0.500000001</v>
      </c>
      <c r="I352" s="40" t="str">
        <f aca="false">IF(ISNUMBER(F352),IF(ABS(F352-E352)&lt;=H352,"PASS","FAIL"),"FAIL")</f>
        <v>PASS</v>
      </c>
      <c r="J352" s="40" t="str">
        <f aca="false">IF(ISNUMBER(F352),IF(ROUND(F352,0)=ROUND(E352,0),"same","differs"),"n/a")</f>
        <v>same</v>
      </c>
    </row>
    <row r="353" customFormat="false" ht="15" hidden="false" customHeight="false" outlineLevel="0" collapsed="false">
      <c r="B353" s="44" t="n">
        <v>346</v>
      </c>
      <c r="C353" s="8" t="s">
        <v>961</v>
      </c>
      <c r="D353" s="8" t="s">
        <v>964</v>
      </c>
      <c r="E353" s="56" t="n">
        <v>483</v>
      </c>
      <c r="F353" s="57" t="n">
        <f aca="false">Exit_Capacity!$C$9</f>
        <v>483</v>
      </c>
      <c r="G353" s="58" t="n">
        <f aca="false">IF(ISNUMBER(F353),F353-E353,"n/a")</f>
        <v>0</v>
      </c>
      <c r="H353" s="59" t="n">
        <v>0.050000001</v>
      </c>
      <c r="I353" s="40" t="str">
        <f aca="false">IF(ISNUMBER(F353),IF(ABS(F353-E353)&lt;=H353,"PASS","FAIL"),"FAIL")</f>
        <v>PASS</v>
      </c>
      <c r="J353" s="40" t="str">
        <f aca="false">IF(ISNUMBER(F353),IF(ROUND(F353,1)=ROUND(E353,1),"same","differs"),"n/a")</f>
        <v>same</v>
      </c>
    </row>
    <row r="354" customFormat="false" ht="15" hidden="false" customHeight="false" outlineLevel="0" collapsed="false">
      <c r="B354" s="44" t="n">
        <v>347</v>
      </c>
      <c r="C354" s="8" t="s">
        <v>961</v>
      </c>
      <c r="D354" s="8" t="s">
        <v>965</v>
      </c>
      <c r="E354" s="56" t="n">
        <v>636.4</v>
      </c>
      <c r="F354" s="57" t="n">
        <f aca="false">Exit_Capacity!$C$10</f>
        <v>636.363636363636</v>
      </c>
      <c r="G354" s="58" t="n">
        <f aca="false">IF(ISNUMBER(F354),F354-E354,"n/a")</f>
        <v>-0.0363636363636033</v>
      </c>
      <c r="H354" s="59" t="n">
        <v>0.050000001</v>
      </c>
      <c r="I354" s="40" t="str">
        <f aca="false">IF(ISNUMBER(F354),IF(ABS(F354-E354)&lt;=H354,"PASS","FAIL"),"FAIL")</f>
        <v>PASS</v>
      </c>
      <c r="J354" s="40" t="str">
        <f aca="false">IF(ISNUMBER(F354),IF(ROUND(F354,1)=ROUND(E354,1),"same","differs"),"n/a")</f>
        <v>same</v>
      </c>
    </row>
    <row r="355" customFormat="false" ht="15" hidden="false" customHeight="false" outlineLevel="0" collapsed="false">
      <c r="B355" s="44" t="n">
        <v>348</v>
      </c>
      <c r="C355" s="8" t="s">
        <v>961</v>
      </c>
      <c r="D355" s="8" t="s">
        <v>966</v>
      </c>
      <c r="E355" s="56" t="n">
        <v>512</v>
      </c>
      <c r="F355" s="57" t="n">
        <f aca="false">Exit_Capacity!$C$11</f>
        <v>511.986301369863</v>
      </c>
      <c r="G355" s="58" t="n">
        <f aca="false">IF(ISNUMBER(F355),F355-E355,"n/a")</f>
        <v>-0.0136986301370712</v>
      </c>
      <c r="H355" s="59" t="n">
        <v>0.050000001</v>
      </c>
      <c r="I355" s="40" t="str">
        <f aca="false">IF(ISNUMBER(F355),IF(ABS(F355-E355)&lt;=H355,"PASS","FAIL"),"FAIL")</f>
        <v>PASS</v>
      </c>
      <c r="J355" s="40" t="str">
        <f aca="false">IF(ISNUMBER(F355),IF(ROUND(F355,1)=ROUND(E355,1),"same","differs"),"n/a")</f>
        <v>same</v>
      </c>
    </row>
    <row r="356" customFormat="false" ht="15" hidden="false" customHeight="false" outlineLevel="0" collapsed="false">
      <c r="B356" s="44" t="n">
        <v>349</v>
      </c>
      <c r="C356" s="8" t="s">
        <v>961</v>
      </c>
      <c r="D356" s="8" t="s">
        <v>610</v>
      </c>
      <c r="E356" s="56" t="n">
        <v>483</v>
      </c>
      <c r="F356" s="57" t="n">
        <f aca="false">Exit_Capacity!$C$12</f>
        <v>483</v>
      </c>
      <c r="G356" s="58" t="n">
        <f aca="false">IF(ISNUMBER(F356),F356-E356,"n/a")</f>
        <v>0</v>
      </c>
      <c r="H356" s="59" t="n">
        <v>0.050000001</v>
      </c>
      <c r="I356" s="40" t="str">
        <f aca="false">IF(ISNUMBER(F356),IF(ABS(F356-E356)&lt;=H356,"PASS","FAIL"),"FAIL")</f>
        <v>PASS</v>
      </c>
      <c r="J356" s="40" t="str">
        <f aca="false">IF(ISNUMBER(F356),IF(ROUND(F356,1)=ROUND(E356,1),"same","differs"),"n/a")</f>
        <v>same</v>
      </c>
    </row>
    <row r="357" customFormat="false" ht="15" hidden="false" customHeight="false" outlineLevel="0" collapsed="false">
      <c r="B357" s="44" t="n">
        <v>350</v>
      </c>
      <c r="C357" s="8" t="s">
        <v>961</v>
      </c>
      <c r="D357" s="8" t="s">
        <v>613</v>
      </c>
      <c r="E357" s="66" t="n">
        <v>414.85</v>
      </c>
      <c r="F357" s="67" t="n">
        <f aca="false">Exit_Capacity!$C$17</f>
        <v>414.850769230769</v>
      </c>
      <c r="G357" s="58" t="n">
        <f aca="false">IF(ISNUMBER(F357),F357-E357,"n/a")</f>
        <v>0.00076923076926505</v>
      </c>
      <c r="H357" s="59" t="n">
        <v>0.005000001</v>
      </c>
      <c r="I357" s="40" t="str">
        <f aca="false">IF(ISNUMBER(F357),IF(ABS(F357-E357)&lt;=H357,"PASS","FAIL"),"FAIL")</f>
        <v>PASS</v>
      </c>
      <c r="J357" s="40" t="str">
        <f aca="false">IF(ISNUMBER(F357),IF(ROUND(F357,2)=ROUND(E357,2),"same","differs"),"n/a")</f>
        <v>same</v>
      </c>
    </row>
    <row r="358" customFormat="false" ht="15" hidden="false" customHeight="false" outlineLevel="0" collapsed="false">
      <c r="B358" s="44" t="n">
        <v>351</v>
      </c>
      <c r="C358" s="8" t="s">
        <v>961</v>
      </c>
      <c r="D358" s="8" t="s">
        <v>510</v>
      </c>
      <c r="E358" s="66" t="n">
        <v>3.01</v>
      </c>
      <c r="F358" s="67" t="n">
        <f aca="false">Exit_Capacity!$C$18</f>
        <v>3.00616499442586</v>
      </c>
      <c r="G358" s="58" t="n">
        <f aca="false">IF(ISNUMBER(F358),F358-E358,"n/a")</f>
        <v>-0.00383500557413541</v>
      </c>
      <c r="H358" s="59" t="n">
        <v>0.005000001</v>
      </c>
      <c r="I358" s="40" t="str">
        <f aca="false">IF(ISNUMBER(F358),IF(ABS(F358-E358)&lt;=H358,"PASS","FAIL"),"FAIL")</f>
        <v>PASS</v>
      </c>
      <c r="J358" s="40" t="str">
        <f aca="false">IF(ISNUMBER(F358),IF(ROUND(F358,2)=ROUND(E358,2),"same","differs"),"n/a")</f>
        <v>same</v>
      </c>
    </row>
    <row r="359" customFormat="false" ht="15" hidden="false" customHeight="false" outlineLevel="0" collapsed="false">
      <c r="B359" s="44" t="n">
        <v>352</v>
      </c>
      <c r="C359" s="8" t="s">
        <v>961</v>
      </c>
      <c r="D359" s="8" t="s">
        <v>614</v>
      </c>
      <c r="E359" s="12" t="n">
        <v>0.859</v>
      </c>
      <c r="F359" s="60" t="n">
        <f aca="false">Exit_Capacity!$C$19</f>
        <v>0.858904284121676</v>
      </c>
      <c r="G359" s="58" t="n">
        <f aca="false">IF(ISNUMBER(F359),F359-E359,"n/a")</f>
        <v>-9.5715878324576E-005</v>
      </c>
      <c r="H359" s="59" t="n">
        <v>0.000500001</v>
      </c>
      <c r="I359" s="40" t="str">
        <f aca="false">IF(ISNUMBER(F359),IF(ABS(F359-E359)&lt;=H359,"PASS","FAIL"),"FAIL")</f>
        <v>PASS</v>
      </c>
      <c r="J359" s="40" t="str">
        <f aca="false">IF(ISNUMBER(F359),IF(ROUND(F359,3)=ROUND(E359,3),"same","differs"),"n/a")</f>
        <v>same</v>
      </c>
    </row>
    <row r="360" customFormat="false" ht="15" hidden="false" customHeight="false" outlineLevel="0" collapsed="false">
      <c r="B360" s="44" t="n">
        <v>353</v>
      </c>
      <c r="C360" s="8" t="s">
        <v>961</v>
      </c>
      <c r="D360" s="8" t="s">
        <v>615</v>
      </c>
      <c r="E360" s="66" t="n">
        <v>36.51</v>
      </c>
      <c r="F360" s="67" t="n">
        <f aca="false">Exit_Capacity!$C$20</f>
        <v>36.5068676923077</v>
      </c>
      <c r="G360" s="58" t="n">
        <f aca="false">IF(ISNUMBER(F360),F360-E360,"n/a")</f>
        <v>-0.00313230769230444</v>
      </c>
      <c r="H360" s="59" t="n">
        <v>0.005000001</v>
      </c>
      <c r="I360" s="40" t="str">
        <f aca="false">IF(ISNUMBER(F360),IF(ABS(F360-E360)&lt;=H360,"PASS","FAIL"),"FAIL")</f>
        <v>PASS</v>
      </c>
      <c r="J360" s="40" t="str">
        <f aca="false">IF(ISNUMBER(F360),IF(ROUND(F360,2)=ROUND(E360,2),"same","differs"),"n/a")</f>
        <v>same</v>
      </c>
    </row>
    <row r="361" customFormat="false" ht="15" hidden="false" customHeight="false" outlineLevel="0" collapsed="false">
      <c r="B361" s="44" t="n">
        <v>354</v>
      </c>
      <c r="C361" s="8" t="s">
        <v>961</v>
      </c>
      <c r="D361" s="8" t="s">
        <v>967</v>
      </c>
      <c r="E361" s="66" t="n">
        <v>14.12</v>
      </c>
      <c r="F361" s="67" t="n">
        <f aca="false">Exit_Capacity!$C$21</f>
        <v>14.1232830769231</v>
      </c>
      <c r="G361" s="58" t="n">
        <f aca="false">IF(ISNUMBER(F361),F361-E361,"n/a")</f>
        <v>0.00328307692307739</v>
      </c>
      <c r="H361" s="59" t="n">
        <v>0.005000001</v>
      </c>
      <c r="I361" s="40" t="str">
        <f aca="false">IF(ISNUMBER(F361),IF(ABS(F361-E361)&lt;=H361,"PASS","FAIL"),"FAIL")</f>
        <v>PASS</v>
      </c>
      <c r="J361" s="40" t="str">
        <f aca="false">IF(ISNUMBER(F361),IF(ROUND(F361,2)=ROUND(E361,2),"same","differs"),"n/a")</f>
        <v>same</v>
      </c>
    </row>
    <row r="362" customFormat="false" ht="15" hidden="false" customHeight="false" outlineLevel="0" collapsed="false">
      <c r="B362" s="44" t="n">
        <v>355</v>
      </c>
      <c r="C362" s="8" t="s">
        <v>961</v>
      </c>
      <c r="D362" s="8" t="s">
        <v>968</v>
      </c>
      <c r="E362" s="66" t="n">
        <v>47.37</v>
      </c>
      <c r="F362" s="67" t="n">
        <f aca="false">Exit_Capacity!$C$22</f>
        <v>47.3698492307692</v>
      </c>
      <c r="G362" s="58" t="n">
        <f aca="false">IF(ISNUMBER(F362),F362-E362,"n/a")</f>
        <v>-0.00015076923076407</v>
      </c>
      <c r="H362" s="59" t="n">
        <v>0.005000001</v>
      </c>
      <c r="I362" s="40" t="str">
        <f aca="false">IF(ISNUMBER(F362),IF(ABS(F362-E362)&lt;=H362,"PASS","FAIL"),"FAIL")</f>
        <v>PASS</v>
      </c>
      <c r="J362" s="40" t="str">
        <f aca="false">IF(ISNUMBER(F362),IF(ROUND(F362,2)=ROUND(E362,2),"same","differs"),"n/a")</f>
        <v>same</v>
      </c>
    </row>
    <row r="363" customFormat="false" ht="15" hidden="false" customHeight="false" outlineLevel="0" collapsed="false">
      <c r="B363" s="44" t="n">
        <v>356</v>
      </c>
      <c r="C363" s="8" t="s">
        <v>961</v>
      </c>
      <c r="D363" s="8" t="s">
        <v>618</v>
      </c>
      <c r="E363" s="66" t="n">
        <v>2.68</v>
      </c>
      <c r="F363" s="67" t="n">
        <f aca="false">Exit_Capacity!$C$23</f>
        <v>2.68442641603704</v>
      </c>
      <c r="G363" s="58" t="n">
        <f aca="false">IF(ISNUMBER(F363),F363-E363,"n/a")</f>
        <v>0.0044264160370413</v>
      </c>
      <c r="H363" s="59" t="n">
        <v>0.005000001</v>
      </c>
      <c r="I363" s="40" t="str">
        <f aca="false">IF(ISNUMBER(F363),IF(ABS(F363-E363)&lt;=H363,"PASS","FAIL"),"FAIL")</f>
        <v>PASS</v>
      </c>
      <c r="J363" s="40" t="str">
        <f aca="false">IF(ISNUMBER(F363),IF(ROUND(F363,2)=ROUND(E363,2),"same","differs"),"n/a")</f>
        <v>same</v>
      </c>
    </row>
    <row r="364" customFormat="false" ht="15" hidden="false" customHeight="false" outlineLevel="0" collapsed="false">
      <c r="B364" s="44" t="n">
        <v>357</v>
      </c>
      <c r="C364" s="8" t="s">
        <v>961</v>
      </c>
      <c r="D364" s="8" t="s">
        <v>969</v>
      </c>
      <c r="E364" s="12" t="n">
        <v>0.446</v>
      </c>
      <c r="F364" s="60" t="n">
        <f aca="false">Exit_Capacity!$C$32</f>
        <v>0.445602408026756</v>
      </c>
      <c r="G364" s="58" t="n">
        <f aca="false">IF(ISNUMBER(F364),F364-E364,"n/a")</f>
        <v>-0.000397591973244127</v>
      </c>
      <c r="H364" s="59" t="n">
        <v>0.000500001</v>
      </c>
      <c r="I364" s="40" t="str">
        <f aca="false">IF(ISNUMBER(F364),IF(ABS(F364-E364)&lt;=H364,"PASS","FAIL"),"FAIL")</f>
        <v>PASS</v>
      </c>
      <c r="J364" s="40" t="str">
        <f aca="false">IF(ISNUMBER(F364),IF(ROUND(F364,3)=ROUND(E364,3),"same","differs"),"n/a")</f>
        <v>same</v>
      </c>
    </row>
    <row r="365" customFormat="false" ht="15" hidden="false" customHeight="false" outlineLevel="0" collapsed="false">
      <c r="B365" s="44" t="n">
        <v>358</v>
      </c>
      <c r="C365" s="8" t="s">
        <v>961</v>
      </c>
      <c r="D365" s="8" t="s">
        <v>970</v>
      </c>
      <c r="E365" s="56" t="n">
        <v>76.5</v>
      </c>
      <c r="F365" s="57" t="n">
        <f aca="false">Exit_Capacity!$C$30</f>
        <v>76.5068676923077</v>
      </c>
      <c r="G365" s="58" t="n">
        <f aca="false">IF(ISNUMBER(F365),F365-E365,"n/a")</f>
        <v>0.00686769230769357</v>
      </c>
      <c r="H365" s="59" t="n">
        <v>0.050000001</v>
      </c>
      <c r="I365" s="40" t="str">
        <f aca="false">IF(ISNUMBER(F365),IF(ABS(F365-E365)&lt;=H365,"PASS","FAIL"),"FAIL")</f>
        <v>PASS</v>
      </c>
      <c r="J365" s="40" t="str">
        <f aca="false">IF(ISNUMBER(F365),IF(ROUND(F365,1)=ROUND(E365,1),"same","differs"),"n/a")</f>
        <v>same</v>
      </c>
    </row>
    <row r="366" customFormat="false" ht="15" hidden="false" customHeight="false" outlineLevel="0" collapsed="false">
      <c r="B366" s="44" t="n">
        <v>359</v>
      </c>
      <c r="C366" s="8" t="s">
        <v>961</v>
      </c>
      <c r="D366" s="8" t="s">
        <v>971</v>
      </c>
      <c r="E366" s="66" t="n">
        <v>81.51</v>
      </c>
      <c r="F366" s="67" t="n">
        <f aca="false">Exit_Capacity!$C$27</f>
        <v>81.5068676923077</v>
      </c>
      <c r="G366" s="58" t="n">
        <f aca="false">IF(ISNUMBER(F366),F366-E366,"n/a")</f>
        <v>-0.00313230769231154</v>
      </c>
      <c r="H366" s="59" t="n">
        <v>0.005000001</v>
      </c>
      <c r="I366" s="40" t="str">
        <f aca="false">IF(ISNUMBER(F366),IF(ABS(F366-E366)&lt;=H366,"PASS","FAIL"),"FAIL")</f>
        <v>PASS</v>
      </c>
      <c r="J366" s="40" t="str">
        <f aca="false">IF(ISNUMBER(F366),IF(ROUND(F366,2)=ROUND(E366,2),"same","differs"),"n/a")</f>
        <v>same</v>
      </c>
    </row>
  </sheetData>
  <conditionalFormatting sqref="I8:I366">
    <cfRule type="cellIs" priority="2" operator="equal" aboveAverage="0" equalAverage="0" bottom="0" percent="0" rank="0" text="" dxfId="0">
      <formula>"FAIL"</formula>
    </cfRule>
  </conditionalFormatting>
  <conditionalFormatting sqref="J8:J366">
    <cfRule type="cellIs" priority="3" operator="equal" aboveAverage="0" equalAverage="0" bottom="0" percent="0" rank="0" text="" dxfId="0">
      <formula>"differs"</formula>
    </cfRule>
  </conditionalFormatting>
  <conditionalFormatting sqref="E6">
    <cfRule type="cellIs" priority="4" operator="greaterThan" aboveAverage="0" equalAverage="0" bottom="0" percent="0" rank="0" text="" dxfId="0">
      <formula>0</formula>
    </cfRule>
  </conditionalFormatting>
  <conditionalFormatting sqref="J5">
    <cfRule type="cellIs" priority="5" operator="greater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2026-09-23T22:18:47Z</dcterms:created>
  <dc:creator>openpyxl</dc:creator>
  <dc:description/>
  <dc:language>en-US</dc:language>
  <cp:lastModifiedBy/>
  <dcterms:modified xsi:type="dcterms:W3CDTF">2026-09-23T22:18:48Z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