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README" sheetId="1" state="visible" r:id="rId3"/>
    <sheet name="Inputs" sheetId="2" state="visible" r:id="rId4"/>
    <sheet name="Simplified_Waterfall" sheetId="3" state="visible" r:id="rId5"/>
    <sheet name="Amend_Extend" sheetId="4" state="visible" r:id="rId6"/>
    <sheet name="Exchange" sheetId="5" state="visible" r:id="rId7"/>
    <sheet name="Uptier" sheetId="6" state="visible" r:id="rId8"/>
    <sheet name="Drop_Down" sheetId="7" state="visible" r:id="rId9"/>
    <sheet name="Re_Default" sheetId="8" state="visible" r:id="rId10"/>
    <sheet name="Checks" sheetId="9" state="visible" r:id="rId11"/>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<sst xmlns="http://schemas.openxmlformats.org/spreadsheetml/2006/main" count="1501" uniqueCount="851">
  <si>
    <t xml:space="preserve">Brantwell Coatings Group: Liability Management Exercises</t>
  </si>
  <si>
    <t xml:space="preserve">What this file is</t>
  </si>
  <si>
    <t xml:space="preserve">Part II of The Corporate Restructuring Handbook (Julian R. Sterling): the liability management exercises open to Brantwell Coatings Group (fictional) out of court. The amend and extend (Chapter 6), the discounted exchange (Chapter 7), the non-pro-rata uptier (Chapter 8), the drop-down (Chapter 9) and the re-default test with its class-by-class comparison (Chapter 10). The Checks sheet compares every figure the book prints from Part II with the live cells.</t>
  </si>
  <si>
    <t xml:space="preserve">The simplified waterfall used throughout Part II</t>
  </si>
  <si>
    <t xml:space="preserve">To isolate each transaction, Part II assumes a later default in which all enterprise value is secured for the first lien (no unencumbered value), cash above the $25 million minimum is added to value (it is there to be distributed), administrative, priority and cure claims of $30 million (one assumption) are paid first, the first lien is taken at face ($950 million, without accrued interest), and the unsecured pool is the notes ($400 million) plus other unsecured claims ($105 million: trade 72, lease rejection 21, litigation 12). The cash counted is the cash on the balance sheet at the default: 45 today (20 above the minimum), 179 after the uptier (154 above), the cash left after two years in the drop-down and at month 32 in the re-default test. Each transaction inserts its tranches into this order. Chapter 12 (the Valuation_Waterfall_Plan workbook) puts the unencumbered value, the DIP and accrued interest back.</t>
  </si>
  <si>
    <t xml:space="preserve">Conventions</t>
  </si>
  <si>
    <t xml:space="preserve">US dollars in millions. Blue font = hard-coded input (Inputs sheet; the Book column on Checks). Black = live formula. No macros, data tables, Goal Seek or circular references. Amounts one decimal, ratios 0.00x, percentages 0.0%. The book rounds half up, as Excel displays; the Checks sheet counts any live value that would display differently from the book (zero).</t>
  </si>
  <si>
    <t xml:space="preserve">Present values in Part II use one method: each flow is discounted at its own claim's contract rate, so a loan serviced on time and repaid in full is worth exactly its face. Loans pay monthly and are discounted monthly: 8.30% for the term loan, 8.05% for the RCF, 10.80% for the uptier's new money. The notes pay semi-annual coupons (months 3, 9, 15, 21, 27, 33 and 39: the week-11 coupon falls around month 3) and are discounted at 7.25% compounded semi-annually. Other unsecured claims carry no contract rate and are discounted at the term loan's 8.30%. The uptier group's new money enters as an outflow of 196 at month 0.</t>
  </si>
  <si>
    <t xml:space="preserve">The drop-down schedule has 24 monthly rows (default 24 months later) and the re-default schedule 32 monthly rows (the minority's maturity, month 32): the horizon is set by the layout. In the drop-down the RCF is repaid from the group's cash at its month-14 maturity, and its commitment fee stops with it. The case values today (1,170 / 975 / 815) and the case EBITDA paths are inputs here; they are computed in the Valuation_Waterfall_Plan workbook.</t>
  </si>
  <si>
    <t xml:space="preserve">Amend and extend: the fee is paid in cash at closing; the cut in RCF commitments moves the springing trigger below the amount drawn, so the test applies every quarter and the covenant is reset to 7.50x. Usable liquidity after the A&amp;E is the lesser of the cash above the minimum plus the undrawn RCF and the further net-debt increase the reset covenant allows at LTM EBITDA.</t>
  </si>
  <si>
    <t xml:space="preserve">Exchange: the recovery grids take the new second lien at face. In a later Chapter 11 case a claim on debt issued at a discount may be allowed only at its accreted value (unamortized discount can be disallowed as unmatured interest), so the grids flatter participants in an early default; the point is for counsel. Uptier: two assumed terms drive the reading, the roll at 95 (a 30 discount the group gives up) and the 12 of fees, paid to advisers and arrangers outside the capital structure (if part were paid to the group, its gain rises by that amount).</t>
  </si>
  <si>
    <t xml:space="preserve">Re-default comparison: NOW uses the valuation chapter's blended case values (1,170 / 975 / 815), LATER the 7.0x multiple on year-3 EBITDA. The basis note at the foot of Re_Default recomputes NOW on the single basis of 7.0x year-1 EBITDA (1,050 / 966 / 840): the changes move but none changes sign.</t>
  </si>
  <si>
    <t xml:space="preserve">Sheets</t>
  </si>
  <si>
    <t xml:space="preserve">Inputs; Simplified_Waterfall (starting position and the pre-LME recovery grid); Amend_Extend (maturity, price, commitments, the covenant reset and usable liquidity); Exchange (participation, price and coupon as inputs; debt reduction, interest saving, thresholds and the recovery grid for participants, holdouts and trade); Uptier (the transaction and the immediate-default grid); Drop_Down (baskets, on-the-day and two-years-later comparisons, 24-month schedule); Re_Default (refinancing test, 32-month schedule per case, month-32 waterfall, present value per class, class-by-class change, the basis note); Checks.</t>
  </si>
  <si>
    <t xml:space="preserve">How to use it</t>
  </si>
  <si>
    <t xml:space="preserve">Change an input on Inputs (for example the exchange participation, price or coupon, the uptier's roll-up price, the drop-down's new debt, the refinancing leverage) and read the grids. The Checks sheet must show zero FAIL with the book's inputs; after a change, the FAILs show which printed figures moved. Source: model/model.py (sections 0 and 8) and book/_FACTS.md.</t>
  </si>
  <si>
    <t xml:space="preserve">Inputs</t>
  </si>
  <si>
    <t xml:space="preserve">Blue = hard-coded input.</t>
  </si>
  <si>
    <t xml:space="preserve">Company and capital structure at month 0</t>
  </si>
  <si>
    <t xml:space="preserve">Parameter</t>
  </si>
  <si>
    <t xml:space="preserve">Value</t>
  </si>
  <si>
    <t xml:space="preserve">Unit</t>
  </si>
  <si>
    <t xml:space="preserve">Source / note</t>
  </si>
  <si>
    <t xml:space="preserve">Reference rate (SOFR)</t>
  </si>
  <si>
    <t xml:space="preserve">% a year</t>
  </si>
  <si>
    <t xml:space="preserve">Assumption, flat</t>
  </si>
  <si>
    <t xml:space="preserve">Cash at month 0</t>
  </si>
  <si>
    <t xml:space="preserve">$m</t>
  </si>
  <si>
    <t xml:space="preserve">Minimum operating cash</t>
  </si>
  <si>
    <t xml:space="preserve">Adjusted EBITDA, last twelve months</t>
  </si>
  <si>
    <t xml:space="preserve">Maintenance capex</t>
  </si>
  <si>
    <t xml:space="preserve">$m a year</t>
  </si>
  <si>
    <t xml:space="preserve">Growth capex</t>
  </si>
  <si>
    <t xml:space="preserve">Cash taxes (pre-restructuring)</t>
  </si>
  <si>
    <t xml:space="preserve">RCF commitments</t>
  </si>
  <si>
    <t xml:space="preserve">RCF drawn</t>
  </si>
  <si>
    <t xml:space="preserve">RCF margin</t>
  </si>
  <si>
    <t xml:space="preserve">RCF commitment fee on undrawn</t>
  </si>
  <si>
    <t xml:space="preserve">Springing test trigger (share of commitments drawn)</t>
  </si>
  <si>
    <t xml:space="preserve">%</t>
  </si>
  <si>
    <t xml:space="preserve">Covenant: maximum first-lien net leverage</t>
  </si>
  <si>
    <t xml:space="preserve">x</t>
  </si>
  <si>
    <t xml:space="preserve">RCF maturity</t>
  </si>
  <si>
    <t xml:space="preserve">month</t>
  </si>
  <si>
    <t xml:space="preserve">Term loan B</t>
  </si>
  <si>
    <t xml:space="preserve">Term loan B margin</t>
  </si>
  <si>
    <t xml:space="preserve">Term loan B amortization</t>
  </si>
  <si>
    <t xml:space="preserve">Term loan B maturity (the minority's maturity after the uptier)</t>
  </si>
  <si>
    <t xml:space="preserve">Senior unsecured notes</t>
  </si>
  <si>
    <t xml:space="preserve">Notes coupon (fixed)</t>
  </si>
  <si>
    <t xml:space="preserve">Notes coupons a year</t>
  </si>
  <si>
    <t xml:space="preserve">per year</t>
  </si>
  <si>
    <t xml:space="preserve">Semi-annual</t>
  </si>
  <si>
    <t xml:space="preserve">First notes coupon (the week-11 coupon), month</t>
  </si>
  <si>
    <t xml:space="preserve">Then every 12 / 2 = 6 months: 3, 9, 15, 21, 27, ...</t>
  </si>
  <si>
    <t xml:space="preserve">Simplified waterfall (Part II)</t>
  </si>
  <si>
    <t xml:space="preserve">Trade claims</t>
  </si>
  <si>
    <t xml:space="preserve">Lease rejection damages</t>
  </si>
  <si>
    <t xml:space="preserve">Litigation claims</t>
  </si>
  <si>
    <t xml:space="preserve">Administrative, priority and cure claims paid first</t>
  </si>
  <si>
    <t xml:space="preserve">Assumption of Part II</t>
  </si>
  <si>
    <t xml:space="preserve">Enterprise values tested</t>
  </si>
  <si>
    <t xml:space="preserve">Enterprise value ($m)</t>
  </si>
  <si>
    <t xml:space="preserve">Amend and extend (Chapter 6)</t>
  </si>
  <si>
    <t xml:space="preserve">Maturity extension</t>
  </si>
  <si>
    <t xml:space="preserve">months</t>
  </si>
  <si>
    <t xml:space="preserve">Margin increase</t>
  </si>
  <si>
    <t xml:space="preserve">Amendment fee, paid in cash at closing</t>
  </si>
  <si>
    <t xml:space="preserve">% of TLB</t>
  </si>
  <si>
    <t xml:space="preserve">RCF commitments after the A&amp;E</t>
  </si>
  <si>
    <t xml:space="preserve">Reset covenant level</t>
  </si>
  <si>
    <t xml:space="preserve">Assumption</t>
  </si>
  <si>
    <t xml:space="preserve">Discounted exchange (Chapter 7)</t>
  </si>
  <si>
    <t xml:space="preserve">Participation</t>
  </si>
  <si>
    <t xml:space="preserve">% of notes</t>
  </si>
  <si>
    <t xml:space="preserve">Exchange price (new second lien per $ of old face)</t>
  </si>
  <si>
    <t xml:space="preserve">% of face</t>
  </si>
  <si>
    <t xml:space="preserve">Coupon on the new second-lien notes</t>
  </si>
  <si>
    <t xml:space="preserve">Non-pro-rata uptier (Chapter 8)</t>
  </si>
  <si>
    <t xml:space="preserve">Ad hoc group's holding of the TLB</t>
  </si>
  <si>
    <t xml:space="preserve">Required Lenders: more than this share of loans and commitments</t>
  </si>
  <si>
    <t xml:space="preserve">New money (super-priority first-out)</t>
  </si>
  <si>
    <t xml:space="preserve">Original issue discount</t>
  </si>
  <si>
    <t xml:space="preserve">New money margin</t>
  </si>
  <si>
    <t xml:space="preserve">Roll-up price of the group's TLB into second-out</t>
  </si>
  <si>
    <t xml:space="preserve">Transaction fees</t>
  </si>
  <si>
    <t xml:space="preserve">Drop-down (Chapter 9)</t>
  </si>
  <si>
    <t xml:space="preserve">Marine division EBITDA (LTM)</t>
  </si>
  <si>
    <t xml:space="preserve">Division value multiple (LTM)</t>
  </si>
  <si>
    <t xml:space="preserve">Basket: general investments</t>
  </si>
  <si>
    <t xml:space="preserve">Assumption, Brantwell's baskets</t>
  </si>
  <si>
    <t xml:space="preserve">Basket: EBITDA-grower (share of LTM EBITDA)</t>
  </si>
  <si>
    <t xml:space="preserve">Basket: investments in non-guarantor subsidiaries</t>
  </si>
  <si>
    <t xml:space="preserve">Basket: builder basket</t>
  </si>
  <si>
    <t xml:space="preserve">New debt raised by the unrestricted subsidiary</t>
  </si>
  <si>
    <t xml:space="preserve">New debt margin</t>
  </si>
  <si>
    <t xml:space="preserve">Re-default test (Chapter 10)</t>
  </si>
  <si>
    <t xml:space="preserve">Maximum total leverage at which the market refinances</t>
  </si>
  <si>
    <t xml:space="preserve">Default value multiple of year-3 EBITDA</t>
  </si>
  <si>
    <t xml:space="preserve">Management case value today</t>
  </si>
  <si>
    <t xml:space="preserve">From the valuation workbook</t>
  </si>
  <si>
    <t xml:space="preserve">Lender case value today (plan value)</t>
  </si>
  <si>
    <t xml:space="preserve">Downside case value today</t>
  </si>
  <si>
    <t xml:space="preserve">Case EBITDA ($m)</t>
  </si>
  <si>
    <t xml:space="preserve">Management</t>
  </si>
  <si>
    <t xml:space="preserve">Lender</t>
  </si>
  <si>
    <t xml:space="preserve">Downside</t>
  </si>
  <si>
    <t xml:space="preserve">Starting position and the simplified waterfall before any transaction ($m)</t>
  </si>
  <si>
    <t xml:space="preserve">Part II convention: all value secured for the first lien, cash above the minimum added, $30m first.</t>
  </si>
  <si>
    <t xml:space="preserve">Starting position</t>
  </si>
  <si>
    <t xml:space="preserve">Item</t>
  </si>
  <si>
    <t xml:space="preserve">Note</t>
  </si>
  <si>
    <t xml:space="preserve">RCF rate</t>
  </si>
  <si>
    <t xml:space="preserve">Term loan B rate</t>
  </si>
  <si>
    <t xml:space="preserve">First-lien debt</t>
  </si>
  <si>
    <t xml:space="preserve">Total debt</t>
  </si>
  <si>
    <t xml:space="preserve">Interest: term loan B</t>
  </si>
  <si>
    <t xml:space="preserve">Interest: RCF</t>
  </si>
  <si>
    <t xml:space="preserve">RCF commitment fee</t>
  </si>
  <si>
    <t xml:space="preserve">Interest: notes</t>
  </si>
  <si>
    <t xml:space="preserve">Annual cash interest</t>
  </si>
  <si>
    <t xml:space="preserve">Term loan amortization a year</t>
  </si>
  <si>
    <t xml:space="preserve">Annual free cash flow at LTM EBITDA</t>
  </si>
  <si>
    <t xml:space="preserve">Total leverage</t>
  </si>
  <si>
    <t xml:space="preserve">First-lien net leverage</t>
  </si>
  <si>
    <t xml:space="preserve">Other unsecured claims (trade + lease + litigation)</t>
  </si>
  <si>
    <t xml:space="preserve">Unsecured pool (notes + other)</t>
  </si>
  <si>
    <t xml:space="preserve">Cash above the minimum today (added to value)</t>
  </si>
  <si>
    <t xml:space="preserve">Notes recover nothing below EV</t>
  </si>
  <si>
    <t xml:space="preserve">Value + excess cash - 30 just covers the first lien</t>
  </si>
  <si>
    <t xml:space="preserve">Notes impaired below EV</t>
  </si>
  <si>
    <t xml:space="preserve">Recovery on the pre-LME structure (today's cash included)</t>
  </si>
  <si>
    <t xml:space="preserve">EV 1</t>
  </si>
  <si>
    <t xml:space="preserve">EV 2</t>
  </si>
  <si>
    <t xml:space="preserve">EV 3</t>
  </si>
  <si>
    <t xml:space="preserve">EV 4</t>
  </si>
  <si>
    <t xml:space="preserve">EV 5</t>
  </si>
  <si>
    <t xml:space="preserve">EV 6</t>
  </si>
  <si>
    <t xml:space="preserve">EV 7</t>
  </si>
  <si>
    <t xml:space="preserve">Enterprise value</t>
  </si>
  <si>
    <t xml:space="preserve">Cash above the minimum</t>
  </si>
  <si>
    <t xml:space="preserve">Distributable (EV + excess cash - 30)</t>
  </si>
  <si>
    <t xml:space="preserve">First lien recovery</t>
  </si>
  <si>
    <t xml:space="preserve">First lien recovery, % of claim</t>
  </si>
  <si>
    <t xml:space="preserve">Value left after the first lien</t>
  </si>
  <si>
    <t xml:space="preserve">Unsecured recovery (pool)</t>
  </si>
  <si>
    <t xml:space="preserve">of which notes</t>
  </si>
  <si>
    <t xml:space="preserve">of which other unsecured</t>
  </si>
  <si>
    <t xml:space="preserve">Notes and other unsecured, % of claim</t>
  </si>
  <si>
    <t xml:space="preserve">Pro rata: every unsecured dollar recovers the same</t>
  </si>
  <si>
    <t xml:space="preserve">Equity</t>
  </si>
  <si>
    <t xml:space="preserve">Conservation check (should be zero)</t>
  </si>
  <si>
    <t xml:space="preserve">Amend and extend ($m)</t>
  </si>
  <si>
    <t xml:space="preserve">Chapter 6. An A&amp;E is always a package: maturity, price, covenant, commitments.</t>
  </si>
  <si>
    <t xml:space="preserve">Before and after</t>
  </si>
  <si>
    <t xml:space="preserve">Before</t>
  </si>
  <si>
    <t xml:space="preserve">After A&amp;E</t>
  </si>
  <si>
    <t xml:space="preserve">Term loan maturity (month)</t>
  </si>
  <si>
    <t xml:space="preserve">Term loan rate</t>
  </si>
  <si>
    <t xml:space="preserve">RCF maturity (month)</t>
  </si>
  <si>
    <t xml:space="preserve">RCF undrawn</t>
  </si>
  <si>
    <t xml:space="preserve">Springing trigger (35% of commitments)</t>
  </si>
  <si>
    <t xml:space="preserve">The cut puts the trigger below the 50 already drawn</t>
  </si>
  <si>
    <t xml:space="preserve">Test applies every quarter (1 = drawn above trigger)</t>
  </si>
  <si>
    <t xml:space="preserve">Covenant level</t>
  </si>
  <si>
    <t xml:space="preserve">So the A&amp;E must reset the covenant</t>
  </si>
  <si>
    <t xml:space="preserve">Cash</t>
  </si>
  <si>
    <t xml:space="preserve">The fee is paid in cash at closing</t>
  </si>
  <si>
    <t xml:space="preserve">First-lien net debt</t>
  </si>
  <si>
    <t xml:space="preserve">EBITDA needed to pass</t>
  </si>
  <si>
    <t xml:space="preserve">Cushion below LTM EBITDA (negative = shortfall)</t>
  </si>
  <si>
    <t xml:space="preserve">Passes the test at LTM EBITDA (1 = yes)</t>
  </si>
  <si>
    <t xml:space="preserve">Net debt the covenant allows at LTM EBITDA</t>
  </si>
  <si>
    <t xml:space="preserve">Covenant headroom: further net-debt increase allowed</t>
  </si>
  <si>
    <t xml:space="preserve">Every dollar spent raises net debt by a dollar</t>
  </si>
  <si>
    <t xml:space="preserve">Cash above the minimum + RCF that can be drawn</t>
  </si>
  <si>
    <t xml:space="preserve">Before: only up to the trigger; after: the test applies anyway, so all the undrawn RCF</t>
  </si>
  <si>
    <t xml:space="preserve">Usable liquidity</t>
  </si>
  <si>
    <t xml:space="preserve">When the test applies, capped by the covenant headroom</t>
  </si>
  <si>
    <t xml:space="preserve">Extra TLB margin less the commitment fee saved on the smaller RCF</t>
  </si>
  <si>
    <t xml:space="preserve">Worse burn</t>
  </si>
  <si>
    <t xml:space="preserve">The price of the time</t>
  </si>
  <si>
    <t xml:space="preserve">Amendment fee (cash at closing)</t>
  </si>
  <si>
    <t xml:space="preserve">Extra cash interest a year</t>
  </si>
  <si>
    <t xml:space="preserve">Commitment fee saved a year on the smaller RCF</t>
  </si>
  <si>
    <t xml:space="preserve">Months to the new maturity</t>
  </si>
  <si>
    <t xml:space="preserve">Cost to the new maturity (fee + extra margin)</t>
  </si>
  <si>
    <t xml:space="preserve">Paid in the currency the company is short of</t>
  </si>
  <si>
    <t xml:space="preserve">Lender yield pickup a year</t>
  </si>
  <si>
    <t xml:space="preserve">Margin + fee spread over the new remaining life</t>
  </si>
  <si>
    <t xml:space="preserve">Years of burn the usable liquidity covers after the A&amp;E</t>
  </si>
  <si>
    <t xml:space="preserve">It solves a maturity or covenant problem, not a solvency problem</t>
  </si>
  <si>
    <t xml:space="preserve">Discounted exchange into second-lien notes ($m)</t>
  </si>
  <si>
    <t xml:space="preserve">Chapter 7. Participation, price and coupon are inputs (Inputs sheet).</t>
  </si>
  <si>
    <t xml:space="preserve">The transaction</t>
  </si>
  <si>
    <t xml:space="preserve">Exchange price</t>
  </si>
  <si>
    <t xml:space="preserve">New second-lien coupon</t>
  </si>
  <si>
    <t xml:space="preserve">Notes tendered</t>
  </si>
  <si>
    <t xml:space="preserve">New second-lien notes issued</t>
  </si>
  <si>
    <t xml:space="preserve">Holdouts keep (old unsecured notes)</t>
  </si>
  <si>
    <t xml:space="preserve">Debt reduction</t>
  </si>
  <si>
    <t xml:space="preserve">Total debt after</t>
  </si>
  <si>
    <t xml:space="preserve">Total leverage before</t>
  </si>
  <si>
    <t xml:space="preserve">Total leverage after</t>
  </si>
  <si>
    <t xml:space="preserve">Notes cash interest before</t>
  </si>
  <si>
    <t xml:space="preserve">Second-lien interest after</t>
  </si>
  <si>
    <t xml:space="preserve">Holdouts' interest after</t>
  </si>
  <si>
    <t xml:space="preserve">Cash interest after</t>
  </si>
  <si>
    <t xml:space="preserve">Interest saving a year</t>
  </si>
  <si>
    <t xml:space="preserve">Leverage optics and priority, not liquidity</t>
  </si>
  <si>
    <t xml:space="preserve">Thresholds (today's cash above the minimum included)</t>
  </si>
  <si>
    <t xml:space="preserve">Enterprise value at which</t>
  </si>
  <si>
    <t xml:space="preserve">the first lien is full and participants start to recover</t>
  </si>
  <si>
    <t xml:space="preserve">the second lien is full (holdouts and trade start to recover)</t>
  </si>
  <si>
    <t xml:space="preserve">a holdout recovers as much as a participant</t>
  </si>
  <si>
    <t xml:space="preserve">Participant capped at the exchange price per $ of old face</t>
  </si>
  <si>
    <t xml:space="preserve">Recovery in a later default (simplified waterfall, today's cash included)</t>
  </si>
  <si>
    <t xml:space="preserve">First lien</t>
  </si>
  <si>
    <t xml:space="preserve">Second lien (participants)</t>
  </si>
  <si>
    <t xml:space="preserve">Unsecured claims (holdouts + other)</t>
  </si>
  <si>
    <t xml:space="preserve">Unsecured recovery</t>
  </si>
  <si>
    <t xml:space="preserve">of which holdouts</t>
  </si>
  <si>
    <t xml:space="preserve">of which other unsecured (trade etc.)</t>
  </si>
  <si>
    <t xml:space="preserve">Per dollar of old note face</t>
  </si>
  <si>
    <t xml:space="preserve">Before the exchange: every unsecured claim</t>
  </si>
  <si>
    <t xml:space="preserve">After: participant</t>
  </si>
  <si>
    <t xml:space="preserve">After: holdout</t>
  </si>
  <si>
    <t xml:space="preserve">After: other unsecured (trade etc.)</t>
  </si>
  <si>
    <t xml:space="preserve">Participant minus holdout</t>
  </si>
  <si>
    <t xml:space="preserve">Positive: tendering pays, whatever the others do</t>
  </si>
  <si>
    <t xml:space="preserve">In total ($m)</t>
  </si>
  <si>
    <t xml:space="preserve">Notes as a group, before</t>
  </si>
  <si>
    <t xml:space="preserve">Notes as a group, after (second lien + holdouts)</t>
  </si>
  <si>
    <t xml:space="preserve">Other unsecured, before</t>
  </si>
  <si>
    <t xml:space="preserve">Other unsecured, after</t>
  </si>
  <si>
    <t xml:space="preserve">A transfer from the trade to the notes</t>
  </si>
  <si>
    <t xml:space="preserve">Non-pro-rata uptier ($m)</t>
  </si>
  <si>
    <t xml:space="preserve">Chapter 8. The uptier is insurance for the group, paid for by the minority.</t>
  </si>
  <si>
    <t xml:space="preserve">Control of the amendment</t>
  </si>
  <si>
    <t xml:space="preserve">Loans and commitments (TLB + RCF commitments)</t>
  </si>
  <si>
    <t xml:space="preserve">Required Lenders: more than</t>
  </si>
  <si>
    <t xml:space="preserve">Group's share of loans and commitments</t>
  </si>
  <si>
    <t xml:space="preserve">Group can amend alone (1 = yes)</t>
  </si>
  <si>
    <t xml:space="preserve">New money rate (SOFR + margin)</t>
  </si>
  <si>
    <t xml:space="preserve">Cash in from the new money (net of OID)</t>
  </si>
  <si>
    <t xml:space="preserve">Group's TLB rolled into second-out</t>
  </si>
  <si>
    <t xml:space="preserve">Minority TLB left behind (ranks third)</t>
  </si>
  <si>
    <t xml:space="preserve">RCF repaid and cancelled</t>
  </si>
  <si>
    <t xml:space="preserve">Cash to the balance sheet</t>
  </si>
  <si>
    <t xml:space="preserve">Cash after the transaction</t>
  </si>
  <si>
    <t xml:space="preserve">Cash above the minimum after</t>
  </si>
  <si>
    <t xml:space="preserve">Debt after</t>
  </si>
  <si>
    <t xml:space="preserve">Debt before</t>
  </si>
  <si>
    <t xml:space="preserve">Claims added ahead of the unsecured (new money - RCF repaid - roll-up discount)</t>
  </si>
  <si>
    <t xml:space="preserve">Against the cash added: why the notes gain in an immediate default</t>
  </si>
  <si>
    <t xml:space="preserve">Annual cash interest after</t>
  </si>
  <si>
    <t xml:space="preserve">Annual cash interest before</t>
  </si>
  <si>
    <t xml:space="preserve">Change in cash interest</t>
  </si>
  <si>
    <t xml:space="preserve">Minority's amortization a year (group waives its own)</t>
  </si>
  <si>
    <t xml:space="preserve">A sacred right in Brantwell's agreement</t>
  </si>
  <si>
    <t xml:space="preserve">Change in amortization</t>
  </si>
  <si>
    <t xml:space="preserve">Free cash flow after, at LTM EBITDA</t>
  </si>
  <si>
    <t xml:space="preserve">Free cash flow before</t>
  </si>
  <si>
    <t xml:space="preserve">Runway to minimum cash at that burn (years)</t>
  </si>
  <si>
    <t xml:space="preserve">But the minority matures in month 32 and the notes in month 44</t>
  </si>
  <si>
    <t xml:space="preserve">EV above which the group loses on its old loans</t>
  </si>
  <si>
    <t xml:space="preserve">Where the pro rata share of 600 equals the 570 of second-out</t>
  </si>
  <si>
    <t xml:space="preserve">Immediate default: group, minority, RCF banks and notes (cash on hand counted on both sides)</t>
  </si>
  <si>
    <t xml:space="preserve">Before: every first-lien dollar recovers</t>
  </si>
  <si>
    <t xml:space="preserve">Group's 600 before</t>
  </si>
  <si>
    <t xml:space="preserve">Minority's 300 before</t>
  </si>
  <si>
    <t xml:space="preserve">RCF banks' 50 before</t>
  </si>
  <si>
    <t xml:space="preserve">Notes before</t>
  </si>
  <si>
    <t xml:space="preserve">After: distributable (EV + excess cash after - 30)</t>
  </si>
  <si>
    <t xml:space="preserve">First-out (new money)</t>
  </si>
  <si>
    <t xml:space="preserve">Second-out (group's old 600)</t>
  </si>
  <si>
    <t xml:space="preserve">Minority</t>
  </si>
  <si>
    <t xml:space="preserve">Unsecured (notes + other)</t>
  </si>
  <si>
    <t xml:space="preserve">Group's old 600 after</t>
  </si>
  <si>
    <t xml:space="preserve">Group's old 600 after, % of 600</t>
  </si>
  <si>
    <t xml:space="preserve">Minority's 300 after</t>
  </si>
  <si>
    <t xml:space="preserve">Minority's 300 after, % of 300</t>
  </si>
  <si>
    <t xml:space="preserve">RCF banks after (repaid at closing)</t>
  </si>
  <si>
    <t xml:space="preserve">Notes after</t>
  </si>
  <si>
    <t xml:space="preserve">At high values the notes gain</t>
  </si>
  <si>
    <t xml:space="preserve">Transfer to the group's old loans (after - before)</t>
  </si>
  <si>
    <t xml:space="preserve">At high values the group gives up the roll-up discount</t>
  </si>
  <si>
    <t xml:space="preserve">New money repaid</t>
  </si>
  <si>
    <t xml:space="preserve">Drop-down of the marine division into an unrestricted subsidiary ($m)</t>
  </si>
  <si>
    <t xml:space="preserve">Chapter 9. The drop-down converts collateral into cash the company can spend.</t>
  </si>
  <si>
    <t xml:space="preserve">Division, baskets and the new debt</t>
  </si>
  <si>
    <t xml:space="preserve">Division value (LTM EBITDA x multiple)</t>
  </si>
  <si>
    <t xml:space="preserve">General investments basket</t>
  </si>
  <si>
    <t xml:space="preserve">EBITDA-grower basket (25% of LTM EBITDA)</t>
  </si>
  <si>
    <t xml:space="preserve">Non-guarantor investments basket</t>
  </si>
  <si>
    <t xml:space="preserve">Builder basket</t>
  </si>
  <si>
    <t xml:space="preserve">Investment capacity stacked</t>
  </si>
  <si>
    <t xml:space="preserve">Capacity covers the division's value (1 = yes)</t>
  </si>
  <si>
    <t xml:space="preserve">The credit agreement and the indenture decide whether stacking works</t>
  </si>
  <si>
    <t xml:space="preserve">New debt rate (SOFR + margin)</t>
  </si>
  <si>
    <t xml:space="preserve">Residual equity kept by the existing lenders</t>
  </si>
  <si>
    <t xml:space="preserve">Division value / new debt</t>
  </si>
  <si>
    <t xml:space="preserve">The new lenders are safe</t>
  </si>
  <si>
    <t xml:space="preserve">Covenant EBITDA of the restricted group</t>
  </si>
  <si>
    <t xml:space="preserve">First-lien net leverage, restricted group (new cash counted)</t>
  </si>
  <si>
    <t xml:space="preserve">First-lien net leverage before</t>
  </si>
  <si>
    <t xml:space="preserve">Consolidated free cash flow after the new debt</t>
  </si>
  <si>
    <t xml:space="preserve">On the day: default the day after the drop-down</t>
  </si>
  <si>
    <t xml:space="preserve">Group value (division included)</t>
  </si>
  <si>
    <t xml:space="preserve">less division pledged to the new lenders</t>
  </si>
  <si>
    <t xml:space="preserve">plus residual equity of the division</t>
  </si>
  <si>
    <t xml:space="preserve">plus cash above the minimum (today's cash + the 150 raised)</t>
  </si>
  <si>
    <t xml:space="preserve">Value for the restricted group's creditors</t>
  </si>
  <si>
    <t xml:space="preserve">First lien after the drop-down</t>
  </si>
  <si>
    <t xml:space="preserve">First lien without it (value + 20 of excess cash - 30, capped at 950)</t>
  </si>
  <si>
    <t xml:space="preserve">Change for the first lien</t>
  </si>
  <si>
    <t xml:space="preserve">Nothing lost on the day: 60 + 150 replaces 210</t>
  </si>
  <si>
    <t xml:space="preserve">Two years later: monthly schedule to a default at month 24 (flows in $m a month)</t>
  </si>
  <si>
    <t xml:space="preserve">Month</t>
  </si>
  <si>
    <t xml:space="preserve">Notes coupon month</t>
  </si>
  <si>
    <t xml:space="preserve">TLB start</t>
  </si>
  <si>
    <t xml:space="preserve">TLB interest</t>
  </si>
  <si>
    <t xml:space="preserve">TLB amort.</t>
  </si>
  <si>
    <t xml:space="preserve">RCF start</t>
  </si>
  <si>
    <t xml:space="preserve">RCF interest</t>
  </si>
  <si>
    <t xml:space="preserve">RCF fee</t>
  </si>
  <si>
    <t xml:space="preserve">RCF repaid</t>
  </si>
  <si>
    <t xml:space="preserve">Notes coupon</t>
  </si>
  <si>
    <t xml:space="preserve">New debt int.</t>
  </si>
  <si>
    <t xml:space="preserve">Operating cash</t>
  </si>
  <si>
    <t xml:space="preserve">Group cash</t>
  </si>
  <si>
    <t xml:space="preserve">DF TLB</t>
  </si>
  <si>
    <t xml:space="preserve">DF RCF</t>
  </si>
  <si>
    <t xml:space="preserve">PV 1L flows</t>
  </si>
  <si>
    <t xml:space="preserve">TLB end</t>
  </si>
  <si>
    <t xml:space="preserve">RCF end</t>
  </si>
  <si>
    <t xml:space="preserve">Total</t>
  </si>
  <si>
    <t xml:space="preserve">Two years later: summary</t>
  </si>
  <si>
    <t xml:space="preserve">Months to default</t>
  </si>
  <si>
    <t xml:space="preserve">First lien receives: interest, fees, amortization and the RCF repayment (nominal)</t>
  </si>
  <si>
    <t xml:space="preserve">TLB balance at default</t>
  </si>
  <si>
    <t xml:space="preserve">RCF balance at default</t>
  </si>
  <si>
    <t xml:space="preserve">Repaid at its month-14 maturity</t>
  </si>
  <si>
    <t xml:space="preserve">First-lien claim at default</t>
  </si>
  <si>
    <t xml:space="preserve">Cash left in the group at default</t>
  </si>
  <si>
    <t xml:space="preserve">Notes coupons collected meanwhile (nominal)</t>
  </si>
  <si>
    <t xml:space="preserve">Number of notes coupons paid</t>
  </si>
  <si>
    <t xml:space="preserve">PV of the first lien's flows during the 24 months</t>
  </si>
  <si>
    <t xml:space="preserve">Each at its own contract rate</t>
  </si>
  <si>
    <t xml:space="preserve">Discount factor, TLB, at default</t>
  </si>
  <si>
    <t xml:space="preserve">Discount factor, RCF, at default</t>
  </si>
  <si>
    <t xml:space="preserve">Two years later against default now</t>
  </si>
  <si>
    <t xml:space="preserve">Group value (division included at its value)</t>
  </si>
  <si>
    <t xml:space="preserve">Default now: first lien (value + 20 - 30, capped at 950)</t>
  </si>
  <si>
    <t xml:space="preserve">Month 24: value for the restricted group</t>
  </si>
  <si>
    <t xml:space="preserve">Division's new debt deducted; cash above the minimum added</t>
  </si>
  <si>
    <t xml:space="preserve">Month 24: first-lien recovery</t>
  </si>
  <si>
    <t xml:space="preserve">Recovery, % of the claim at default</t>
  </si>
  <si>
    <t xml:space="preserve">PV of the recovery (TLB and RCF pro rata, own rates)</t>
  </si>
  <si>
    <t xml:space="preserve">PV of everything received</t>
  </si>
  <si>
    <t xml:space="preserve">Change against default now</t>
  </si>
  <si>
    <t xml:space="preserve">Reading</t>
  </si>
  <si>
    <t xml:space="preserve">Largest loss for the first lien</t>
  </si>
  <si>
    <t xml:space="preserve">at a group value of</t>
  </si>
  <si>
    <t xml:space="preserve">Where it would otherwise have been nearly whole</t>
  </si>
  <si>
    <t xml:space="preserve">Did it work? The re-default test after the uptier ($m)</t>
  </si>
  <si>
    <t xml:space="preserve">Chapter 10. A second restructuring is not a risk; it is a date.</t>
  </si>
  <si>
    <t xml:space="preserve">Refinancing test at the minority's maturity</t>
  </si>
  <si>
    <t xml:space="preserve">Debt after the uptier</t>
  </si>
  <si>
    <t xml:space="preserve">Minority's amortization to maturity</t>
  </si>
  <si>
    <t xml:space="preserve">Total debt at maturity</t>
  </si>
  <si>
    <t xml:space="preserve">EBITDA needed to refinance at the maximum leverage</t>
  </si>
  <si>
    <t xml:space="preserve">Growth a year needed from LTM EBITDA</t>
  </si>
  <si>
    <t xml:space="preserve">Without the uptier: debt at month 32 after amortization</t>
  </si>
  <si>
    <t xml:space="preserve">Without the uptier: EBITDA needed</t>
  </si>
  <si>
    <t xml:space="preserve">Without the uptier: growth a year needed</t>
  </si>
  <si>
    <t xml:space="preserve">The uptier raises the bar by</t>
  </si>
  <si>
    <t xml:space="preserve">Year-3 EBITDA by case</t>
  </si>
  <si>
    <t xml:space="preserve">Year-3 EBITDA</t>
  </si>
  <si>
    <t xml:space="preserve">Shortfall against the EBITDA needed</t>
  </si>
  <si>
    <t xml:space="preserve">Reaches it (1 = yes)</t>
  </si>
  <si>
    <t xml:space="preserve">Total = number of cases that reach it</t>
  </si>
  <si>
    <t xml:space="preserve">Cost of the time bought</t>
  </si>
  <si>
    <t xml:space="preserve">Fees</t>
  </si>
  <si>
    <t xml:space="preserve">New-money interest to month 32</t>
  </si>
  <si>
    <t xml:space="preserve">Monthly schedule after the uptier, to the minority's maturity (flows in $m a month)</t>
  </si>
  <si>
    <t xml:space="preserve">Case year</t>
  </si>
  <si>
    <t xml:space="preserve">NM interest</t>
  </si>
  <si>
    <t xml:space="preserve">2nd-out int.</t>
  </si>
  <si>
    <t xml:space="preserve">Minority start</t>
  </si>
  <si>
    <t xml:space="preserve">Minority int.</t>
  </si>
  <si>
    <t xml:space="preserve">Minority amort.</t>
  </si>
  <si>
    <t xml:space="preserve">Minority end</t>
  </si>
  <si>
    <t xml:space="preserve">DF new money</t>
  </si>
  <si>
    <t xml:space="preserve">DF notes (semi-ann.)</t>
  </si>
  <si>
    <t xml:space="preserve">PV NM int.</t>
  </si>
  <si>
    <t xml:space="preserve">PV 2nd-out int.</t>
  </si>
  <si>
    <t xml:space="preserve">PV minority</t>
  </si>
  <si>
    <t xml:space="preserve">PV notes</t>
  </si>
  <si>
    <t xml:space="preserve">EBITDA Mgmt</t>
  </si>
  <si>
    <t xml:space="preserve">Cash Mgmt</t>
  </si>
  <si>
    <t xml:space="preserve">EBITDA Lender</t>
  </si>
  <si>
    <t xml:space="preserve">Cash Lender</t>
  </si>
  <si>
    <t xml:space="preserve">EBITDA Down.</t>
  </si>
  <si>
    <t xml:space="preserve">Cash Down.</t>
  </si>
  <si>
    <t xml:space="preserve">Received during the 32 months (nominal, same in every case)</t>
  </si>
  <si>
    <t xml:space="preserve">Months to the minority's maturity</t>
  </si>
  <si>
    <t xml:space="preserve">Group: new money paid in at month 0 (net of OID)</t>
  </si>
  <si>
    <t xml:space="preserve">Group: new-money interest</t>
  </si>
  <si>
    <t xml:space="preserve">Group: second-out interest</t>
  </si>
  <si>
    <t xml:space="preserve">Minority: interest</t>
  </si>
  <si>
    <t xml:space="preserve">Minority: amortization</t>
  </si>
  <si>
    <t xml:space="preserve">Minority balance at month 32</t>
  </si>
  <si>
    <t xml:space="preserve">Notes: coupons</t>
  </si>
  <si>
    <t xml:space="preserve">The notes, not in the room, are paid throughout</t>
  </si>
  <si>
    <t xml:space="preserve">Notes: number of coupons</t>
  </si>
  <si>
    <t xml:space="preserve">Discount factor at month 32: new money</t>
  </si>
  <si>
    <t xml:space="preserve">Discount factor at month 32: TLB (and other unsecured)</t>
  </si>
  <si>
    <t xml:space="preserve">Discount factor at month 32: notes (semi-annual)</t>
  </si>
  <si>
    <t xml:space="preserve">Month-32 default waterfall by case</t>
  </si>
  <si>
    <t xml:space="preserve">Default value (x multiple)</t>
  </si>
  <si>
    <t xml:space="preserve">Cash at month 32</t>
  </si>
  <si>
    <t xml:space="preserve">Distributable (value + excess cash - 30)</t>
  </si>
  <si>
    <t xml:space="preserve">Second-out</t>
  </si>
  <si>
    <t xml:space="preserve">Unsecured pool</t>
  </si>
  <si>
    <t xml:space="preserve">Value LATER: uptier now, default at month 32 (PV at contract rates)</t>
  </si>
  <si>
    <t xml:space="preserve">Group: new money (-196 at month 0 + interest + recovery)</t>
  </si>
  <si>
    <t xml:space="preserve">Group: old claim (second-out interest + recovery)</t>
  </si>
  <si>
    <t xml:space="preserve">Group total</t>
  </si>
  <si>
    <t xml:space="preserve">Minority (interest + amortization + recovery)</t>
  </si>
  <si>
    <t xml:space="preserve">RCF banks (repaid at par at month 0)</t>
  </si>
  <si>
    <t xml:space="preserve">Notes (semi-annual coupons + recovery)</t>
  </si>
  <si>
    <t xml:space="preserve">Other unsecured (recovery, at the TLB rate)</t>
  </si>
  <si>
    <t xml:space="preserve">Value NOW: restructure today (simplified waterfall at each case's value today, today's cash included)</t>
  </si>
  <si>
    <t xml:space="preserve">Value today</t>
  </si>
  <si>
    <t xml:space="preserve">Distributable (value + 20 of excess cash - 30)</t>
  </si>
  <si>
    <t xml:space="preserve">First lien, % of claim</t>
  </si>
  <si>
    <t xml:space="preserve">Group (600 pro rata)</t>
  </si>
  <si>
    <t xml:space="preserve">Minority (300 pro rata)</t>
  </si>
  <si>
    <t xml:space="preserve">RCF banks (50 pro rata)</t>
  </si>
  <si>
    <t xml:space="preserve">Notes</t>
  </si>
  <si>
    <t xml:space="preserve">Other unsecured</t>
  </si>
  <si>
    <t xml:space="preserve">Change, class by class (LATER - NOW)</t>
  </si>
  <si>
    <t xml:space="preserve">Group</t>
  </si>
  <si>
    <t xml:space="preserve">RCF banks</t>
  </si>
  <si>
    <t xml:space="preserve">Basis note: NOW on the same basis as LATER (the multiple on year-1 EBITDA, not the blended values)</t>
  </si>
  <si>
    <t xml:space="preserve">Value today (multiple x year-1 EBITDA)</t>
  </si>
  <si>
    <t xml:space="preserve">Change: group (LATER - NOW, single basis)</t>
  </si>
  <si>
    <t xml:space="preserve">Change: minority</t>
  </si>
  <si>
    <t xml:space="preserve">Change: notes</t>
  </si>
  <si>
    <t xml:space="preserve">Sign changes against the blended basis (group, minority, notes)</t>
  </si>
  <si>
    <t xml:space="preserve">Zero: the book prints the blended basis and says so</t>
  </si>
  <si>
    <t xml:space="preserve">Checks: the figures printed in the book against the live workbook</t>
  </si>
  <si>
    <t xml:space="preserve">Book = the figure as printed (from _FACTS.md, rounded half up). Tolerance = half a unit of the last printed digit. Display = the live value rounded to the printed precision.</t>
  </si>
  <si>
    <t xml:space="preserve">Number of checks</t>
  </si>
  <si>
    <t xml:space="preserve">Displayed differently from the book</t>
  </si>
  <si>
    <t xml:space="preserve">Number of FAIL</t>
  </si>
  <si>
    <t xml:space="preserve">#</t>
  </si>
  <si>
    <t xml:space="preserve">Sheet</t>
  </si>
  <si>
    <t xml:space="preserve">Figure printed in the book</t>
  </si>
  <si>
    <t xml:space="preserve">Book</t>
  </si>
  <si>
    <t xml:space="preserve">Workbook</t>
  </si>
  <si>
    <t xml:space="preserve">Difference</t>
  </si>
  <si>
    <t xml:space="preserve">Tolerance</t>
  </si>
  <si>
    <t xml:space="preserve">Status</t>
  </si>
  <si>
    <t xml:space="preserve">Display</t>
  </si>
  <si>
    <t xml:space="preserve">Simplified_Waterfall</t>
  </si>
  <si>
    <t xml:space="preserve">Cash above the minimum today</t>
  </si>
  <si>
    <t xml:space="preserve">Claims paid first</t>
  </si>
  <si>
    <t xml:space="preserve">TLB rate</t>
  </si>
  <si>
    <t xml:space="preserve">EV 700: first lien %</t>
  </si>
  <si>
    <t xml:space="preserve">EV 700: notes and other unsecured %</t>
  </si>
  <si>
    <t xml:space="preserve">EV 700: notes</t>
  </si>
  <si>
    <t xml:space="preserve">EV 700: other unsecured</t>
  </si>
  <si>
    <t xml:space="preserve">EV 800: first lien %</t>
  </si>
  <si>
    <t xml:space="preserve">EV 800: notes and other unsecured %</t>
  </si>
  <si>
    <t xml:space="preserve">EV 800: notes</t>
  </si>
  <si>
    <t xml:space="preserve">EV 800: other unsecured</t>
  </si>
  <si>
    <t xml:space="preserve">EV 900: first lien %</t>
  </si>
  <si>
    <t xml:space="preserve">EV 900: notes and other unsecured %</t>
  </si>
  <si>
    <t xml:space="preserve">EV 900: notes</t>
  </si>
  <si>
    <t xml:space="preserve">EV 900: other unsecured</t>
  </si>
  <si>
    <t xml:space="preserve">EV 1,000: first lien %</t>
  </si>
  <si>
    <t xml:space="preserve">EV 1,000: notes and other unsecured %</t>
  </si>
  <si>
    <t xml:space="preserve">EV 1,000: notes</t>
  </si>
  <si>
    <t xml:space="preserve">EV 1,000: other unsecured</t>
  </si>
  <si>
    <t xml:space="preserve">EV 1,100: first lien %</t>
  </si>
  <si>
    <t xml:space="preserve">EV 1,100: notes and other unsecured %</t>
  </si>
  <si>
    <t xml:space="preserve">EV 1,100: notes</t>
  </si>
  <si>
    <t xml:space="preserve">EV 1,100: other unsecured</t>
  </si>
  <si>
    <t xml:space="preserve">EV 1,200: first lien %</t>
  </si>
  <si>
    <t xml:space="preserve">EV 1,200: notes and other unsecured %</t>
  </si>
  <si>
    <t xml:space="preserve">EV 1,200: notes</t>
  </si>
  <si>
    <t xml:space="preserve">EV 1,200: other unsecured</t>
  </si>
  <si>
    <t xml:space="preserve">EV 1,300: first lien %</t>
  </si>
  <si>
    <t xml:space="preserve">EV 1,300: notes and other unsecured %</t>
  </si>
  <si>
    <t xml:space="preserve">EV 1,300: notes</t>
  </si>
  <si>
    <t xml:space="preserve">EV 1,300: other unsecured</t>
  </si>
  <si>
    <t xml:space="preserve">Amend_Extend</t>
  </si>
  <si>
    <t xml:space="preserve">New TLB maturity (month)</t>
  </si>
  <si>
    <t xml:space="preserve">New TLB rate</t>
  </si>
  <si>
    <t xml:space="preserve">Amendment fee</t>
  </si>
  <si>
    <t xml:space="preserve">Extended RCF maturity (month)</t>
  </si>
  <si>
    <t xml:space="preserve">RCF commitments after</t>
  </si>
  <si>
    <t xml:space="preserve">New springing trigger</t>
  </si>
  <si>
    <t xml:space="preserve">Cash after the fee</t>
  </si>
  <si>
    <t xml:space="preserve">EBITDA needed to pass after reset</t>
  </si>
  <si>
    <t xml:space="preserve">Cushion below LTM</t>
  </si>
  <si>
    <t xml:space="preserve">Undrawn RCF after</t>
  </si>
  <si>
    <t xml:space="preserve">Cash above minimum + undrawn</t>
  </si>
  <si>
    <t xml:space="preserve">Net debt the reset covenant allows</t>
  </si>
  <si>
    <t xml:space="preserve">First-lien net debt after</t>
  </si>
  <si>
    <t xml:space="preserve">Covenant headroom after</t>
  </si>
  <si>
    <t xml:space="preserve">Usable liquidity after</t>
  </si>
  <si>
    <t xml:space="preserve">Usable liquidity before</t>
  </si>
  <si>
    <t xml:space="preserve">Years of burn covered</t>
  </si>
  <si>
    <t xml:space="preserve">Extra cash interest</t>
  </si>
  <si>
    <t xml:space="preserve">Commitment fee saved</t>
  </si>
  <si>
    <t xml:space="preserve">FCF before</t>
  </si>
  <si>
    <t xml:space="preserve">FCF after</t>
  </si>
  <si>
    <t xml:space="preserve">Cost to the new maturity</t>
  </si>
  <si>
    <t xml:space="preserve">Lender yield pickup</t>
  </si>
  <si>
    <t xml:space="preserve">Exchange</t>
  </si>
  <si>
    <t xml:space="preserve">Tendered</t>
  </si>
  <si>
    <t xml:space="preserve">New second lien</t>
  </si>
  <si>
    <t xml:space="preserve">Holdouts</t>
  </si>
  <si>
    <t xml:space="preserve">Interest before</t>
  </si>
  <si>
    <t xml:space="preserve">Second-lien interest</t>
  </si>
  <si>
    <t xml:space="preserve">Holdout interest</t>
  </si>
  <si>
    <t xml:space="preserve">Interest after</t>
  </si>
  <si>
    <t xml:space="preserve">Interest saving</t>
  </si>
  <si>
    <t xml:space="preserve">EV: second lien full</t>
  </si>
  <si>
    <t xml:space="preserve">EV: participants start to recover</t>
  </si>
  <si>
    <t xml:space="preserve">EV: holdout equals participant</t>
  </si>
  <si>
    <t xml:space="preserve">EV 700: before, every unsecured claim</t>
  </si>
  <si>
    <t xml:space="preserve">EV 700: participant</t>
  </si>
  <si>
    <t xml:space="preserve">EV 700: holdout</t>
  </si>
  <si>
    <t xml:space="preserve">EV 700: notes as a group before</t>
  </si>
  <si>
    <t xml:space="preserve">EV 700: notes as a group after</t>
  </si>
  <si>
    <t xml:space="preserve">EV 700: other unsecured before</t>
  </si>
  <si>
    <t xml:space="preserve">EV 700: other unsecured after</t>
  </si>
  <si>
    <t xml:space="preserve">EV 800: before, every unsecured claim</t>
  </si>
  <si>
    <t xml:space="preserve">EV 800: participant</t>
  </si>
  <si>
    <t xml:space="preserve">EV 800: holdout</t>
  </si>
  <si>
    <t xml:space="preserve">EV 800: notes as a group before</t>
  </si>
  <si>
    <t xml:space="preserve">EV 800: notes as a group after</t>
  </si>
  <si>
    <t xml:space="preserve">EV 800: other unsecured before</t>
  </si>
  <si>
    <t xml:space="preserve">EV 800: other unsecured after</t>
  </si>
  <si>
    <t xml:space="preserve">EV 900: before, every unsecured claim</t>
  </si>
  <si>
    <t xml:space="preserve">EV 900: participant</t>
  </si>
  <si>
    <t xml:space="preserve">EV 900: holdout</t>
  </si>
  <si>
    <t xml:space="preserve">EV 900: notes as a group before</t>
  </si>
  <si>
    <t xml:space="preserve">EV 900: notes as a group after</t>
  </si>
  <si>
    <t xml:space="preserve">EV 900: other unsecured before</t>
  </si>
  <si>
    <t xml:space="preserve">EV 900: other unsecured after</t>
  </si>
  <si>
    <t xml:space="preserve">EV 1,000: before, every unsecured claim</t>
  </si>
  <si>
    <t xml:space="preserve">EV 1,000: participant</t>
  </si>
  <si>
    <t xml:space="preserve">EV 1,000: holdout</t>
  </si>
  <si>
    <t xml:space="preserve">EV 1,000: notes as a group before</t>
  </si>
  <si>
    <t xml:space="preserve">EV 1,000: notes as a group after</t>
  </si>
  <si>
    <t xml:space="preserve">EV 1,000: other unsecured before</t>
  </si>
  <si>
    <t xml:space="preserve">EV 1,000: other unsecured after</t>
  </si>
  <si>
    <t xml:space="preserve">EV 1,100: before, every unsecured claim</t>
  </si>
  <si>
    <t xml:space="preserve">EV 1,100: participant</t>
  </si>
  <si>
    <t xml:space="preserve">EV 1,100: holdout</t>
  </si>
  <si>
    <t xml:space="preserve">EV 1,100: notes as a group before</t>
  </si>
  <si>
    <t xml:space="preserve">EV 1,100: notes as a group after</t>
  </si>
  <si>
    <t xml:space="preserve">EV 1,100: other unsecured before</t>
  </si>
  <si>
    <t xml:space="preserve">EV 1,100: other unsecured after</t>
  </si>
  <si>
    <t xml:space="preserve">EV 1,200: before, every unsecured claim</t>
  </si>
  <si>
    <t xml:space="preserve">EV 1,200: participant</t>
  </si>
  <si>
    <t xml:space="preserve">EV 1,200: holdout</t>
  </si>
  <si>
    <t xml:space="preserve">EV 1,200: notes as a group before</t>
  </si>
  <si>
    <t xml:space="preserve">EV 1,200: notes as a group after</t>
  </si>
  <si>
    <t xml:space="preserve">EV 1,200: other unsecured before</t>
  </si>
  <si>
    <t xml:space="preserve">EV 1,200: other unsecured after</t>
  </si>
  <si>
    <t xml:space="preserve">EV 1,300: before, every unsecured claim</t>
  </si>
  <si>
    <t xml:space="preserve">EV 1,300: participant</t>
  </si>
  <si>
    <t xml:space="preserve">EV 1,300: holdout</t>
  </si>
  <si>
    <t xml:space="preserve">EV 1,300: notes as a group before</t>
  </si>
  <si>
    <t xml:space="preserve">EV 1,300: notes as a group after</t>
  </si>
  <si>
    <t xml:space="preserve">EV 1,300: other unsecured before</t>
  </si>
  <si>
    <t xml:space="preserve">EV 1,300: other unsecured after</t>
  </si>
  <si>
    <t xml:space="preserve">Uptier</t>
  </si>
  <si>
    <t xml:space="preserve">Loans and commitments</t>
  </si>
  <si>
    <t xml:space="preserve">Required Lenders threshold</t>
  </si>
  <si>
    <t xml:space="preserve">Group share</t>
  </si>
  <si>
    <t xml:space="preserve">New money rate</t>
  </si>
  <si>
    <t xml:space="preserve">Cash in</t>
  </si>
  <si>
    <t xml:space="preserve">Cash to balance sheet</t>
  </si>
  <si>
    <t xml:space="preserve">Cash after</t>
  </si>
  <si>
    <t xml:space="preserve">Claims added ahead of the unsecured</t>
  </si>
  <si>
    <t xml:space="preserve">Change in interest</t>
  </si>
  <si>
    <t xml:space="preserve">Minority amortization</t>
  </si>
  <si>
    <t xml:space="preserve">Runway (years)</t>
  </si>
  <si>
    <t xml:space="preserve">EV above which the group loses</t>
  </si>
  <si>
    <t xml:space="preserve">EV 700: every first-lien dollar before</t>
  </si>
  <si>
    <t xml:space="preserve">EV 700: group before</t>
  </si>
  <si>
    <t xml:space="preserve">EV 700: group after</t>
  </si>
  <si>
    <t xml:space="preserve">EV 700: group after %</t>
  </si>
  <si>
    <t xml:space="preserve">EV 700: minority before</t>
  </si>
  <si>
    <t xml:space="preserve">EV 700: minority after</t>
  </si>
  <si>
    <t xml:space="preserve">EV 700: minority after %</t>
  </si>
  <si>
    <t xml:space="preserve">EV 700: RCF banks before</t>
  </si>
  <si>
    <t xml:space="preserve">EV 700: RCF banks repaid</t>
  </si>
  <si>
    <t xml:space="preserve">EV 700: notes before</t>
  </si>
  <si>
    <t xml:space="preserve">EV 700: notes after</t>
  </si>
  <si>
    <t xml:space="preserve">EV 700: transfer to group's old loans</t>
  </si>
  <si>
    <t xml:space="preserve">EV 700: new money repaid</t>
  </si>
  <si>
    <t xml:space="preserve">EV 800: every first-lien dollar before</t>
  </si>
  <si>
    <t xml:space="preserve">EV 800: group before</t>
  </si>
  <si>
    <t xml:space="preserve">EV 800: group after</t>
  </si>
  <si>
    <t xml:space="preserve">EV 800: group after %</t>
  </si>
  <si>
    <t xml:space="preserve">EV 800: minority before</t>
  </si>
  <si>
    <t xml:space="preserve">EV 800: minority after</t>
  </si>
  <si>
    <t xml:space="preserve">EV 800: minority after %</t>
  </si>
  <si>
    <t xml:space="preserve">EV 800: RCF banks before</t>
  </si>
  <si>
    <t xml:space="preserve">EV 800: RCF banks repaid</t>
  </si>
  <si>
    <t xml:space="preserve">EV 800: notes before</t>
  </si>
  <si>
    <t xml:space="preserve">EV 800: notes after</t>
  </si>
  <si>
    <t xml:space="preserve">EV 800: transfer to group's old loans</t>
  </si>
  <si>
    <t xml:space="preserve">EV 800: new money repaid</t>
  </si>
  <si>
    <t xml:space="preserve">EV 900: every first-lien dollar before</t>
  </si>
  <si>
    <t xml:space="preserve">EV 900: group before</t>
  </si>
  <si>
    <t xml:space="preserve">EV 900: group after</t>
  </si>
  <si>
    <t xml:space="preserve">EV 900: group after %</t>
  </si>
  <si>
    <t xml:space="preserve">EV 900: minority before</t>
  </si>
  <si>
    <t xml:space="preserve">EV 900: minority after</t>
  </si>
  <si>
    <t xml:space="preserve">EV 900: minority after %</t>
  </si>
  <si>
    <t xml:space="preserve">EV 900: RCF banks before</t>
  </si>
  <si>
    <t xml:space="preserve">EV 900: RCF banks repaid</t>
  </si>
  <si>
    <t xml:space="preserve">EV 900: notes before</t>
  </si>
  <si>
    <t xml:space="preserve">EV 900: notes after</t>
  </si>
  <si>
    <t xml:space="preserve">EV 900: transfer to group's old loans</t>
  </si>
  <si>
    <t xml:space="preserve">EV 900: new money repaid</t>
  </si>
  <si>
    <t xml:space="preserve">EV 1,000: every first-lien dollar before</t>
  </si>
  <si>
    <t xml:space="preserve">EV 1,000: group before</t>
  </si>
  <si>
    <t xml:space="preserve">EV 1,000: group after</t>
  </si>
  <si>
    <t xml:space="preserve">EV 1,000: group after %</t>
  </si>
  <si>
    <t xml:space="preserve">EV 1,000: minority before</t>
  </si>
  <si>
    <t xml:space="preserve">EV 1,000: minority after</t>
  </si>
  <si>
    <t xml:space="preserve">EV 1,000: minority after %</t>
  </si>
  <si>
    <t xml:space="preserve">EV 1,000: RCF banks before</t>
  </si>
  <si>
    <t xml:space="preserve">EV 1,000: RCF banks repaid</t>
  </si>
  <si>
    <t xml:space="preserve">EV 1,000: notes before</t>
  </si>
  <si>
    <t xml:space="preserve">EV 1,000: notes after</t>
  </si>
  <si>
    <t xml:space="preserve">EV 1,000: transfer to group's old loans</t>
  </si>
  <si>
    <t xml:space="preserve">EV 1,000: new money repaid</t>
  </si>
  <si>
    <t xml:space="preserve">EV 1,100: every first-lien dollar before</t>
  </si>
  <si>
    <t xml:space="preserve">EV 1,100: group before</t>
  </si>
  <si>
    <t xml:space="preserve">EV 1,100: group after</t>
  </si>
  <si>
    <t xml:space="preserve">EV 1,100: group after %</t>
  </si>
  <si>
    <t xml:space="preserve">EV 1,100: minority before</t>
  </si>
  <si>
    <t xml:space="preserve">EV 1,100: minority after</t>
  </si>
  <si>
    <t xml:space="preserve">EV 1,100: minority after %</t>
  </si>
  <si>
    <t xml:space="preserve">EV 1,100: RCF banks before</t>
  </si>
  <si>
    <t xml:space="preserve">EV 1,100: RCF banks repaid</t>
  </si>
  <si>
    <t xml:space="preserve">EV 1,100: notes before</t>
  </si>
  <si>
    <t xml:space="preserve">EV 1,100: notes after</t>
  </si>
  <si>
    <t xml:space="preserve">EV 1,100: transfer to group's old loans</t>
  </si>
  <si>
    <t xml:space="preserve">EV 1,100: new money repaid</t>
  </si>
  <si>
    <t xml:space="preserve">EV 1,200: every first-lien dollar before</t>
  </si>
  <si>
    <t xml:space="preserve">EV 1,200: group before</t>
  </si>
  <si>
    <t xml:space="preserve">EV 1,200: group after</t>
  </si>
  <si>
    <t xml:space="preserve">EV 1,200: group after %</t>
  </si>
  <si>
    <t xml:space="preserve">EV 1,200: minority before</t>
  </si>
  <si>
    <t xml:space="preserve">EV 1,200: minority after</t>
  </si>
  <si>
    <t xml:space="preserve">EV 1,200: minority after %</t>
  </si>
  <si>
    <t xml:space="preserve">EV 1,200: RCF banks before</t>
  </si>
  <si>
    <t xml:space="preserve">EV 1,200: RCF banks repaid</t>
  </si>
  <si>
    <t xml:space="preserve">EV 1,200: notes before</t>
  </si>
  <si>
    <t xml:space="preserve">EV 1,200: notes after</t>
  </si>
  <si>
    <t xml:space="preserve">EV 1,200: transfer to group's old loans</t>
  </si>
  <si>
    <t xml:space="preserve">EV 1,200: new money repaid</t>
  </si>
  <si>
    <t xml:space="preserve">EV 1,300: every first-lien dollar before</t>
  </si>
  <si>
    <t xml:space="preserve">EV 1,300: group before</t>
  </si>
  <si>
    <t xml:space="preserve">EV 1,300: group after</t>
  </si>
  <si>
    <t xml:space="preserve">EV 1,300: group after %</t>
  </si>
  <si>
    <t xml:space="preserve">EV 1,300: minority before</t>
  </si>
  <si>
    <t xml:space="preserve">EV 1,300: minority after</t>
  </si>
  <si>
    <t xml:space="preserve">EV 1,300: minority after %</t>
  </si>
  <si>
    <t xml:space="preserve">EV 1,300: RCF banks before</t>
  </si>
  <si>
    <t xml:space="preserve">EV 1,300: RCF banks repaid</t>
  </si>
  <si>
    <t xml:space="preserve">EV 1,300: notes before</t>
  </si>
  <si>
    <t xml:space="preserve">EV 1,300: notes after</t>
  </si>
  <si>
    <t xml:space="preserve">EV 1,300: transfer to group's old loans</t>
  </si>
  <si>
    <t xml:space="preserve">EV 1,300: new money repaid</t>
  </si>
  <si>
    <t xml:space="preserve">Drop_Down</t>
  </si>
  <si>
    <t xml:space="preserve">Division value</t>
  </si>
  <si>
    <t xml:space="preserve">EBITDA-grower basket</t>
  </si>
  <si>
    <t xml:space="preserve">Stacked capacity</t>
  </si>
  <si>
    <t xml:space="preserve">New debt rate</t>
  </si>
  <si>
    <t xml:space="preserve">Residual equity</t>
  </si>
  <si>
    <t xml:space="preserve">Restricted EBITDA</t>
  </si>
  <si>
    <t xml:space="preserve">Restricted first-lien net leverage</t>
  </si>
  <si>
    <t xml:space="preserve">Leverage before</t>
  </si>
  <si>
    <t xml:space="preserve">Consolidated FCF after</t>
  </si>
  <si>
    <t xml:space="preserve">First lien receives over 24 months, incl. RCF repayment</t>
  </si>
  <si>
    <t xml:space="preserve">Claim at default (TLB after amortization)</t>
  </si>
  <si>
    <t xml:space="preserve">Cash left in the group</t>
  </si>
  <si>
    <t xml:space="preserve">Notes coupons meanwhile</t>
  </si>
  <si>
    <t xml:space="preserve">at a value of</t>
  </si>
  <si>
    <t xml:space="preserve">EV 700: first-lien change on the day</t>
  </si>
  <si>
    <t xml:space="preserve">EV 800: first-lien change on the day</t>
  </si>
  <si>
    <t xml:space="preserve">EV 900: first-lien change on the day</t>
  </si>
  <si>
    <t xml:space="preserve">EV 1,000: first-lien change on the day</t>
  </si>
  <si>
    <t xml:space="preserve">EV 1,100: first-lien change on the day</t>
  </si>
  <si>
    <t xml:space="preserve">EV 1,200: first-lien change on the day</t>
  </si>
  <si>
    <t xml:space="preserve">EV 1,300: first-lien change on the day</t>
  </si>
  <si>
    <t xml:space="preserve">Value 700: default now</t>
  </si>
  <si>
    <t xml:space="preserve">Value 700: recovery at month 24</t>
  </si>
  <si>
    <t xml:space="preserve">Value 700: claim at month 24</t>
  </si>
  <si>
    <t xml:space="preserve">Value 700: recovery %</t>
  </si>
  <si>
    <t xml:space="preserve">Value 700: PV of everything received</t>
  </si>
  <si>
    <t xml:space="preserve">Value 700: change</t>
  </si>
  <si>
    <t xml:space="preserve">Value 800: default now</t>
  </si>
  <si>
    <t xml:space="preserve">Value 800: recovery at month 24</t>
  </si>
  <si>
    <t xml:space="preserve">Value 800: claim at month 24</t>
  </si>
  <si>
    <t xml:space="preserve">Value 800: recovery %</t>
  </si>
  <si>
    <t xml:space="preserve">Value 800: PV of everything received</t>
  </si>
  <si>
    <t xml:space="preserve">Value 800: change</t>
  </si>
  <si>
    <t xml:space="preserve">Value 900: default now</t>
  </si>
  <si>
    <t xml:space="preserve">Value 900: recovery at month 24</t>
  </si>
  <si>
    <t xml:space="preserve">Value 900: claim at month 24</t>
  </si>
  <si>
    <t xml:space="preserve">Value 900: recovery %</t>
  </si>
  <si>
    <t xml:space="preserve">Value 900: PV of everything received</t>
  </si>
  <si>
    <t xml:space="preserve">Value 900: change</t>
  </si>
  <si>
    <t xml:space="preserve">Value 1,000: default now</t>
  </si>
  <si>
    <t xml:space="preserve">Value 1,000: recovery at month 24</t>
  </si>
  <si>
    <t xml:space="preserve">Value 1,000: claim at month 24</t>
  </si>
  <si>
    <t xml:space="preserve">Value 1,000: recovery %</t>
  </si>
  <si>
    <t xml:space="preserve">Value 1,000: PV of everything received</t>
  </si>
  <si>
    <t xml:space="preserve">Value 1,000: change</t>
  </si>
  <si>
    <t xml:space="preserve">Value 1,100: default now</t>
  </si>
  <si>
    <t xml:space="preserve">Value 1,100: recovery at month 24</t>
  </si>
  <si>
    <t xml:space="preserve">Value 1,100: claim at month 24</t>
  </si>
  <si>
    <t xml:space="preserve">Value 1,100: recovery %</t>
  </si>
  <si>
    <t xml:space="preserve">Value 1,100: PV of everything received</t>
  </si>
  <si>
    <t xml:space="preserve">Value 1,100: change</t>
  </si>
  <si>
    <t xml:space="preserve">Value 1,200: default now</t>
  </si>
  <si>
    <t xml:space="preserve">Value 1,200: recovery at month 24</t>
  </si>
  <si>
    <t xml:space="preserve">Value 1,200: claim at month 24</t>
  </si>
  <si>
    <t xml:space="preserve">Value 1,200: recovery %</t>
  </si>
  <si>
    <t xml:space="preserve">Value 1,200: PV of everything received</t>
  </si>
  <si>
    <t xml:space="preserve">Value 1,200: change</t>
  </si>
  <si>
    <t xml:space="preserve">Value 1,300: default now</t>
  </si>
  <si>
    <t xml:space="preserve">Value 1,300: recovery at month 24</t>
  </si>
  <si>
    <t xml:space="preserve">Value 1,300: claim at month 24</t>
  </si>
  <si>
    <t xml:space="preserve">Value 1,300: recovery %</t>
  </si>
  <si>
    <t xml:space="preserve">Value 1,300: PV of everything received</t>
  </si>
  <si>
    <t xml:space="preserve">Value 1,300: change</t>
  </si>
  <si>
    <t xml:space="preserve">Re_Default</t>
  </si>
  <si>
    <t xml:space="preserve">Debt at month 32</t>
  </si>
  <si>
    <t xml:space="preserve">Maximum refinancing leverage</t>
  </si>
  <si>
    <t xml:space="preserve">EBITDA needed</t>
  </si>
  <si>
    <t xml:space="preserve">Growth needed</t>
  </si>
  <si>
    <t xml:space="preserve">Without uptier: debt at month 32</t>
  </si>
  <si>
    <t xml:space="preserve">Without uptier: EBITDA needed</t>
  </si>
  <si>
    <t xml:space="preserve">Without uptier: growth needed</t>
  </si>
  <si>
    <t xml:space="preserve">OID</t>
  </si>
  <si>
    <t xml:space="preserve">New-money interest over 32 months</t>
  </si>
  <si>
    <t xml:space="preserve">Cost of time</t>
  </si>
  <si>
    <t xml:space="preserve">Group new money at month 0</t>
  </si>
  <si>
    <t xml:space="preserve">Group new-money interest received</t>
  </si>
  <si>
    <t xml:space="preserve">Group second-out interest received</t>
  </si>
  <si>
    <t xml:space="preserve">Minority interest received</t>
  </si>
  <si>
    <t xml:space="preserve">Minority amortization received</t>
  </si>
  <si>
    <t xml:space="preserve">Notes coupons received</t>
  </si>
  <si>
    <t xml:space="preserve">Notes coupon rate (semi-annual discounting)</t>
  </si>
  <si>
    <t xml:space="preserve">Year-3 EBITDA, management</t>
  </si>
  <si>
    <t xml:space="preserve">Year-3 EBITDA, lender</t>
  </si>
  <si>
    <t xml:space="preserve">Year-3 EBITDA, downside</t>
  </si>
  <si>
    <t xml:space="preserve">Value today, management</t>
  </si>
  <si>
    <t xml:space="preserve">Value today, lender</t>
  </si>
  <si>
    <t xml:space="preserve">Value today, downside</t>
  </si>
  <si>
    <t xml:space="preserve">Reaches the EBITDA needed (0 = none)</t>
  </si>
  <si>
    <t xml:space="preserve">Basis note: management value at 7.0x year-1 EBITDA</t>
  </si>
  <si>
    <t xml:space="preserve">Basis note: lender value at 7.0x year-1 EBITDA</t>
  </si>
  <si>
    <t xml:space="preserve">Basis note: downside value at 7.0x year-1 EBITDA</t>
  </si>
  <si>
    <t xml:space="preserve">Basis note: downside, change for the group</t>
  </si>
  <si>
    <t xml:space="preserve">Basis note: downside, change for the minority</t>
  </si>
  <si>
    <t xml:space="preserve">Basis note: downside, change for the notes</t>
  </si>
  <si>
    <t xml:space="preserve">Basis note: lender, change for the group</t>
  </si>
  <si>
    <t xml:space="preserve">Basis note: lender, change for the minority</t>
  </si>
  <si>
    <t xml:space="preserve">Basis note: management, change for the group</t>
  </si>
  <si>
    <t xml:space="preserve">Management: cash at month 32</t>
  </si>
  <si>
    <t xml:space="preserve">Management: default value</t>
  </si>
  <si>
    <t xml:space="preserve">Management: first-out</t>
  </si>
  <si>
    <t xml:space="preserve">Management: second-out</t>
  </si>
  <si>
    <t xml:space="preserve">Management: minority</t>
  </si>
  <si>
    <t xml:space="preserve">Management: notes</t>
  </si>
  <si>
    <t xml:space="preserve">Management: other</t>
  </si>
  <si>
    <t xml:space="preserve">Management: value now: group</t>
  </si>
  <si>
    <t xml:space="preserve">Management: value now: minority</t>
  </si>
  <si>
    <t xml:space="preserve">Management: value now: RCF</t>
  </si>
  <si>
    <t xml:space="preserve">Management: value now: notes</t>
  </si>
  <si>
    <t xml:space="preserve">Management: value now: other</t>
  </si>
  <si>
    <t xml:space="preserve">Management: value later: group</t>
  </si>
  <si>
    <t xml:space="preserve">Management: value later: minority</t>
  </si>
  <si>
    <t xml:space="preserve">Management: value later: RCF</t>
  </si>
  <si>
    <t xml:space="preserve">Management: value later: notes</t>
  </si>
  <si>
    <t xml:space="preserve">Management: value later: other</t>
  </si>
  <si>
    <t xml:space="preserve">Management: value change: group</t>
  </si>
  <si>
    <t xml:space="preserve">Management: value change: minority</t>
  </si>
  <si>
    <t xml:space="preserve">Management: value change: RCF banks</t>
  </si>
  <si>
    <t xml:space="preserve">Management: value change: notes</t>
  </si>
  <si>
    <t xml:space="preserve">Management: value change: other</t>
  </si>
  <si>
    <t xml:space="preserve">Lender: cash at month 32</t>
  </si>
  <si>
    <t xml:space="preserve">Lender: default value</t>
  </si>
  <si>
    <t xml:space="preserve">Lender: first-out</t>
  </si>
  <si>
    <t xml:space="preserve">Lender: second-out</t>
  </si>
  <si>
    <t xml:space="preserve">Lender: minority</t>
  </si>
  <si>
    <t xml:space="preserve">Lender: notes</t>
  </si>
  <si>
    <t xml:space="preserve">Lender: other</t>
  </si>
  <si>
    <t xml:space="preserve">Lender: value now: group</t>
  </si>
  <si>
    <t xml:space="preserve">Lender: value now: minority</t>
  </si>
  <si>
    <t xml:space="preserve">Lender: value now: RCF</t>
  </si>
  <si>
    <t xml:space="preserve">Lender: value now: notes</t>
  </si>
  <si>
    <t xml:space="preserve">Lender: value now: other</t>
  </si>
  <si>
    <t xml:space="preserve">Lender: value later: group</t>
  </si>
  <si>
    <t xml:space="preserve">Lender: value later: minority</t>
  </si>
  <si>
    <t xml:space="preserve">Lender: value later: RCF</t>
  </si>
  <si>
    <t xml:space="preserve">Lender: value later: notes</t>
  </si>
  <si>
    <t xml:space="preserve">Lender: value later: other</t>
  </si>
  <si>
    <t xml:space="preserve">Lender: value change: group</t>
  </si>
  <si>
    <t xml:space="preserve">Lender: value change: minority</t>
  </si>
  <si>
    <t xml:space="preserve">Lender: value change: RCF banks</t>
  </si>
  <si>
    <t xml:space="preserve">Lender: value change: notes</t>
  </si>
  <si>
    <t xml:space="preserve">Lender: value change: other</t>
  </si>
  <si>
    <t xml:space="preserve">Downside: cash at month 32</t>
  </si>
  <si>
    <t xml:space="preserve">Downside: default value</t>
  </si>
  <si>
    <t xml:space="preserve">Downside: first-out</t>
  </si>
  <si>
    <t xml:space="preserve">Downside: second-out</t>
  </si>
  <si>
    <t xml:space="preserve">Downside: minority</t>
  </si>
  <si>
    <t xml:space="preserve">Downside: notes</t>
  </si>
  <si>
    <t xml:space="preserve">Downside: other</t>
  </si>
  <si>
    <t xml:space="preserve">Downside: value now: group</t>
  </si>
  <si>
    <t xml:space="preserve">Downside: value now: minority</t>
  </si>
  <si>
    <t xml:space="preserve">Downside: value now: RCF</t>
  </si>
  <si>
    <t xml:space="preserve">Downside: value now: notes</t>
  </si>
  <si>
    <t xml:space="preserve">Downside: value now: other</t>
  </si>
  <si>
    <t xml:space="preserve">Downside: value later: group</t>
  </si>
  <si>
    <t xml:space="preserve">Downside: value later: minority</t>
  </si>
  <si>
    <t xml:space="preserve">Downside: value later: RCF</t>
  </si>
  <si>
    <t xml:space="preserve">Downside: value later: notes</t>
  </si>
  <si>
    <t xml:space="preserve">Downside: value later: other</t>
  </si>
  <si>
    <t xml:space="preserve">Downside: value change: group</t>
  </si>
  <si>
    <t xml:space="preserve">Downside: value change: minority</t>
  </si>
  <si>
    <t xml:space="preserve">Downside: value change: RCF banks</t>
  </si>
  <si>
    <t xml:space="preserve">Downside: value change: notes</t>
  </si>
  <si>
    <t xml:space="preserve">Downside: value change: other</t>
  </si>
</sst>
</file>

<file path=xl/styles.xml><?xml version="1.0" encoding="utf-8"?>
<styleSheet xmlns="http://schemas.openxmlformats.org/spreadsheetml/2006/main">
  <numFmts count="22">
    <numFmt numFmtId="164" formatCode="General"/>
    <numFmt numFmtId="165" formatCode="0.00%"/>
    <numFmt numFmtId="166" formatCode="#,##0.0;\-#,##0.0;0.0"/>
    <numFmt numFmtId="167" formatCode="0.000%"/>
    <numFmt numFmtId="168" formatCode="0.0%"/>
    <numFmt numFmtId="169" formatCode="0.00\x"/>
    <numFmt numFmtId="170" formatCode="0"/>
    <numFmt numFmtId="171" formatCode="0.0\x"/>
    <numFmt numFmtId="172" formatCode="&quot;Year &quot;0"/>
    <numFmt numFmtId="173" formatCode="#,##0.00;\-#,##0.00;0.00"/>
    <numFmt numFmtId="174" formatCode="#,##0.000;\-#,##0.000;0.000"/>
    <numFmt numFmtId="175" formatCode="#,##0.0000;\-#,##0.0000;0.0000"/>
    <numFmt numFmtId="176" formatCode="0%"/>
    <numFmt numFmtId="177" formatCode="0.0000"/>
    <numFmt numFmtId="178" formatCode="#,##0"/>
    <numFmt numFmtId="179" formatCode="#,##0.00"/>
    <numFmt numFmtId="180" formatCode="0.000000"/>
    <numFmt numFmtId="181" formatCode="0.0000%"/>
    <numFmt numFmtId="182" formatCode="#,##0.0"/>
    <numFmt numFmtId="183" formatCode="#,##0.000"/>
    <numFmt numFmtId="184" formatCode="#,##0.0000"/>
    <numFmt numFmtId="185" formatCode="#,##0.000000"/>
  </numFmts>
  <fonts count="9">
    <font>
      <sz val="11"/>
      <color theme="1"/>
      <name val="Calibri"/>
      <family val="2"/>
      <charset val="1"/>
    </font>
    <font>
      <sz val="10"/>
      <name val="Arial"/>
      <family val="0"/>
    </font>
    <font>
      <sz val="10"/>
      <name val="Arial"/>
      <family val="0"/>
    </font>
    <font>
      <sz val="10"/>
      <name val="Arial"/>
      <family val="0"/>
    </font>
    <font>
      <b val="true"/>
      <sz val="12"/>
      <color rgb="FF000000"/>
      <name val="Calibri"/>
      <family val="0"/>
      <charset val="1"/>
    </font>
    <font>
      <b val="true"/>
      <sz val="10"/>
      <color rgb="FF000000"/>
      <name val="Calibri"/>
      <family val="0"/>
      <charset val="1"/>
    </font>
    <font>
      <sz val="10"/>
      <color rgb="FF000000"/>
      <name val="Calibri"/>
      <family val="0"/>
      <charset val="1"/>
    </font>
    <font>
      <sz val="10"/>
      <color rgb="FF404040"/>
      <name val="Calibri"/>
      <family val="0"/>
      <charset val="1"/>
    </font>
    <font>
      <sz val="10"/>
      <color rgb="FF0000FF"/>
      <name val="Calibri"/>
      <family val="0"/>
      <charset val="1"/>
    </font>
  </fonts>
  <fills count="3">
    <fill>
      <patternFill patternType="none"/>
    </fill>
    <fill>
      <patternFill patternType="gray125"/>
    </fill>
    <fill>
      <patternFill patternType="solid">
        <fgColor rgb="FFDDE4EE"/>
        <bgColor rgb="FFCCFFFF"/>
      </patternFill>
    </fill>
  </fills>
  <borders count="3">
    <border diagonalUp="false" diagonalDown="false">
      <left/>
      <right/>
      <top/>
      <bottom/>
      <diagonal/>
    </border>
    <border diagonalUp="false" diagonalDown="false">
      <left/>
      <right/>
      <top/>
      <bottom style="thin">
        <color rgb="FF7F7F7F"/>
      </bottom>
      <diagonal/>
    </border>
    <border diagonalUp="false" diagonalDown="false">
      <left/>
      <right/>
      <top style="thin">
        <color rgb="FF7F7F7F"/>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bottom" textRotation="0" wrapText="false" indent="1" shrinkToFit="false"/>
      <protection locked="true" hidden="false"/>
    </xf>
    <xf numFmtId="164" fontId="5" fillId="2" borderId="1" xfId="0" applyFont="true" applyBorder="true" applyAlignment="true" applyProtection="false">
      <alignment horizontal="left" vertical="bottom" textRotation="0" wrapText="false" indent="0" shrinkToFit="false"/>
      <protection locked="true" hidden="false"/>
    </xf>
    <xf numFmtId="164" fontId="5" fillId="2" borderId="1" xfId="0" applyFont="true" applyBorder="true" applyAlignment="true" applyProtection="false">
      <alignment horizontal="right" vertical="bottom" textRotation="0" wrapText="false" indent="0" shrinkToFit="false"/>
      <protection locked="true" hidden="false"/>
    </xf>
    <xf numFmtId="164" fontId="5" fillId="2" borderId="1" xfId="0" applyFont="true" applyBorder="true" applyAlignment="true" applyProtection="false">
      <alignment horizontal="left" vertical="bottom" textRotation="0" wrapText="false" indent="1"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68" fontId="8" fillId="0" borderId="0" xfId="0" applyFont="true" applyBorder="false" applyAlignment="false" applyProtection="false">
      <alignment horizontal="general" vertical="bottom" textRotation="0" wrapText="false" indent="0" shrinkToFit="false"/>
      <protection locked="true" hidden="false"/>
    </xf>
    <xf numFmtId="169" fontId="8" fillId="0" borderId="0" xfId="0" applyFont="true" applyBorder="false" applyAlignment="false" applyProtection="false">
      <alignment horizontal="general" vertical="bottom" textRotation="0" wrapText="false" indent="0" shrinkToFit="false"/>
      <protection locked="true" hidden="false"/>
    </xf>
    <xf numFmtId="170" fontId="8" fillId="0" borderId="0" xfId="0" applyFont="true" applyBorder="false" applyAlignment="false" applyProtection="false">
      <alignment horizontal="general" vertical="bottom" textRotation="0" wrapText="false" indent="0" shrinkToFit="false"/>
      <protection locked="true" hidden="false"/>
    </xf>
    <xf numFmtId="171" fontId="8" fillId="0" borderId="0" xfId="0" applyFont="true" applyBorder="false" applyAlignment="false" applyProtection="false">
      <alignment horizontal="general" vertical="bottom" textRotation="0" wrapText="false" indent="0" shrinkToFit="false"/>
      <protection locked="true" hidden="false"/>
    </xf>
    <xf numFmtId="172" fontId="5" fillId="2" borderId="1" xfId="0" applyFont="true" applyBorder="true" applyAlignment="true" applyProtection="false">
      <alignment horizontal="right"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1" shrinkToFit="false"/>
      <protection locked="true" hidden="false"/>
    </xf>
    <xf numFmtId="173" fontId="6" fillId="0" borderId="0" xfId="0" applyFont="true" applyBorder="false" applyAlignment="false" applyProtection="false">
      <alignment horizontal="general" vertical="bottom" textRotation="0" wrapText="false" indent="0" shrinkToFit="false"/>
      <protection locked="true" hidden="false"/>
    </xf>
    <xf numFmtId="174" fontId="6" fillId="0" borderId="0" xfId="0" applyFont="true" applyBorder="false" applyAlignment="false" applyProtection="false">
      <alignment horizontal="general" vertical="bottom" textRotation="0" wrapText="false" indent="0" shrinkToFit="false"/>
      <protection locked="true" hidden="false"/>
    </xf>
    <xf numFmtId="164" fontId="5" fillId="0" borderId="2" xfId="0" applyFont="true" applyBorder="true" applyAlignment="false" applyProtection="false">
      <alignment horizontal="general" vertical="bottom" textRotation="0" wrapText="false" indent="0" shrinkToFit="false"/>
      <protection locked="true" hidden="false"/>
    </xf>
    <xf numFmtId="173" fontId="5" fillId="0" borderId="2" xfId="0" applyFont="true" applyBorder="true" applyAlignment="false" applyProtection="false">
      <alignment horizontal="general" vertical="bottom" textRotation="0" wrapText="false" indent="0" shrinkToFit="false"/>
      <protection locked="true" hidden="false"/>
    </xf>
    <xf numFmtId="173" fontId="5" fillId="0" borderId="0" xfId="0" applyFont="true" applyBorder="false" applyAlignment="false" applyProtection="false">
      <alignment horizontal="general" vertical="bottom" textRotation="0" wrapText="fals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66" fontId="5" fillId="0" borderId="0" xfId="0" applyFont="true" applyBorder="false" applyAlignment="false" applyProtection="false">
      <alignment horizontal="general" vertical="bottom" textRotation="0" wrapText="false" indent="0" shrinkToFit="false"/>
      <protection locked="true" hidden="false"/>
    </xf>
    <xf numFmtId="168" fontId="5" fillId="0" borderId="0" xfId="0" applyFont="true" applyBorder="false" applyAlignment="false" applyProtection="false">
      <alignment horizontal="general" vertical="bottom" textRotation="0" wrapText="false" indent="0" shrinkToFit="false"/>
      <protection locked="true" hidden="false"/>
    </xf>
    <xf numFmtId="175" fontId="6" fillId="0" borderId="0" xfId="0" applyFont="true" applyBorder="false" applyAlignment="false" applyProtection="false">
      <alignment horizontal="general" vertical="bottom" textRotation="0" wrapText="false" indent="0" shrinkToFit="false"/>
      <protection locked="true" hidden="false"/>
    </xf>
    <xf numFmtId="170" fontId="6" fillId="0" borderId="0" xfId="0" applyFont="true" applyBorder="false" applyAlignment="false" applyProtection="false">
      <alignment horizontal="general" vertical="bottom" textRotation="0" wrapText="false" indent="0" shrinkToFit="false"/>
      <protection locked="true" hidden="false"/>
    </xf>
    <xf numFmtId="168" fontId="6" fillId="0" borderId="0" xfId="0" applyFont="true" applyBorder="fals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73" fontId="6" fillId="0" borderId="2" xfId="0" applyFont="true" applyBorder="true" applyAlignment="false" applyProtection="false">
      <alignment horizontal="general" vertical="bottom" textRotation="0" wrapText="false" indent="0" shrinkToFit="false"/>
      <protection locked="true" hidden="false"/>
    </xf>
    <xf numFmtId="176" fontId="6" fillId="0" borderId="0" xfId="0" applyFont="true" applyBorder="false" applyAlignment="false" applyProtection="false">
      <alignment horizontal="general" vertical="bottom" textRotation="0" wrapText="false" indent="0" shrinkToFit="false"/>
      <protection locked="true" hidden="false"/>
    </xf>
    <xf numFmtId="166" fontId="5" fillId="0" borderId="2" xfId="0" applyFont="true" applyBorder="true" applyAlignment="false" applyProtection="false">
      <alignment horizontal="general" vertical="bottom" textRotation="0" wrapText="false" indent="0" shrinkToFit="false"/>
      <protection locked="true" hidden="false"/>
    </xf>
    <xf numFmtId="171" fontId="6" fillId="0" borderId="0" xfId="0" applyFont="true" applyBorder="false" applyAlignment="false" applyProtection="false">
      <alignment horizontal="general" vertical="bottom" textRotation="0" wrapText="false" indent="0" shrinkToFit="false"/>
      <protection locked="true" hidden="false"/>
    </xf>
    <xf numFmtId="166" fontId="6" fillId="0" borderId="2" xfId="0" applyFont="true" applyBorder="true" applyAlignment="false" applyProtection="false">
      <alignment horizontal="general" vertical="bottom" textRotation="0" wrapText="false" indent="0" shrinkToFit="false"/>
      <protection locked="true" hidden="false"/>
    </xf>
    <xf numFmtId="164" fontId="5" fillId="2" borderId="1" xfId="0" applyFont="true" applyBorder="true" applyAlignment="true" applyProtection="false">
      <alignment horizontal="left" vertical="bottom" textRotation="0" wrapText="true" indent="0" shrinkToFit="false"/>
      <protection locked="true" hidden="false"/>
    </xf>
    <xf numFmtId="164" fontId="5" fillId="2" borderId="1" xfId="0" applyFont="true" applyBorder="true" applyAlignment="true" applyProtection="false">
      <alignment horizontal="right" vertical="bottom" textRotation="0" wrapText="true" indent="0" shrinkToFit="false"/>
      <protection locked="true" hidden="false"/>
    </xf>
    <xf numFmtId="170" fontId="6" fillId="0" borderId="0" xfId="0" applyFont="true" applyBorder="false" applyAlignment="true" applyProtection="false">
      <alignment horizontal="left" vertical="bottom" textRotation="0" wrapText="false" indent="0" shrinkToFit="false"/>
      <protection locked="true" hidden="false"/>
    </xf>
    <xf numFmtId="177" fontId="6" fillId="0" borderId="0" xfId="0" applyFont="true" applyBorder="false" applyAlignment="false" applyProtection="false">
      <alignment horizontal="general" vertical="bottom" textRotation="0" wrapText="false" indent="0" shrinkToFit="false"/>
      <protection locked="true" hidden="false"/>
    </xf>
    <xf numFmtId="170" fontId="5" fillId="0" borderId="2" xfId="0" applyFont="true" applyBorder="true" applyAlignment="false" applyProtection="false">
      <alignment horizontal="general" vertical="bottom" textRotation="0" wrapText="false" indent="0" shrinkToFit="false"/>
      <protection locked="true" hidden="false"/>
    </xf>
    <xf numFmtId="170"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2" shrinkToFit="false"/>
      <protection locked="true" hidden="false"/>
    </xf>
    <xf numFmtId="178" fontId="8" fillId="0" borderId="0" xfId="0" applyFont="true" applyBorder="false" applyAlignment="false" applyProtection="false">
      <alignment horizontal="general" vertical="bottom" textRotation="0" wrapText="false" indent="0" shrinkToFit="false"/>
      <protection locked="true" hidden="false"/>
    </xf>
    <xf numFmtId="179" fontId="6" fillId="0" borderId="0" xfId="0" applyFont="true" applyBorder="false" applyAlignment="false" applyProtection="false">
      <alignment horizontal="general" vertical="bottom" textRotation="0" wrapText="false" indent="0" shrinkToFit="false"/>
      <protection locked="true" hidden="false"/>
    </xf>
    <xf numFmtId="180" fontId="6" fillId="0" borderId="0" xfId="0" applyFont="true" applyBorder="false" applyAlignment="false" applyProtection="false">
      <alignment horizontal="general" vertical="bottom" textRotation="0" wrapText="false" indent="0" shrinkToFit="false"/>
      <protection locked="true" hidden="false"/>
    </xf>
    <xf numFmtId="180" fontId="8"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right" vertical="bottom" textRotation="0" wrapText="false" indent="0" shrinkToFit="false"/>
      <protection locked="true" hidden="false"/>
    </xf>
    <xf numFmtId="181" fontId="6" fillId="0"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82" fontId="8" fillId="0" borderId="0" xfId="0" applyFont="true" applyBorder="false" applyAlignment="false" applyProtection="false">
      <alignment horizontal="general" vertical="bottom" textRotation="0" wrapText="false" indent="0" shrinkToFit="false"/>
      <protection locked="true" hidden="false"/>
    </xf>
    <xf numFmtId="183" fontId="6" fillId="0" borderId="0" xfId="0" applyFont="true" applyBorder="false" applyAlignment="false" applyProtection="false">
      <alignment horizontal="general" vertical="bottom" textRotation="0" wrapText="false" indent="0" shrinkToFit="false"/>
      <protection locked="true" hidden="false"/>
    </xf>
    <xf numFmtId="179" fontId="8" fillId="0" borderId="0" xfId="0" applyFont="true" applyBorder="false" applyAlignment="false" applyProtection="false">
      <alignment horizontal="general" vertical="bottom" textRotation="0" wrapText="false" indent="0" shrinkToFit="false"/>
      <protection locked="true" hidden="false"/>
    </xf>
    <xf numFmtId="184" fontId="6" fillId="0" borderId="0" xfId="0" applyFont="true" applyBorder="false" applyAlignment="false" applyProtection="false">
      <alignment horizontal="general" vertical="bottom" textRotation="0" wrapText="false" indent="0" shrinkToFit="false"/>
      <protection locked="true" hidden="false"/>
    </xf>
    <xf numFmtId="184" fontId="8" fillId="0" borderId="0" xfId="0" applyFont="true" applyBorder="false" applyAlignment="false" applyProtection="false">
      <alignment horizontal="general" vertical="bottom" textRotation="0" wrapText="false" indent="0" shrinkToFit="false"/>
      <protection locked="true" hidden="false"/>
    </xf>
    <xf numFmtId="185" fontId="6" fillId="0" borderId="0" xfId="0" applyFont="true" applyBorder="false" applyAlignment="false" applyProtection="false">
      <alignment horizontal="general" vertical="bottom" textRotation="0" wrapText="false" indent="0" shrinkToFit="false"/>
      <protection locked="true" hidden="false"/>
    </xf>
    <xf numFmtId="176"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Calibri"/>
        <charset val="1"/>
        <family val="0"/>
        <b val="1"/>
        <color rgb="FFC00000"/>
        <sz val="1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7F7F7F"/>
      <rgbColor rgb="FF9999FF"/>
      <rgbColor rgb="FF993366"/>
      <rgbColor rgb="FFFFFFCC"/>
      <rgbColor rgb="FFCCFFFF"/>
      <rgbColor rgb="FF660066"/>
      <rgbColor rgb="FFFF8080"/>
      <rgbColor rgb="FF0066CC"/>
      <rgbColor rgb="FFDDE4E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4040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120"/>
    <col collapsed="false" customWidth="true" hidden="false" outlineLevel="0" max="39" min="3" style="0" width="11"/>
  </cols>
  <sheetData>
    <row r="1" customFormat="false" ht="6" hidden="false" customHeight="true" outlineLevel="0" collapsed="false"/>
    <row r="2" customFormat="false" ht="15" hidden="false" customHeight="false" outlineLevel="0" collapsed="false">
      <c r="B2" s="1" t="s">
        <v>0</v>
      </c>
    </row>
    <row r="4" customFormat="false" ht="15" hidden="false" customHeight="false" outlineLevel="0" collapsed="false">
      <c r="B4" s="2" t="s">
        <v>1</v>
      </c>
    </row>
    <row r="5" customFormat="false" ht="54" hidden="false" customHeight="true" outlineLevel="0" collapsed="false">
      <c r="B5" s="3" t="s">
        <v>2</v>
      </c>
    </row>
    <row r="7" customFormat="false" ht="15" hidden="false" customHeight="false" outlineLevel="0" collapsed="false">
      <c r="B7" s="2" t="s">
        <v>3</v>
      </c>
    </row>
    <row r="8" customFormat="false" ht="108" hidden="false" customHeight="true" outlineLevel="0" collapsed="false">
      <c r="B8" s="3" t="s">
        <v>4</v>
      </c>
    </row>
    <row r="10" customFormat="false" ht="15" hidden="false" customHeight="false" outlineLevel="0" collapsed="false">
      <c r="B10" s="2" t="s">
        <v>5</v>
      </c>
    </row>
    <row r="11" customFormat="false" ht="40.5" hidden="false" customHeight="true" outlineLevel="0" collapsed="false">
      <c r="B11" s="3" t="s">
        <v>6</v>
      </c>
    </row>
    <row r="12" customFormat="false" ht="67.5" hidden="false" customHeight="true" outlineLevel="0" collapsed="false">
      <c r="B12" s="3" t="s">
        <v>7</v>
      </c>
    </row>
    <row r="13" customFormat="false" ht="54" hidden="false" customHeight="true" outlineLevel="0" collapsed="false">
      <c r="B13" s="3" t="s">
        <v>8</v>
      </c>
    </row>
    <row r="14" customFormat="false" ht="40.5" hidden="false" customHeight="true" outlineLevel="0" collapsed="false">
      <c r="B14" s="3" t="s">
        <v>9</v>
      </c>
    </row>
    <row r="15" customFormat="false" ht="67.5" hidden="false" customHeight="true" outlineLevel="0" collapsed="false">
      <c r="B15" s="3" t="s">
        <v>10</v>
      </c>
    </row>
    <row r="16" customFormat="false" ht="40.5" hidden="false" customHeight="true" outlineLevel="0" collapsed="false">
      <c r="B16" s="3" t="s">
        <v>11</v>
      </c>
    </row>
    <row r="18" customFormat="false" ht="15" hidden="false" customHeight="false" outlineLevel="0" collapsed="false">
      <c r="B18" s="2" t="s">
        <v>12</v>
      </c>
    </row>
    <row r="19" customFormat="false" ht="67.5" hidden="false" customHeight="true" outlineLevel="0" collapsed="false">
      <c r="B19" s="3" t="s">
        <v>13</v>
      </c>
    </row>
    <row r="21" customFormat="false" ht="15" hidden="false" customHeight="false" outlineLevel="0" collapsed="false">
      <c r="B21" s="2" t="s">
        <v>14</v>
      </c>
    </row>
    <row r="22" customFormat="false" ht="40.5" hidden="false" customHeight="true" outlineLevel="0" collapsed="false">
      <c r="B22" s="3" t="s">
        <v>15</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K8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56"/>
    <col collapsed="false" customWidth="true" hidden="false" outlineLevel="0" max="11" min="3" style="0" width="10"/>
    <col collapsed="false" customWidth="true" hidden="false" outlineLevel="0" max="39" min="12" style="0" width="11"/>
  </cols>
  <sheetData>
    <row r="1" customFormat="false" ht="6" hidden="false" customHeight="true" outlineLevel="0" collapsed="false"/>
    <row r="2" customFormat="false" ht="15" hidden="false" customHeight="false" outlineLevel="0" collapsed="false">
      <c r="B2" s="1" t="s">
        <v>16</v>
      </c>
    </row>
    <row r="3" customFormat="false" ht="15" hidden="false" customHeight="false" outlineLevel="0" collapsed="false">
      <c r="B3" s="4" t="s">
        <v>17</v>
      </c>
    </row>
    <row r="5" customFormat="false" ht="15" hidden="false" customHeight="false" outlineLevel="0" collapsed="false">
      <c r="B5" s="2" t="s">
        <v>18</v>
      </c>
    </row>
    <row r="6" customFormat="false" ht="15" hidden="false" customHeight="false" outlineLevel="0" collapsed="false">
      <c r="B6" s="5" t="s">
        <v>19</v>
      </c>
      <c r="C6" s="6" t="s">
        <v>20</v>
      </c>
      <c r="D6" s="7" t="s">
        <v>21</v>
      </c>
      <c r="E6" s="7" t="s">
        <v>22</v>
      </c>
    </row>
    <row r="7" customFormat="false" ht="15" hidden="false" customHeight="false" outlineLevel="0" collapsed="false">
      <c r="B7" s="8" t="s">
        <v>23</v>
      </c>
      <c r="C7" s="9" t="n">
        <v>0.043</v>
      </c>
      <c r="D7" s="4" t="s">
        <v>24</v>
      </c>
      <c r="E7" s="4" t="s">
        <v>25</v>
      </c>
    </row>
    <row r="8" customFormat="false" ht="15" hidden="false" customHeight="false" outlineLevel="0" collapsed="false">
      <c r="B8" s="8" t="s">
        <v>26</v>
      </c>
      <c r="C8" s="10" t="n">
        <v>45</v>
      </c>
      <c r="D8" s="4" t="s">
        <v>27</v>
      </c>
      <c r="E8" s="4"/>
    </row>
    <row r="9" customFormat="false" ht="15" hidden="false" customHeight="false" outlineLevel="0" collapsed="false">
      <c r="B9" s="8" t="s">
        <v>28</v>
      </c>
      <c r="C9" s="10" t="n">
        <v>25</v>
      </c>
      <c r="D9" s="4" t="s">
        <v>27</v>
      </c>
      <c r="E9" s="4"/>
    </row>
    <row r="10" customFormat="false" ht="15" hidden="false" customHeight="false" outlineLevel="0" collapsed="false">
      <c r="B10" s="8" t="s">
        <v>29</v>
      </c>
      <c r="C10" s="10" t="n">
        <v>132</v>
      </c>
      <c r="D10" s="4" t="s">
        <v>27</v>
      </c>
      <c r="E10" s="4"/>
    </row>
    <row r="11" customFormat="false" ht="15" hidden="false" customHeight="false" outlineLevel="0" collapsed="false">
      <c r="B11" s="8" t="s">
        <v>30</v>
      </c>
      <c r="C11" s="10" t="n">
        <v>30</v>
      </c>
      <c r="D11" s="4" t="s">
        <v>31</v>
      </c>
      <c r="E11" s="4"/>
    </row>
    <row r="12" customFormat="false" ht="15" hidden="false" customHeight="false" outlineLevel="0" collapsed="false">
      <c r="B12" s="8" t="s">
        <v>32</v>
      </c>
      <c r="C12" s="10" t="n">
        <v>10</v>
      </c>
      <c r="D12" s="4" t="s">
        <v>31</v>
      </c>
      <c r="E12" s="4"/>
    </row>
    <row r="13" customFormat="false" ht="15" hidden="false" customHeight="false" outlineLevel="0" collapsed="false">
      <c r="B13" s="8" t="s">
        <v>33</v>
      </c>
      <c r="C13" s="10" t="n">
        <v>6</v>
      </c>
      <c r="D13" s="4" t="s">
        <v>31</v>
      </c>
      <c r="E13" s="4"/>
    </row>
    <row r="14" customFormat="false" ht="15" hidden="false" customHeight="false" outlineLevel="0" collapsed="false">
      <c r="B14" s="8" t="s">
        <v>34</v>
      </c>
      <c r="C14" s="10" t="n">
        <v>150</v>
      </c>
      <c r="D14" s="4" t="s">
        <v>27</v>
      </c>
      <c r="E14" s="4"/>
    </row>
    <row r="15" customFormat="false" ht="15" hidden="false" customHeight="false" outlineLevel="0" collapsed="false">
      <c r="B15" s="8" t="s">
        <v>35</v>
      </c>
      <c r="C15" s="10" t="n">
        <v>50</v>
      </c>
      <c r="D15" s="4" t="s">
        <v>27</v>
      </c>
      <c r="E15" s="4"/>
    </row>
    <row r="16" customFormat="false" ht="15" hidden="false" customHeight="false" outlineLevel="0" collapsed="false">
      <c r="B16" s="8" t="s">
        <v>36</v>
      </c>
      <c r="C16" s="9" t="n">
        <v>0.0375</v>
      </c>
      <c r="D16" s="4" t="s">
        <v>24</v>
      </c>
      <c r="E16" s="4"/>
    </row>
    <row r="17" customFormat="false" ht="15" hidden="false" customHeight="false" outlineLevel="0" collapsed="false">
      <c r="B17" s="8" t="s">
        <v>37</v>
      </c>
      <c r="C17" s="11" t="n">
        <v>0.00375</v>
      </c>
      <c r="D17" s="4" t="s">
        <v>24</v>
      </c>
      <c r="E17" s="4"/>
    </row>
    <row r="18" customFormat="false" ht="15" hidden="false" customHeight="false" outlineLevel="0" collapsed="false">
      <c r="B18" s="8" t="s">
        <v>38</v>
      </c>
      <c r="C18" s="12" t="n">
        <v>0.35</v>
      </c>
      <c r="D18" s="4" t="s">
        <v>39</v>
      </c>
      <c r="E18" s="4"/>
    </row>
    <row r="19" customFormat="false" ht="15" hidden="false" customHeight="false" outlineLevel="0" collapsed="false">
      <c r="B19" s="8" t="s">
        <v>40</v>
      </c>
      <c r="C19" s="13" t="n">
        <v>6.5</v>
      </c>
      <c r="D19" s="4" t="s">
        <v>41</v>
      </c>
      <c r="E19" s="4"/>
    </row>
    <row r="20" customFormat="false" ht="15" hidden="false" customHeight="false" outlineLevel="0" collapsed="false">
      <c r="B20" s="8" t="s">
        <v>42</v>
      </c>
      <c r="C20" s="14" t="n">
        <v>14</v>
      </c>
      <c r="D20" s="4" t="s">
        <v>43</v>
      </c>
      <c r="E20" s="4"/>
    </row>
    <row r="21" customFormat="false" ht="15" hidden="false" customHeight="false" outlineLevel="0" collapsed="false">
      <c r="B21" s="8" t="s">
        <v>44</v>
      </c>
      <c r="C21" s="10" t="n">
        <v>900</v>
      </c>
      <c r="D21" s="4" t="s">
        <v>27</v>
      </c>
      <c r="E21" s="4"/>
    </row>
    <row r="22" customFormat="false" ht="15" hidden="false" customHeight="false" outlineLevel="0" collapsed="false">
      <c r="B22" s="8" t="s">
        <v>45</v>
      </c>
      <c r="C22" s="9" t="n">
        <v>0.04</v>
      </c>
      <c r="D22" s="4" t="s">
        <v>24</v>
      </c>
      <c r="E22" s="4"/>
    </row>
    <row r="23" customFormat="false" ht="15" hidden="false" customHeight="false" outlineLevel="0" collapsed="false">
      <c r="B23" s="8" t="s">
        <v>46</v>
      </c>
      <c r="C23" s="12" t="n">
        <v>0.01</v>
      </c>
      <c r="D23" s="4" t="s">
        <v>24</v>
      </c>
      <c r="E23" s="4"/>
    </row>
    <row r="24" customFormat="false" ht="15" hidden="false" customHeight="false" outlineLevel="0" collapsed="false">
      <c r="B24" s="8" t="s">
        <v>47</v>
      </c>
      <c r="C24" s="14" t="n">
        <v>32</v>
      </c>
      <c r="D24" s="4" t="s">
        <v>43</v>
      </c>
      <c r="E24" s="4"/>
    </row>
    <row r="25" customFormat="false" ht="15" hidden="false" customHeight="false" outlineLevel="0" collapsed="false">
      <c r="B25" s="8" t="s">
        <v>48</v>
      </c>
      <c r="C25" s="10" t="n">
        <v>400</v>
      </c>
      <c r="D25" s="4" t="s">
        <v>27</v>
      </c>
      <c r="E25" s="4"/>
    </row>
    <row r="26" customFormat="false" ht="15" hidden="false" customHeight="false" outlineLevel="0" collapsed="false">
      <c r="B26" s="8" t="s">
        <v>49</v>
      </c>
      <c r="C26" s="9" t="n">
        <v>0.0725</v>
      </c>
      <c r="D26" s="4" t="s">
        <v>24</v>
      </c>
      <c r="E26" s="4"/>
    </row>
    <row r="27" customFormat="false" ht="15" hidden="false" customHeight="false" outlineLevel="0" collapsed="false">
      <c r="B27" s="8" t="s">
        <v>50</v>
      </c>
      <c r="C27" s="14" t="n">
        <v>2</v>
      </c>
      <c r="D27" s="4" t="s">
        <v>51</v>
      </c>
      <c r="E27" s="4" t="s">
        <v>52</v>
      </c>
    </row>
    <row r="28" customFormat="false" ht="15" hidden="false" customHeight="false" outlineLevel="0" collapsed="false">
      <c r="B28" s="8" t="s">
        <v>53</v>
      </c>
      <c r="C28" s="14" t="n">
        <v>3</v>
      </c>
      <c r="D28" s="4" t="s">
        <v>43</v>
      </c>
      <c r="E28" s="4" t="s">
        <v>54</v>
      </c>
    </row>
    <row r="30" customFormat="false" ht="15" hidden="false" customHeight="false" outlineLevel="0" collapsed="false">
      <c r="B30" s="2" t="s">
        <v>55</v>
      </c>
    </row>
    <row r="31" customFormat="false" ht="15" hidden="false" customHeight="false" outlineLevel="0" collapsed="false">
      <c r="B31" s="5" t="s">
        <v>19</v>
      </c>
      <c r="C31" s="6" t="s">
        <v>20</v>
      </c>
      <c r="D31" s="7" t="s">
        <v>21</v>
      </c>
      <c r="E31" s="7" t="s">
        <v>22</v>
      </c>
    </row>
    <row r="32" customFormat="false" ht="15" hidden="false" customHeight="false" outlineLevel="0" collapsed="false">
      <c r="B32" s="8" t="s">
        <v>56</v>
      </c>
      <c r="C32" s="10" t="n">
        <v>72</v>
      </c>
      <c r="D32" s="4" t="s">
        <v>27</v>
      </c>
      <c r="E32" s="4"/>
    </row>
    <row r="33" customFormat="false" ht="15" hidden="false" customHeight="false" outlineLevel="0" collapsed="false">
      <c r="B33" s="8" t="s">
        <v>57</v>
      </c>
      <c r="C33" s="10" t="n">
        <v>21</v>
      </c>
      <c r="D33" s="4" t="s">
        <v>27</v>
      </c>
      <c r="E33" s="4"/>
    </row>
    <row r="34" customFormat="false" ht="15" hidden="false" customHeight="false" outlineLevel="0" collapsed="false">
      <c r="B34" s="8" t="s">
        <v>58</v>
      </c>
      <c r="C34" s="10" t="n">
        <v>12</v>
      </c>
      <c r="D34" s="4" t="s">
        <v>27</v>
      </c>
      <c r="E34" s="4"/>
    </row>
    <row r="35" customFormat="false" ht="15" hidden="false" customHeight="false" outlineLevel="0" collapsed="false">
      <c r="B35" s="8" t="s">
        <v>59</v>
      </c>
      <c r="C35" s="10" t="n">
        <v>30</v>
      </c>
      <c r="D35" s="4" t="s">
        <v>27</v>
      </c>
      <c r="E35" s="4" t="s">
        <v>60</v>
      </c>
    </row>
    <row r="37" customFormat="false" ht="15" hidden="false" customHeight="false" outlineLevel="0" collapsed="false">
      <c r="B37" s="5" t="s">
        <v>61</v>
      </c>
      <c r="C37" s="6" t="n">
        <v>1</v>
      </c>
      <c r="D37" s="6" t="n">
        <v>2</v>
      </c>
      <c r="E37" s="6" t="n">
        <v>3</v>
      </c>
      <c r="F37" s="6" t="n">
        <v>4</v>
      </c>
      <c r="G37" s="6" t="n">
        <v>5</v>
      </c>
      <c r="H37" s="6" t="n">
        <v>6</v>
      </c>
      <c r="I37" s="6" t="n">
        <v>7</v>
      </c>
    </row>
    <row r="38" customFormat="false" ht="15" hidden="false" customHeight="false" outlineLevel="0" collapsed="false">
      <c r="B38" s="8" t="s">
        <v>62</v>
      </c>
      <c r="C38" s="10" t="n">
        <v>700</v>
      </c>
      <c r="D38" s="10" t="n">
        <v>800</v>
      </c>
      <c r="E38" s="10" t="n">
        <v>900</v>
      </c>
      <c r="F38" s="10" t="n">
        <v>1000</v>
      </c>
      <c r="G38" s="10" t="n">
        <v>1100</v>
      </c>
      <c r="H38" s="10" t="n">
        <v>1200</v>
      </c>
      <c r="I38" s="10" t="n">
        <v>1300</v>
      </c>
      <c r="K38" s="4"/>
    </row>
    <row r="40" customFormat="false" ht="15" hidden="false" customHeight="false" outlineLevel="0" collapsed="false">
      <c r="B40" s="2" t="s">
        <v>63</v>
      </c>
    </row>
    <row r="41" customFormat="false" ht="15" hidden="false" customHeight="false" outlineLevel="0" collapsed="false">
      <c r="B41" s="5" t="s">
        <v>19</v>
      </c>
      <c r="C41" s="6" t="s">
        <v>20</v>
      </c>
      <c r="D41" s="7" t="s">
        <v>21</v>
      </c>
      <c r="E41" s="7" t="s">
        <v>22</v>
      </c>
    </row>
    <row r="42" customFormat="false" ht="15" hidden="false" customHeight="false" outlineLevel="0" collapsed="false">
      <c r="B42" s="8" t="s">
        <v>64</v>
      </c>
      <c r="C42" s="14" t="n">
        <v>36</v>
      </c>
      <c r="D42" s="4" t="s">
        <v>65</v>
      </c>
      <c r="E42" s="4"/>
    </row>
    <row r="43" customFormat="false" ht="15" hidden="false" customHeight="false" outlineLevel="0" collapsed="false">
      <c r="B43" s="8" t="s">
        <v>66</v>
      </c>
      <c r="C43" s="9" t="n">
        <v>0.0125</v>
      </c>
      <c r="D43" s="4" t="s">
        <v>24</v>
      </c>
      <c r="E43" s="4"/>
    </row>
    <row r="44" customFormat="false" ht="15" hidden="false" customHeight="false" outlineLevel="0" collapsed="false">
      <c r="B44" s="8" t="s">
        <v>67</v>
      </c>
      <c r="C44" s="9" t="n">
        <v>0.01</v>
      </c>
      <c r="D44" s="4" t="s">
        <v>68</v>
      </c>
      <c r="E44" s="4"/>
    </row>
    <row r="45" customFormat="false" ht="15" hidden="false" customHeight="false" outlineLevel="0" collapsed="false">
      <c r="B45" s="8" t="s">
        <v>69</v>
      </c>
      <c r="C45" s="10" t="n">
        <v>125</v>
      </c>
      <c r="D45" s="4" t="s">
        <v>27</v>
      </c>
      <c r="E45" s="4"/>
    </row>
    <row r="46" customFormat="false" ht="15" hidden="false" customHeight="false" outlineLevel="0" collapsed="false">
      <c r="B46" s="8" t="s">
        <v>70</v>
      </c>
      <c r="C46" s="13" t="n">
        <v>7.5</v>
      </c>
      <c r="D46" s="4" t="s">
        <v>41</v>
      </c>
      <c r="E46" s="4" t="s">
        <v>71</v>
      </c>
    </row>
    <row r="48" customFormat="false" ht="15" hidden="false" customHeight="false" outlineLevel="0" collapsed="false">
      <c r="B48" s="2" t="s">
        <v>72</v>
      </c>
    </row>
    <row r="49" customFormat="false" ht="15" hidden="false" customHeight="false" outlineLevel="0" collapsed="false">
      <c r="B49" s="5" t="s">
        <v>19</v>
      </c>
      <c r="C49" s="6" t="s">
        <v>20</v>
      </c>
      <c r="D49" s="7" t="s">
        <v>21</v>
      </c>
      <c r="E49" s="7" t="s">
        <v>22</v>
      </c>
    </row>
    <row r="50" customFormat="false" ht="15" hidden="false" customHeight="false" outlineLevel="0" collapsed="false">
      <c r="B50" s="8" t="s">
        <v>73</v>
      </c>
      <c r="C50" s="12" t="n">
        <v>0.85</v>
      </c>
      <c r="D50" s="4" t="s">
        <v>74</v>
      </c>
      <c r="E50" s="4"/>
    </row>
    <row r="51" customFormat="false" ht="15" hidden="false" customHeight="false" outlineLevel="0" collapsed="false">
      <c r="B51" s="8" t="s">
        <v>75</v>
      </c>
      <c r="C51" s="12" t="n">
        <v>0.7</v>
      </c>
      <c r="D51" s="4" t="s">
        <v>76</v>
      </c>
      <c r="E51" s="4"/>
    </row>
    <row r="52" customFormat="false" ht="15" hidden="false" customHeight="false" outlineLevel="0" collapsed="false">
      <c r="B52" s="8" t="s">
        <v>77</v>
      </c>
      <c r="C52" s="9" t="n">
        <v>0.1</v>
      </c>
      <c r="D52" s="4" t="s">
        <v>24</v>
      </c>
      <c r="E52" s="4"/>
    </row>
    <row r="54" customFormat="false" ht="15" hidden="false" customHeight="false" outlineLevel="0" collapsed="false">
      <c r="B54" s="2" t="s">
        <v>78</v>
      </c>
    </row>
    <row r="55" customFormat="false" ht="15" hidden="false" customHeight="false" outlineLevel="0" collapsed="false">
      <c r="B55" s="5" t="s">
        <v>19</v>
      </c>
      <c r="C55" s="6" t="s">
        <v>20</v>
      </c>
      <c r="D55" s="7" t="s">
        <v>21</v>
      </c>
      <c r="E55" s="7" t="s">
        <v>22</v>
      </c>
    </row>
    <row r="56" customFormat="false" ht="15" hidden="false" customHeight="false" outlineLevel="0" collapsed="false">
      <c r="B56" s="8" t="s">
        <v>79</v>
      </c>
      <c r="C56" s="10" t="n">
        <v>600</v>
      </c>
      <c r="D56" s="4" t="s">
        <v>27</v>
      </c>
      <c r="E56" s="4"/>
    </row>
    <row r="57" customFormat="false" ht="15" hidden="false" customHeight="false" outlineLevel="0" collapsed="false">
      <c r="B57" s="8" t="s">
        <v>80</v>
      </c>
      <c r="C57" s="12" t="n">
        <v>0.5</v>
      </c>
      <c r="D57" s="4" t="s">
        <v>39</v>
      </c>
      <c r="E57" s="4"/>
    </row>
    <row r="58" customFormat="false" ht="15" hidden="false" customHeight="false" outlineLevel="0" collapsed="false">
      <c r="B58" s="8" t="s">
        <v>81</v>
      </c>
      <c r="C58" s="10" t="n">
        <v>200</v>
      </c>
      <c r="D58" s="4" t="s">
        <v>27</v>
      </c>
      <c r="E58" s="4"/>
    </row>
    <row r="59" customFormat="false" ht="15" hidden="false" customHeight="false" outlineLevel="0" collapsed="false">
      <c r="B59" s="8" t="s">
        <v>82</v>
      </c>
      <c r="C59" s="12" t="n">
        <v>0.02</v>
      </c>
      <c r="D59" s="4" t="s">
        <v>39</v>
      </c>
      <c r="E59" s="4"/>
    </row>
    <row r="60" customFormat="false" ht="15" hidden="false" customHeight="false" outlineLevel="0" collapsed="false">
      <c r="B60" s="8" t="s">
        <v>83</v>
      </c>
      <c r="C60" s="9" t="n">
        <v>0.065</v>
      </c>
      <c r="D60" s="4" t="s">
        <v>24</v>
      </c>
      <c r="E60" s="4"/>
    </row>
    <row r="61" customFormat="false" ht="15" hidden="false" customHeight="false" outlineLevel="0" collapsed="false">
      <c r="B61" s="8" t="s">
        <v>84</v>
      </c>
      <c r="C61" s="12" t="n">
        <v>0.95</v>
      </c>
      <c r="D61" s="4" t="s">
        <v>76</v>
      </c>
      <c r="E61" s="4"/>
    </row>
    <row r="62" customFormat="false" ht="15" hidden="false" customHeight="false" outlineLevel="0" collapsed="false">
      <c r="B62" s="8" t="s">
        <v>85</v>
      </c>
      <c r="C62" s="10" t="n">
        <v>12</v>
      </c>
      <c r="D62" s="4" t="s">
        <v>27</v>
      </c>
      <c r="E62" s="4"/>
    </row>
    <row r="64" customFormat="false" ht="15" hidden="false" customHeight="false" outlineLevel="0" collapsed="false">
      <c r="B64" s="2" t="s">
        <v>86</v>
      </c>
    </row>
    <row r="65" customFormat="false" ht="15" hidden="false" customHeight="false" outlineLevel="0" collapsed="false">
      <c r="B65" s="5" t="s">
        <v>19</v>
      </c>
      <c r="C65" s="6" t="s">
        <v>20</v>
      </c>
      <c r="D65" s="7" t="s">
        <v>21</v>
      </c>
      <c r="E65" s="7" t="s">
        <v>22</v>
      </c>
    </row>
    <row r="66" customFormat="false" ht="15" hidden="false" customHeight="false" outlineLevel="0" collapsed="false">
      <c r="B66" s="8" t="s">
        <v>87</v>
      </c>
      <c r="C66" s="10" t="n">
        <v>30</v>
      </c>
      <c r="D66" s="4" t="s">
        <v>27</v>
      </c>
      <c r="E66" s="4"/>
    </row>
    <row r="67" customFormat="false" ht="15" hidden="false" customHeight="false" outlineLevel="0" collapsed="false">
      <c r="B67" s="8" t="s">
        <v>88</v>
      </c>
      <c r="C67" s="15" t="n">
        <v>7</v>
      </c>
      <c r="D67" s="4" t="s">
        <v>41</v>
      </c>
      <c r="E67" s="4"/>
    </row>
    <row r="68" customFormat="false" ht="15" hidden="false" customHeight="false" outlineLevel="0" collapsed="false">
      <c r="B68" s="8" t="s">
        <v>89</v>
      </c>
      <c r="C68" s="10" t="n">
        <v>50</v>
      </c>
      <c r="D68" s="4" t="s">
        <v>27</v>
      </c>
      <c r="E68" s="4" t="s">
        <v>90</v>
      </c>
    </row>
    <row r="69" customFormat="false" ht="15" hidden="false" customHeight="false" outlineLevel="0" collapsed="false">
      <c r="B69" s="8" t="s">
        <v>91</v>
      </c>
      <c r="C69" s="12" t="n">
        <v>0.25</v>
      </c>
      <c r="D69" s="4" t="s">
        <v>39</v>
      </c>
      <c r="E69" s="4"/>
    </row>
    <row r="70" customFormat="false" ht="15" hidden="false" customHeight="false" outlineLevel="0" collapsed="false">
      <c r="B70" s="8" t="s">
        <v>92</v>
      </c>
      <c r="C70" s="10" t="n">
        <v>75</v>
      </c>
      <c r="D70" s="4" t="s">
        <v>27</v>
      </c>
      <c r="E70" s="4"/>
    </row>
    <row r="71" customFormat="false" ht="15" hidden="false" customHeight="false" outlineLevel="0" collapsed="false">
      <c r="B71" s="8" t="s">
        <v>93</v>
      </c>
      <c r="C71" s="10" t="n">
        <v>60</v>
      </c>
      <c r="D71" s="4" t="s">
        <v>27</v>
      </c>
      <c r="E71" s="4"/>
    </row>
    <row r="72" customFormat="false" ht="15" hidden="false" customHeight="false" outlineLevel="0" collapsed="false">
      <c r="B72" s="8" t="s">
        <v>94</v>
      </c>
      <c r="C72" s="10" t="n">
        <v>150</v>
      </c>
      <c r="D72" s="4" t="s">
        <v>27</v>
      </c>
      <c r="E72" s="4"/>
    </row>
    <row r="73" customFormat="false" ht="15" hidden="false" customHeight="false" outlineLevel="0" collapsed="false">
      <c r="B73" s="8" t="s">
        <v>95</v>
      </c>
      <c r="C73" s="9" t="n">
        <v>0.07</v>
      </c>
      <c r="D73" s="4" t="s">
        <v>24</v>
      </c>
      <c r="E73" s="4"/>
    </row>
    <row r="75" customFormat="false" ht="15" hidden="false" customHeight="false" outlineLevel="0" collapsed="false">
      <c r="B75" s="2" t="s">
        <v>96</v>
      </c>
    </row>
    <row r="76" customFormat="false" ht="15" hidden="false" customHeight="false" outlineLevel="0" collapsed="false">
      <c r="B76" s="5" t="s">
        <v>19</v>
      </c>
      <c r="C76" s="6" t="s">
        <v>20</v>
      </c>
      <c r="D76" s="7" t="s">
        <v>21</v>
      </c>
      <c r="E76" s="7" t="s">
        <v>22</v>
      </c>
    </row>
    <row r="77" customFormat="false" ht="15" hidden="false" customHeight="false" outlineLevel="0" collapsed="false">
      <c r="B77" s="8" t="s">
        <v>97</v>
      </c>
      <c r="C77" s="15" t="n">
        <v>5</v>
      </c>
      <c r="D77" s="4" t="s">
        <v>41</v>
      </c>
      <c r="E77" s="4" t="s">
        <v>71</v>
      </c>
    </row>
    <row r="78" customFormat="false" ht="15" hidden="false" customHeight="false" outlineLevel="0" collapsed="false">
      <c r="B78" s="8" t="s">
        <v>98</v>
      </c>
      <c r="C78" s="15" t="n">
        <v>7</v>
      </c>
      <c r="D78" s="4" t="s">
        <v>41</v>
      </c>
      <c r="E78" s="4"/>
    </row>
    <row r="79" customFormat="false" ht="15" hidden="false" customHeight="false" outlineLevel="0" collapsed="false">
      <c r="B79" s="8" t="s">
        <v>99</v>
      </c>
      <c r="C79" s="10" t="n">
        <v>1170</v>
      </c>
      <c r="D79" s="4" t="s">
        <v>27</v>
      </c>
      <c r="E79" s="4" t="s">
        <v>100</v>
      </c>
    </row>
    <row r="80" customFormat="false" ht="15" hidden="false" customHeight="false" outlineLevel="0" collapsed="false">
      <c r="B80" s="8" t="s">
        <v>101</v>
      </c>
      <c r="C80" s="10" t="n">
        <v>975</v>
      </c>
      <c r="D80" s="4" t="s">
        <v>27</v>
      </c>
      <c r="E80" s="4" t="s">
        <v>100</v>
      </c>
    </row>
    <row r="81" customFormat="false" ht="15" hidden="false" customHeight="false" outlineLevel="0" collapsed="false">
      <c r="B81" s="8" t="s">
        <v>102</v>
      </c>
      <c r="C81" s="10" t="n">
        <v>815</v>
      </c>
      <c r="D81" s="4" t="s">
        <v>27</v>
      </c>
      <c r="E81" s="4" t="s">
        <v>100</v>
      </c>
    </row>
    <row r="83" customFormat="false" ht="15" hidden="false" customHeight="false" outlineLevel="0" collapsed="false">
      <c r="B83" s="5" t="s">
        <v>103</v>
      </c>
      <c r="C83" s="16" t="n">
        <v>1</v>
      </c>
      <c r="D83" s="16" t="n">
        <v>2</v>
      </c>
      <c r="E83" s="16" t="n">
        <v>3</v>
      </c>
      <c r="F83" s="16" t="n">
        <v>4</v>
      </c>
      <c r="G83" s="16" t="n">
        <v>5</v>
      </c>
    </row>
    <row r="84" customFormat="false" ht="15" hidden="false" customHeight="false" outlineLevel="0" collapsed="false">
      <c r="B84" s="8" t="s">
        <v>104</v>
      </c>
      <c r="C84" s="10" t="n">
        <v>150</v>
      </c>
      <c r="D84" s="10" t="n">
        <v>172</v>
      </c>
      <c r="E84" s="10" t="n">
        <v>190</v>
      </c>
      <c r="F84" s="10" t="n">
        <v>204</v>
      </c>
      <c r="G84" s="10" t="n">
        <v>214</v>
      </c>
      <c r="I84" s="4"/>
    </row>
    <row r="85" customFormat="false" ht="15" hidden="false" customHeight="false" outlineLevel="0" collapsed="false">
      <c r="B85" s="8" t="s">
        <v>105</v>
      </c>
      <c r="C85" s="10" t="n">
        <v>138</v>
      </c>
      <c r="D85" s="10" t="n">
        <v>146</v>
      </c>
      <c r="E85" s="10" t="n">
        <v>154</v>
      </c>
      <c r="F85" s="10" t="n">
        <v>161</v>
      </c>
      <c r="G85" s="10" t="n">
        <v>167</v>
      </c>
      <c r="I85" s="4"/>
    </row>
    <row r="86" customFormat="false" ht="15" hidden="false" customHeight="false" outlineLevel="0" collapsed="false">
      <c r="B86" s="8" t="s">
        <v>106</v>
      </c>
      <c r="C86" s="10" t="n">
        <v>120</v>
      </c>
      <c r="D86" s="10" t="n">
        <v>124</v>
      </c>
      <c r="E86" s="10" t="n">
        <v>130</v>
      </c>
      <c r="F86" s="10" t="n">
        <v>136</v>
      </c>
      <c r="G86" s="10" t="n">
        <v>140</v>
      </c>
      <c r="I86" s="4"/>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J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50"/>
    <col collapsed="false" customWidth="true" hidden="false" outlineLevel="0" max="9" min="3" style="0" width="10"/>
    <col collapsed="false" customWidth="true" hidden="false" outlineLevel="0" max="10" min="10" style="0" width="44"/>
    <col collapsed="false" customWidth="true" hidden="false" outlineLevel="0" max="39" min="11" style="0" width="11"/>
  </cols>
  <sheetData>
    <row r="1" customFormat="false" ht="6" hidden="false" customHeight="true" outlineLevel="0" collapsed="false"/>
    <row r="2" customFormat="false" ht="15" hidden="false" customHeight="false" outlineLevel="0" collapsed="false">
      <c r="B2" s="1" t="s">
        <v>107</v>
      </c>
    </row>
    <row r="3" customFormat="false" ht="15" hidden="false" customHeight="false" outlineLevel="0" collapsed="false">
      <c r="B3" s="4" t="s">
        <v>108</v>
      </c>
    </row>
    <row r="5" customFormat="false" ht="15" hidden="false" customHeight="false" outlineLevel="0" collapsed="false">
      <c r="B5" s="2" t="s">
        <v>109</v>
      </c>
    </row>
    <row r="6" customFormat="false" ht="15" hidden="false" customHeight="false" outlineLevel="0" collapsed="false">
      <c r="B6" s="5" t="s">
        <v>110</v>
      </c>
      <c r="C6" s="6" t="s">
        <v>20</v>
      </c>
      <c r="D6" s="7" t="s">
        <v>111</v>
      </c>
    </row>
    <row r="7" customFormat="false" ht="15" hidden="false" customHeight="false" outlineLevel="0" collapsed="false">
      <c r="B7" s="8" t="s">
        <v>112</v>
      </c>
      <c r="C7" s="17" t="n">
        <f aca="false">Inputs!$C$7+Inputs!$C$16</f>
        <v>0.0805</v>
      </c>
    </row>
    <row r="8" customFormat="false" ht="15" hidden="false" customHeight="false" outlineLevel="0" collapsed="false">
      <c r="B8" s="8" t="s">
        <v>113</v>
      </c>
      <c r="C8" s="17" t="n">
        <f aca="false">Inputs!$C$7+Inputs!$C$22</f>
        <v>0.083</v>
      </c>
    </row>
    <row r="9" customFormat="false" ht="15" hidden="false" customHeight="false" outlineLevel="0" collapsed="false">
      <c r="B9" s="8" t="s">
        <v>114</v>
      </c>
      <c r="C9" s="18" t="n">
        <f aca="false">Inputs!$C$15+Inputs!$C$21</f>
        <v>950</v>
      </c>
    </row>
    <row r="10" customFormat="false" ht="15" hidden="false" customHeight="false" outlineLevel="0" collapsed="false">
      <c r="B10" s="8" t="s">
        <v>115</v>
      </c>
      <c r="C10" s="18" t="n">
        <f aca="false">$C$9+Inputs!$C$25</f>
        <v>1350</v>
      </c>
    </row>
    <row r="11" customFormat="false" ht="15" hidden="false" customHeight="false" outlineLevel="0" collapsed="false">
      <c r="B11" s="19" t="s">
        <v>116</v>
      </c>
      <c r="C11" s="20" t="n">
        <f aca="false">Inputs!$C$21*$C$8</f>
        <v>74.7</v>
      </c>
    </row>
    <row r="12" customFormat="false" ht="15" hidden="false" customHeight="false" outlineLevel="0" collapsed="false">
      <c r="B12" s="19" t="s">
        <v>117</v>
      </c>
      <c r="C12" s="21" t="n">
        <f aca="false">Inputs!$C$15*$C$7</f>
        <v>4.025</v>
      </c>
    </row>
    <row r="13" customFormat="false" ht="15" hidden="false" customHeight="false" outlineLevel="0" collapsed="false">
      <c r="B13" s="19" t="s">
        <v>118</v>
      </c>
      <c r="C13" s="21" t="n">
        <f aca="false">(Inputs!$C$14-Inputs!$C$15)*Inputs!$C$17</f>
        <v>0.375</v>
      </c>
    </row>
    <row r="14" customFormat="false" ht="15" hidden="false" customHeight="false" outlineLevel="0" collapsed="false">
      <c r="B14" s="19" t="s">
        <v>119</v>
      </c>
      <c r="C14" s="20" t="n">
        <f aca="false">Inputs!$C$25*Inputs!$C$26</f>
        <v>29</v>
      </c>
    </row>
    <row r="15" customFormat="false" ht="15" hidden="false" customHeight="false" outlineLevel="0" collapsed="false">
      <c r="B15" s="22" t="s">
        <v>120</v>
      </c>
      <c r="C15" s="23" t="n">
        <f aca="false">SUM($C$11:$C$14)</f>
        <v>108.1</v>
      </c>
    </row>
    <row r="16" customFormat="false" ht="15" hidden="false" customHeight="false" outlineLevel="0" collapsed="false">
      <c r="B16" s="8" t="s">
        <v>121</v>
      </c>
      <c r="C16" s="18" t="n">
        <f aca="false">Inputs!$C$21*Inputs!$C$23</f>
        <v>9</v>
      </c>
    </row>
    <row r="17" customFormat="false" ht="15" hidden="false" customHeight="false" outlineLevel="0" collapsed="false">
      <c r="B17" s="2" t="s">
        <v>122</v>
      </c>
      <c r="C17" s="24" t="n">
        <f aca="false">Inputs!$C$10-$C$15-Inputs!$C$11-Inputs!$C$12-Inputs!$C$13-$C$16</f>
        <v>-31.1</v>
      </c>
    </row>
    <row r="18" customFormat="false" ht="15" hidden="false" customHeight="false" outlineLevel="0" collapsed="false">
      <c r="B18" s="8" t="s">
        <v>123</v>
      </c>
      <c r="C18" s="25" t="n">
        <f aca="false">$C$10/Inputs!$C$10</f>
        <v>10.2272727272727</v>
      </c>
    </row>
    <row r="19" customFormat="false" ht="15" hidden="false" customHeight="false" outlineLevel="0" collapsed="false">
      <c r="B19" s="8" t="s">
        <v>124</v>
      </c>
      <c r="C19" s="25" t="n">
        <f aca="false">($C$9-Inputs!$C$8)/Inputs!$C$10</f>
        <v>6.85606060606061</v>
      </c>
    </row>
    <row r="20" customFormat="false" ht="15" hidden="false" customHeight="false" outlineLevel="0" collapsed="false">
      <c r="B20" s="8" t="s">
        <v>125</v>
      </c>
      <c r="C20" s="18" t="n">
        <f aca="false">Inputs!$C$32+Inputs!$C$33+Inputs!$C$34</f>
        <v>105</v>
      </c>
    </row>
    <row r="21" customFormat="false" ht="15" hidden="false" customHeight="false" outlineLevel="0" collapsed="false">
      <c r="B21" s="8" t="s">
        <v>126</v>
      </c>
      <c r="C21" s="18" t="n">
        <f aca="false">Inputs!$C$25+$C$20</f>
        <v>505</v>
      </c>
    </row>
    <row r="22" customFormat="false" ht="15" hidden="false" customHeight="false" outlineLevel="0" collapsed="false">
      <c r="B22" s="8" t="s">
        <v>59</v>
      </c>
      <c r="C22" s="18" t="n">
        <f aca="false">Inputs!$C$35</f>
        <v>30</v>
      </c>
    </row>
    <row r="23" customFormat="false" ht="15" hidden="false" customHeight="false" outlineLevel="0" collapsed="false">
      <c r="B23" s="8" t="s">
        <v>127</v>
      </c>
      <c r="C23" s="18" t="n">
        <f aca="false">MAX(0,Inputs!$C$8-Inputs!$C$9)</f>
        <v>20</v>
      </c>
    </row>
    <row r="24" customFormat="false" ht="15" hidden="false" customHeight="false" outlineLevel="0" collapsed="false">
      <c r="B24" s="8" t="s">
        <v>128</v>
      </c>
      <c r="C24" s="18" t="n">
        <f aca="false">$C$22+$C$9-$C$23</f>
        <v>960</v>
      </c>
      <c r="D24" s="4" t="s">
        <v>129</v>
      </c>
    </row>
    <row r="25" customFormat="false" ht="15" hidden="false" customHeight="false" outlineLevel="0" collapsed="false">
      <c r="B25" s="8" t="s">
        <v>130</v>
      </c>
      <c r="C25" s="18" t="n">
        <f aca="false">$C$24+$C$21</f>
        <v>1465</v>
      </c>
    </row>
    <row r="27" customFormat="false" ht="15" hidden="false" customHeight="false" outlineLevel="0" collapsed="false">
      <c r="B27" s="2" t="s">
        <v>131</v>
      </c>
    </row>
    <row r="28" customFormat="false" ht="15" hidden="false" customHeight="false" outlineLevel="0" collapsed="false">
      <c r="B28" s="5" t="s">
        <v>27</v>
      </c>
      <c r="C28" s="6" t="s">
        <v>132</v>
      </c>
      <c r="D28" s="6" t="s">
        <v>133</v>
      </c>
      <c r="E28" s="6" t="s">
        <v>134</v>
      </c>
      <c r="F28" s="6" t="s">
        <v>135</v>
      </c>
      <c r="G28" s="6" t="s">
        <v>136</v>
      </c>
      <c r="H28" s="6" t="s">
        <v>137</v>
      </c>
      <c r="I28" s="6" t="s">
        <v>138</v>
      </c>
      <c r="J28" s="7" t="s">
        <v>111</v>
      </c>
    </row>
    <row r="29" customFormat="false" ht="15" hidden="false" customHeight="false" outlineLevel="0" collapsed="false">
      <c r="B29" s="2" t="s">
        <v>139</v>
      </c>
      <c r="C29" s="26" t="n">
        <f aca="false">Inputs!C38</f>
        <v>700</v>
      </c>
      <c r="D29" s="26" t="n">
        <f aca="false">Inputs!D38</f>
        <v>800</v>
      </c>
      <c r="E29" s="26" t="n">
        <f aca="false">Inputs!E38</f>
        <v>900</v>
      </c>
      <c r="F29" s="26" t="n">
        <f aca="false">Inputs!F38</f>
        <v>1000</v>
      </c>
      <c r="G29" s="26" t="n">
        <f aca="false">Inputs!G38</f>
        <v>1100</v>
      </c>
      <c r="H29" s="26" t="n">
        <f aca="false">Inputs!H38</f>
        <v>1200</v>
      </c>
      <c r="I29" s="26" t="n">
        <f aca="false">Inputs!I38</f>
        <v>1300</v>
      </c>
    </row>
    <row r="30" customFormat="false" ht="15" hidden="false" customHeight="false" outlineLevel="0" collapsed="false">
      <c r="B30" s="19" t="s">
        <v>140</v>
      </c>
      <c r="C30" s="18" t="n">
        <f aca="false">$C$23</f>
        <v>20</v>
      </c>
      <c r="D30" s="18" t="n">
        <f aca="false">$C$23</f>
        <v>20</v>
      </c>
      <c r="E30" s="18" t="n">
        <f aca="false">$C$23</f>
        <v>20</v>
      </c>
      <c r="F30" s="18" t="n">
        <f aca="false">$C$23</f>
        <v>20</v>
      </c>
      <c r="G30" s="18" t="n">
        <f aca="false">$C$23</f>
        <v>20</v>
      </c>
      <c r="H30" s="18" t="n">
        <f aca="false">$C$23</f>
        <v>20</v>
      </c>
      <c r="I30" s="18" t="n">
        <f aca="false">$C$23</f>
        <v>20</v>
      </c>
    </row>
    <row r="31" customFormat="false" ht="15" hidden="false" customHeight="false" outlineLevel="0" collapsed="false">
      <c r="B31" s="8" t="s">
        <v>141</v>
      </c>
      <c r="C31" s="18" t="n">
        <f aca="false">MAX(0,C29+C30-$C$22)</f>
        <v>690</v>
      </c>
      <c r="D31" s="18" t="n">
        <f aca="false">MAX(0,D29+D30-$C$22)</f>
        <v>790</v>
      </c>
      <c r="E31" s="18" t="n">
        <f aca="false">MAX(0,E29+E30-$C$22)</f>
        <v>890</v>
      </c>
      <c r="F31" s="18" t="n">
        <f aca="false">MAX(0,F29+F30-$C$22)</f>
        <v>990</v>
      </c>
      <c r="G31" s="18" t="n">
        <f aca="false">MAX(0,G29+G30-$C$22)</f>
        <v>1090</v>
      </c>
      <c r="H31" s="18" t="n">
        <f aca="false">MAX(0,H29+H30-$C$22)</f>
        <v>1190</v>
      </c>
      <c r="I31" s="18" t="n">
        <f aca="false">MAX(0,I29+I30-$C$22)</f>
        <v>1290</v>
      </c>
    </row>
    <row r="32" customFormat="false" ht="15" hidden="false" customHeight="false" outlineLevel="0" collapsed="false">
      <c r="B32" s="8" t="s">
        <v>142</v>
      </c>
      <c r="C32" s="18" t="n">
        <f aca="false">MIN(C31,$C$9)</f>
        <v>690</v>
      </c>
      <c r="D32" s="18" t="n">
        <f aca="false">MIN(D31,$C$9)</f>
        <v>790</v>
      </c>
      <c r="E32" s="18" t="n">
        <f aca="false">MIN(E31,$C$9)</f>
        <v>890</v>
      </c>
      <c r="F32" s="18" t="n">
        <f aca="false">MIN(F31,$C$9)</f>
        <v>950</v>
      </c>
      <c r="G32" s="18" t="n">
        <f aca="false">MIN(G31,$C$9)</f>
        <v>950</v>
      </c>
      <c r="H32" s="18" t="n">
        <f aca="false">MIN(H31,$C$9)</f>
        <v>950</v>
      </c>
      <c r="I32" s="18" t="n">
        <f aca="false">MIN(I31,$C$9)</f>
        <v>950</v>
      </c>
    </row>
    <row r="33" customFormat="false" ht="15" hidden="false" customHeight="false" outlineLevel="0" collapsed="false">
      <c r="B33" s="2" t="s">
        <v>143</v>
      </c>
      <c r="C33" s="27" t="n">
        <f aca="false">C32/$C$9</f>
        <v>0.726315789473684</v>
      </c>
      <c r="D33" s="27" t="n">
        <f aca="false">D32/$C$9</f>
        <v>0.831578947368421</v>
      </c>
      <c r="E33" s="27" t="n">
        <f aca="false">E32/$C$9</f>
        <v>0.936842105263158</v>
      </c>
      <c r="F33" s="27" t="n">
        <f aca="false">F32/$C$9</f>
        <v>1</v>
      </c>
      <c r="G33" s="27" t="n">
        <f aca="false">G32/$C$9</f>
        <v>1</v>
      </c>
      <c r="H33" s="27" t="n">
        <f aca="false">H32/$C$9</f>
        <v>1</v>
      </c>
      <c r="I33" s="27" t="n">
        <f aca="false">I32/$C$9</f>
        <v>1</v>
      </c>
    </row>
    <row r="34" customFormat="false" ht="15" hidden="false" customHeight="false" outlineLevel="0" collapsed="false">
      <c r="B34" s="8" t="s">
        <v>144</v>
      </c>
      <c r="C34" s="18" t="n">
        <f aca="false">C31-C32</f>
        <v>0</v>
      </c>
      <c r="D34" s="18" t="n">
        <f aca="false">D31-D32</f>
        <v>0</v>
      </c>
      <c r="E34" s="18" t="n">
        <f aca="false">E31-E32</f>
        <v>0</v>
      </c>
      <c r="F34" s="18" t="n">
        <f aca="false">F31-F32</f>
        <v>40</v>
      </c>
      <c r="G34" s="18" t="n">
        <f aca="false">G31-G32</f>
        <v>140</v>
      </c>
      <c r="H34" s="18" t="n">
        <f aca="false">H31-H32</f>
        <v>240</v>
      </c>
      <c r="I34" s="18" t="n">
        <f aca="false">I31-I32</f>
        <v>340</v>
      </c>
    </row>
    <row r="35" customFormat="false" ht="15" hidden="false" customHeight="false" outlineLevel="0" collapsed="false">
      <c r="B35" s="8" t="s">
        <v>145</v>
      </c>
      <c r="C35" s="18" t="n">
        <f aca="false">MIN(C34,$C$21)</f>
        <v>0</v>
      </c>
      <c r="D35" s="18" t="n">
        <f aca="false">MIN(D34,$C$21)</f>
        <v>0</v>
      </c>
      <c r="E35" s="18" t="n">
        <f aca="false">MIN(E34,$C$21)</f>
        <v>0</v>
      </c>
      <c r="F35" s="18" t="n">
        <f aca="false">MIN(F34,$C$21)</f>
        <v>40</v>
      </c>
      <c r="G35" s="18" t="n">
        <f aca="false">MIN(G34,$C$21)</f>
        <v>140</v>
      </c>
      <c r="H35" s="18" t="n">
        <f aca="false">MIN(H34,$C$21)</f>
        <v>240</v>
      </c>
      <c r="I35" s="18" t="n">
        <f aca="false">MIN(I34,$C$21)</f>
        <v>340</v>
      </c>
    </row>
    <row r="36" customFormat="false" ht="15" hidden="false" customHeight="false" outlineLevel="0" collapsed="false">
      <c r="B36" s="19" t="s">
        <v>146</v>
      </c>
      <c r="C36" s="18" t="n">
        <f aca="false">C35*Inputs!$C$25/$C$21</f>
        <v>0</v>
      </c>
      <c r="D36" s="18" t="n">
        <f aca="false">D35*Inputs!$C$25/$C$21</f>
        <v>0</v>
      </c>
      <c r="E36" s="18" t="n">
        <f aca="false">E35*Inputs!$C$25/$C$21</f>
        <v>0</v>
      </c>
      <c r="F36" s="18" t="n">
        <f aca="false">F35*Inputs!$C$25/$C$21</f>
        <v>31.6831683168317</v>
      </c>
      <c r="G36" s="18" t="n">
        <f aca="false">G35*Inputs!$C$25/$C$21</f>
        <v>110.891089108911</v>
      </c>
      <c r="H36" s="18" t="n">
        <f aca="false">H35*Inputs!$C$25/$C$21</f>
        <v>190.09900990099</v>
      </c>
      <c r="I36" s="18" t="n">
        <f aca="false">I35*Inputs!$C$25/$C$21</f>
        <v>269.306930693069</v>
      </c>
    </row>
    <row r="37" customFormat="false" ht="15" hidden="false" customHeight="false" outlineLevel="0" collapsed="false">
      <c r="B37" s="19" t="s">
        <v>147</v>
      </c>
      <c r="C37" s="18" t="n">
        <f aca="false">C35*$C$20/$C$21</f>
        <v>0</v>
      </c>
      <c r="D37" s="18" t="n">
        <f aca="false">D35*$C$20/$C$21</f>
        <v>0</v>
      </c>
      <c r="E37" s="18" t="n">
        <f aca="false">E35*$C$20/$C$21</f>
        <v>0</v>
      </c>
      <c r="F37" s="18" t="n">
        <f aca="false">F35*$C$20/$C$21</f>
        <v>8.31683168316832</v>
      </c>
      <c r="G37" s="18" t="n">
        <f aca="false">G35*$C$20/$C$21</f>
        <v>29.1089108910891</v>
      </c>
      <c r="H37" s="18" t="n">
        <f aca="false">H35*$C$20/$C$21</f>
        <v>49.9009900990099</v>
      </c>
      <c r="I37" s="18" t="n">
        <f aca="false">I35*$C$20/$C$21</f>
        <v>70.6930693069307</v>
      </c>
    </row>
    <row r="38" customFormat="false" ht="15" hidden="false" customHeight="false" outlineLevel="0" collapsed="false">
      <c r="B38" s="2" t="s">
        <v>148</v>
      </c>
      <c r="C38" s="27" t="n">
        <f aca="false">C36/Inputs!$C$25</f>
        <v>0</v>
      </c>
      <c r="D38" s="27" t="n">
        <f aca="false">D36/Inputs!$C$25</f>
        <v>0</v>
      </c>
      <c r="E38" s="27" t="n">
        <f aca="false">E36/Inputs!$C$25</f>
        <v>0</v>
      </c>
      <c r="F38" s="27" t="n">
        <f aca="false">F36/Inputs!$C$25</f>
        <v>0.0792079207920792</v>
      </c>
      <c r="G38" s="27" t="n">
        <f aca="false">G36/Inputs!$C$25</f>
        <v>0.277227722772277</v>
      </c>
      <c r="H38" s="27" t="n">
        <f aca="false">H36/Inputs!$C$25</f>
        <v>0.475247524752475</v>
      </c>
      <c r="I38" s="27" t="n">
        <f aca="false">I36/Inputs!$C$25</f>
        <v>0.673267326732673</v>
      </c>
      <c r="J38" s="4" t="s">
        <v>149</v>
      </c>
    </row>
    <row r="39" customFormat="false" ht="15" hidden="false" customHeight="false" outlineLevel="0" collapsed="false">
      <c r="B39" s="8" t="s">
        <v>150</v>
      </c>
      <c r="C39" s="18" t="n">
        <f aca="false">C34-C35</f>
        <v>0</v>
      </c>
      <c r="D39" s="18" t="n">
        <f aca="false">D34-D35</f>
        <v>0</v>
      </c>
      <c r="E39" s="18" t="n">
        <f aca="false">E34-E35</f>
        <v>0</v>
      </c>
      <c r="F39" s="18" t="n">
        <f aca="false">F34-F35</f>
        <v>0</v>
      </c>
      <c r="G39" s="18" t="n">
        <f aca="false">G34-G35</f>
        <v>0</v>
      </c>
      <c r="H39" s="18" t="n">
        <f aca="false">H34-H35</f>
        <v>0</v>
      </c>
      <c r="I39" s="18" t="n">
        <f aca="false">I34-I35</f>
        <v>0</v>
      </c>
    </row>
    <row r="40" customFormat="false" ht="15" hidden="false" customHeight="false" outlineLevel="0" collapsed="false">
      <c r="B40" s="8" t="s">
        <v>151</v>
      </c>
      <c r="C40" s="28" t="n">
        <f aca="false">C32+C35+C39-C31</f>
        <v>0</v>
      </c>
      <c r="D40" s="28" t="n">
        <f aca="false">D32+D35+D39-D31</f>
        <v>0</v>
      </c>
      <c r="E40" s="28" t="n">
        <f aca="false">E32+E35+E39-E31</f>
        <v>0</v>
      </c>
      <c r="F40" s="28" t="n">
        <f aca="false">F32+F35+F39-F31</f>
        <v>0</v>
      </c>
      <c r="G40" s="28" t="n">
        <f aca="false">G32+G35+G39-G31</f>
        <v>0</v>
      </c>
      <c r="H40" s="28" t="n">
        <f aca="false">H32+H35+H39-H31</f>
        <v>0</v>
      </c>
      <c r="I40" s="28" t="n">
        <f aca="false">I32+I35+I39-I31</f>
        <v>0</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60"/>
    <col collapsed="false" customWidth="true" hidden="false" outlineLevel="0" max="4" min="3" style="0" width="12"/>
    <col collapsed="false" customWidth="true" hidden="false" outlineLevel="0" max="5" min="5" style="0" width="56"/>
    <col collapsed="false" customWidth="true" hidden="false" outlineLevel="0" max="39" min="6" style="0" width="11"/>
  </cols>
  <sheetData>
    <row r="1" customFormat="false" ht="6" hidden="false" customHeight="true" outlineLevel="0" collapsed="false"/>
    <row r="2" customFormat="false" ht="15" hidden="false" customHeight="false" outlineLevel="0" collapsed="false">
      <c r="B2" s="1" t="s">
        <v>152</v>
      </c>
    </row>
    <row r="3" customFormat="false" ht="15" hidden="false" customHeight="false" outlineLevel="0" collapsed="false">
      <c r="B3" s="4" t="s">
        <v>153</v>
      </c>
    </row>
    <row r="5" customFormat="false" ht="15" hidden="false" customHeight="false" outlineLevel="0" collapsed="false">
      <c r="B5" s="2" t="s">
        <v>154</v>
      </c>
    </row>
    <row r="6" customFormat="false" ht="15" hidden="false" customHeight="false" outlineLevel="0" collapsed="false">
      <c r="B6" s="5" t="s">
        <v>110</v>
      </c>
      <c r="C6" s="6" t="s">
        <v>155</v>
      </c>
      <c r="D6" s="6" t="s">
        <v>156</v>
      </c>
      <c r="E6" s="7" t="s">
        <v>111</v>
      </c>
    </row>
    <row r="7" customFormat="false" ht="15" hidden="false" customHeight="false" outlineLevel="0" collapsed="false">
      <c r="B7" s="8" t="s">
        <v>157</v>
      </c>
      <c r="C7" s="29" t="n">
        <f aca="false">Inputs!$C$24</f>
        <v>32</v>
      </c>
      <c r="D7" s="29" t="n">
        <f aca="false">Inputs!$C$24+Inputs!$C$42</f>
        <v>68</v>
      </c>
      <c r="E7" s="4"/>
    </row>
    <row r="8" customFormat="false" ht="15" hidden="false" customHeight="false" outlineLevel="0" collapsed="false">
      <c r="B8" s="8" t="s">
        <v>158</v>
      </c>
      <c r="C8" s="17" t="n">
        <f aca="false">Simplified_Waterfall!$C$8</f>
        <v>0.083</v>
      </c>
      <c r="D8" s="17" t="n">
        <f aca="false">Simplified_Waterfall!$C$8+Inputs!$C$43</f>
        <v>0.0955</v>
      </c>
      <c r="E8" s="4"/>
    </row>
    <row r="9" customFormat="false" ht="15" hidden="false" customHeight="false" outlineLevel="0" collapsed="false">
      <c r="B9" s="8" t="s">
        <v>34</v>
      </c>
      <c r="C9" s="18" t="n">
        <f aca="false">Inputs!$C$14</f>
        <v>150</v>
      </c>
      <c r="D9" s="18" t="n">
        <f aca="false">Inputs!$C$45</f>
        <v>125</v>
      </c>
      <c r="E9" s="4"/>
    </row>
    <row r="10" customFormat="false" ht="15" hidden="false" customHeight="false" outlineLevel="0" collapsed="false">
      <c r="B10" s="8" t="s">
        <v>159</v>
      </c>
      <c r="C10" s="29" t="n">
        <f aca="false">Inputs!$C$20</f>
        <v>14</v>
      </c>
      <c r="D10" s="29" t="n">
        <f aca="false">Inputs!$C$20+Inputs!$C$42</f>
        <v>50</v>
      </c>
      <c r="E10" s="4"/>
    </row>
    <row r="11" customFormat="false" ht="15" hidden="false" customHeight="false" outlineLevel="0" collapsed="false">
      <c r="B11" s="8" t="s">
        <v>35</v>
      </c>
      <c r="C11" s="18" t="n">
        <f aca="false">Inputs!$C$15</f>
        <v>50</v>
      </c>
      <c r="D11" s="18" t="n">
        <f aca="false">Inputs!$C$15</f>
        <v>50</v>
      </c>
      <c r="E11" s="4"/>
    </row>
    <row r="12" customFormat="false" ht="15" hidden="false" customHeight="false" outlineLevel="0" collapsed="false">
      <c r="B12" s="8" t="s">
        <v>160</v>
      </c>
      <c r="C12" s="18" t="n">
        <f aca="false">C9-C11</f>
        <v>100</v>
      </c>
      <c r="D12" s="18" t="n">
        <f aca="false">D9-D11</f>
        <v>75</v>
      </c>
      <c r="E12" s="4"/>
    </row>
    <row r="13" customFormat="false" ht="15" hidden="false" customHeight="false" outlineLevel="0" collapsed="false">
      <c r="B13" s="8" t="s">
        <v>161</v>
      </c>
      <c r="C13" s="20" t="n">
        <f aca="false">Inputs!$C$18*C9</f>
        <v>52.5</v>
      </c>
      <c r="D13" s="20" t="n">
        <f aca="false">Inputs!$C$18*D9</f>
        <v>43.75</v>
      </c>
      <c r="E13" s="4" t="s">
        <v>162</v>
      </c>
    </row>
    <row r="14" customFormat="false" ht="15" hidden="false" customHeight="false" outlineLevel="0" collapsed="false">
      <c r="B14" s="8" t="s">
        <v>163</v>
      </c>
      <c r="C14" s="29" t="n">
        <f aca="false">IF(C11&gt;C13,1,0)</f>
        <v>0</v>
      </c>
      <c r="D14" s="29" t="n">
        <f aca="false">IF(D11&gt;D13,1,0)</f>
        <v>1</v>
      </c>
      <c r="E14" s="4"/>
    </row>
    <row r="15" customFormat="false" ht="15" hidden="false" customHeight="false" outlineLevel="0" collapsed="false">
      <c r="B15" s="8" t="s">
        <v>164</v>
      </c>
      <c r="C15" s="25" t="n">
        <f aca="false">Inputs!$C$19</f>
        <v>6.5</v>
      </c>
      <c r="D15" s="25" t="n">
        <f aca="false">Inputs!$C$46</f>
        <v>7.5</v>
      </c>
      <c r="E15" s="4" t="s">
        <v>165</v>
      </c>
    </row>
    <row r="16" customFormat="false" ht="15" hidden="false" customHeight="false" outlineLevel="0" collapsed="false">
      <c r="B16" s="8" t="s">
        <v>166</v>
      </c>
      <c r="C16" s="18" t="n">
        <f aca="false">Inputs!$C$8</f>
        <v>45</v>
      </c>
      <c r="D16" s="18" t="n">
        <f aca="false">Inputs!$C$8-Inputs!$C$44*Inputs!$C$21</f>
        <v>36</v>
      </c>
      <c r="E16" s="4" t="s">
        <v>167</v>
      </c>
    </row>
    <row r="17" customFormat="false" ht="15" hidden="false" customHeight="false" outlineLevel="0" collapsed="false">
      <c r="B17" s="8" t="s">
        <v>168</v>
      </c>
      <c r="C17" s="18" t="n">
        <f aca="false">Simplified_Waterfall!$C$9-C16</f>
        <v>905</v>
      </c>
      <c r="D17" s="18" t="n">
        <f aca="false">Simplified_Waterfall!$C$9-D16</f>
        <v>914</v>
      </c>
      <c r="E17" s="4"/>
    </row>
    <row r="18" customFormat="false" ht="15" hidden="false" customHeight="false" outlineLevel="0" collapsed="false">
      <c r="B18" s="8" t="s">
        <v>169</v>
      </c>
      <c r="C18" s="18" t="n">
        <f aca="false">C17/C15</f>
        <v>139.230769230769</v>
      </c>
      <c r="D18" s="18" t="n">
        <f aca="false">D17/D15</f>
        <v>121.866666666667</v>
      </c>
      <c r="E18" s="4"/>
    </row>
    <row r="19" customFormat="false" ht="15" hidden="false" customHeight="false" outlineLevel="0" collapsed="false">
      <c r="B19" s="8" t="s">
        <v>170</v>
      </c>
      <c r="C19" s="30" t="n">
        <f aca="false">1-C18/Inputs!$C$10</f>
        <v>-0.0547785547785546</v>
      </c>
      <c r="D19" s="30" t="n">
        <f aca="false">1-D18/Inputs!$C$10</f>
        <v>0.0767676767676768</v>
      </c>
      <c r="E19" s="4"/>
    </row>
    <row r="20" customFormat="false" ht="15" hidden="false" customHeight="false" outlineLevel="0" collapsed="false">
      <c r="B20" s="8" t="s">
        <v>171</v>
      </c>
      <c r="C20" s="29" t="n">
        <f aca="false">IF(C17/Inputs!$C$10&lt;=C15,1,0)</f>
        <v>0</v>
      </c>
      <c r="D20" s="29" t="n">
        <f aca="false">IF(D17/Inputs!$C$10&lt;=D15,1,0)</f>
        <v>1</v>
      </c>
      <c r="E20" s="4"/>
    </row>
    <row r="21" customFormat="false" ht="15" hidden="false" customHeight="false" outlineLevel="0" collapsed="false">
      <c r="B21" s="8" t="s">
        <v>172</v>
      </c>
      <c r="C21" s="18" t="n">
        <f aca="false">C15*Inputs!$C$10</f>
        <v>858</v>
      </c>
      <c r="D21" s="18" t="n">
        <f aca="false">D15*Inputs!$C$10</f>
        <v>990</v>
      </c>
      <c r="E21" s="4"/>
    </row>
    <row r="22" customFormat="false" ht="15" hidden="false" customHeight="false" outlineLevel="0" collapsed="false">
      <c r="B22" s="8" t="s">
        <v>173</v>
      </c>
      <c r="C22" s="18" t="n">
        <f aca="false">C21-C17</f>
        <v>-47</v>
      </c>
      <c r="D22" s="18" t="n">
        <f aca="false">D21-D17</f>
        <v>76</v>
      </c>
      <c r="E22" s="4" t="s">
        <v>174</v>
      </c>
    </row>
    <row r="23" customFormat="false" ht="15" hidden="false" customHeight="false" outlineLevel="0" collapsed="false">
      <c r="B23" s="8" t="s">
        <v>140</v>
      </c>
      <c r="C23" s="18" t="n">
        <f aca="false">MAX(0,C16-Inputs!$C$9)</f>
        <v>20</v>
      </c>
      <c r="D23" s="18" t="n">
        <f aca="false">MAX(0,D16-Inputs!$C$9)</f>
        <v>11</v>
      </c>
      <c r="E23" s="4"/>
    </row>
    <row r="24" customFormat="false" ht="15" hidden="false" customHeight="false" outlineLevel="0" collapsed="false">
      <c r="B24" s="8" t="s">
        <v>175</v>
      </c>
      <c r="C24" s="18" t="n">
        <f aca="false">IF(C14=1,C23+C12,C23+MAX(0,C13-C11))</f>
        <v>22.5</v>
      </c>
      <c r="D24" s="18" t="n">
        <f aca="false">IF(D14=1,D23+D12,D23+MAX(0,D13-D11))</f>
        <v>86</v>
      </c>
      <c r="E24" s="4" t="s">
        <v>176</v>
      </c>
    </row>
    <row r="25" customFormat="false" ht="15" hidden="false" customHeight="false" outlineLevel="0" collapsed="false">
      <c r="B25" s="8" t="s">
        <v>177</v>
      </c>
      <c r="C25" s="18" t="n">
        <f aca="false">IF(C14=1,MAX(0,MIN(C24,C22)),C24)</f>
        <v>22.5</v>
      </c>
      <c r="D25" s="18" t="n">
        <f aca="false">IF(D14=1,MAX(0,MIN(D24,D22)),D24)</f>
        <v>76</v>
      </c>
      <c r="E25" s="4" t="s">
        <v>178</v>
      </c>
    </row>
    <row r="26" customFormat="false" ht="15" hidden="false" customHeight="false" outlineLevel="0" collapsed="false">
      <c r="B26" s="8" t="s">
        <v>120</v>
      </c>
      <c r="C26" s="20" t="n">
        <f aca="false">Simplified_Waterfall!$C$15</f>
        <v>108.1</v>
      </c>
      <c r="D26" s="20" t="n">
        <f aca="false">Simplified_Waterfall!$C$15+Inputs!$C$21*Inputs!$C$43-(Inputs!$C$14-Inputs!$C$45)*Inputs!$C$17</f>
        <v>119.25625</v>
      </c>
      <c r="E26" s="4" t="s">
        <v>179</v>
      </c>
    </row>
    <row r="27" customFormat="false" ht="15" hidden="false" customHeight="false" outlineLevel="0" collapsed="false">
      <c r="B27" s="8" t="s">
        <v>122</v>
      </c>
      <c r="C27" s="20" t="n">
        <f aca="false">Simplified_Waterfall!$C$17</f>
        <v>-31.1</v>
      </c>
      <c r="D27" s="20" t="n">
        <f aca="false">Simplified_Waterfall!$C$17-(D26-Simplified_Waterfall!$C$15)</f>
        <v>-42.25625</v>
      </c>
      <c r="E27" s="4" t="s">
        <v>180</v>
      </c>
    </row>
    <row r="29" customFormat="false" ht="15" hidden="false" customHeight="false" outlineLevel="0" collapsed="false">
      <c r="B29" s="2" t="s">
        <v>181</v>
      </c>
    </row>
    <row r="30" customFormat="false" ht="15" hidden="false" customHeight="false" outlineLevel="0" collapsed="false">
      <c r="B30" s="5" t="s">
        <v>110</v>
      </c>
      <c r="C30" s="6" t="s">
        <v>20</v>
      </c>
      <c r="D30" s="6"/>
      <c r="E30" s="7" t="s">
        <v>111</v>
      </c>
    </row>
    <row r="31" customFormat="false" ht="15" hidden="false" customHeight="false" outlineLevel="0" collapsed="false">
      <c r="B31" s="8" t="s">
        <v>182</v>
      </c>
      <c r="C31" s="20" t="n">
        <f aca="false">Inputs!$C$44*Inputs!$C$21</f>
        <v>9</v>
      </c>
    </row>
    <row r="32" customFormat="false" ht="15" hidden="false" customHeight="false" outlineLevel="0" collapsed="false">
      <c r="B32" s="8" t="s">
        <v>183</v>
      </c>
      <c r="C32" s="20" t="n">
        <f aca="false">Inputs!$C$21*Inputs!$C$43</f>
        <v>11.25</v>
      </c>
    </row>
    <row r="33" customFormat="false" ht="15" hidden="false" customHeight="false" outlineLevel="0" collapsed="false">
      <c r="B33" s="8" t="s">
        <v>184</v>
      </c>
      <c r="C33" s="28" t="n">
        <f aca="false">(Inputs!$C$14-Inputs!$C$45)*Inputs!$C$17</f>
        <v>0.09375</v>
      </c>
    </row>
    <row r="34" customFormat="false" ht="15" hidden="false" customHeight="false" outlineLevel="0" collapsed="false">
      <c r="B34" s="8" t="s">
        <v>185</v>
      </c>
      <c r="C34" s="29" t="n">
        <f aca="false">D7</f>
        <v>68</v>
      </c>
    </row>
    <row r="35" customFormat="false" ht="15" hidden="false" customHeight="false" outlineLevel="0" collapsed="false">
      <c r="B35" s="2" t="s">
        <v>186</v>
      </c>
      <c r="C35" s="24" t="n">
        <f aca="false">$C$31+$C$32*$C$34/12</f>
        <v>72.75</v>
      </c>
      <c r="E35" s="4" t="s">
        <v>187</v>
      </c>
    </row>
    <row r="36" customFormat="false" ht="15" hidden="false" customHeight="false" outlineLevel="0" collapsed="false">
      <c r="B36" s="8" t="s">
        <v>188</v>
      </c>
      <c r="C36" s="17" t="n">
        <f aca="false">Inputs!$C$43+Inputs!$C$44/($C$34/12)</f>
        <v>0.0142647058823529</v>
      </c>
      <c r="E36" s="4" t="s">
        <v>189</v>
      </c>
    </row>
    <row r="37" customFormat="false" ht="15" hidden="false" customHeight="false" outlineLevel="0" collapsed="false">
      <c r="B37" s="8" t="s">
        <v>190</v>
      </c>
      <c r="C37" s="18" t="n">
        <f aca="false">D25/-D27</f>
        <v>1.79855051027954</v>
      </c>
      <c r="E37" s="4" t="s">
        <v>191</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J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56"/>
    <col collapsed="false" customWidth="true" hidden="false" outlineLevel="0" max="9" min="3" style="0" width="10"/>
    <col collapsed="false" customWidth="true" hidden="false" outlineLevel="0" max="10" min="10" style="0" width="40"/>
    <col collapsed="false" customWidth="true" hidden="false" outlineLevel="0" max="39" min="11" style="0" width="11"/>
  </cols>
  <sheetData>
    <row r="1" customFormat="false" ht="6" hidden="false" customHeight="true" outlineLevel="0" collapsed="false"/>
    <row r="2" customFormat="false" ht="15" hidden="false" customHeight="false" outlineLevel="0" collapsed="false">
      <c r="B2" s="1" t="s">
        <v>192</v>
      </c>
    </row>
    <row r="3" customFormat="false" ht="15" hidden="false" customHeight="false" outlineLevel="0" collapsed="false">
      <c r="B3" s="4" t="s">
        <v>193</v>
      </c>
    </row>
    <row r="5" customFormat="false" ht="15" hidden="false" customHeight="false" outlineLevel="0" collapsed="false">
      <c r="B5" s="2" t="s">
        <v>194</v>
      </c>
    </row>
    <row r="6" customFormat="false" ht="15" hidden="false" customHeight="false" outlineLevel="0" collapsed="false">
      <c r="B6" s="5" t="s">
        <v>110</v>
      </c>
      <c r="C6" s="6" t="s">
        <v>20</v>
      </c>
      <c r="D6" s="7" t="s">
        <v>111</v>
      </c>
    </row>
    <row r="7" customFormat="false" ht="15" hidden="false" customHeight="false" outlineLevel="0" collapsed="false">
      <c r="B7" s="8" t="s">
        <v>73</v>
      </c>
      <c r="C7" s="30" t="n">
        <f aca="false">Inputs!$C$50</f>
        <v>0.85</v>
      </c>
    </row>
    <row r="8" customFormat="false" ht="15" hidden="false" customHeight="false" outlineLevel="0" collapsed="false">
      <c r="B8" s="8" t="s">
        <v>195</v>
      </c>
      <c r="C8" s="30" t="n">
        <f aca="false">Inputs!$C$51</f>
        <v>0.7</v>
      </c>
    </row>
    <row r="9" customFormat="false" ht="15" hidden="false" customHeight="false" outlineLevel="0" collapsed="false">
      <c r="B9" s="8" t="s">
        <v>196</v>
      </c>
      <c r="C9" s="17" t="n">
        <f aca="false">Inputs!$C$52</f>
        <v>0.1</v>
      </c>
    </row>
    <row r="10" customFormat="false" ht="15" hidden="false" customHeight="false" outlineLevel="0" collapsed="false">
      <c r="B10" s="8" t="s">
        <v>197</v>
      </c>
      <c r="C10" s="18" t="n">
        <f aca="false">$C$7*Inputs!$C$25</f>
        <v>340</v>
      </c>
    </row>
    <row r="11" customFormat="false" ht="15" hidden="false" customHeight="false" outlineLevel="0" collapsed="false">
      <c r="B11" s="8" t="s">
        <v>198</v>
      </c>
      <c r="C11" s="18" t="n">
        <f aca="false">$C$10*$C$8</f>
        <v>238</v>
      </c>
    </row>
    <row r="12" customFormat="false" ht="15" hidden="false" customHeight="false" outlineLevel="0" collapsed="false">
      <c r="B12" s="8" t="s">
        <v>199</v>
      </c>
      <c r="C12" s="18" t="n">
        <f aca="false">Inputs!$C$25-$C$10</f>
        <v>60</v>
      </c>
    </row>
    <row r="13" customFormat="false" ht="15" hidden="false" customHeight="false" outlineLevel="0" collapsed="false">
      <c r="B13" s="2" t="s">
        <v>200</v>
      </c>
      <c r="C13" s="26" t="n">
        <f aca="false">$C$10-$C$11</f>
        <v>102</v>
      </c>
    </row>
    <row r="14" customFormat="false" ht="15" hidden="false" customHeight="false" outlineLevel="0" collapsed="false">
      <c r="B14" s="8" t="s">
        <v>201</v>
      </c>
      <c r="C14" s="18" t="n">
        <f aca="false">Simplified_Waterfall!$C$10-$C$13</f>
        <v>1248</v>
      </c>
    </row>
    <row r="15" customFormat="false" ht="15" hidden="false" customHeight="false" outlineLevel="0" collapsed="false">
      <c r="B15" s="8" t="s">
        <v>202</v>
      </c>
      <c r="C15" s="25" t="n">
        <f aca="false">Simplified_Waterfall!$C$18</f>
        <v>10.2272727272727</v>
      </c>
    </row>
    <row r="16" customFormat="false" ht="15" hidden="false" customHeight="false" outlineLevel="0" collapsed="false">
      <c r="B16" s="8" t="s">
        <v>203</v>
      </c>
      <c r="C16" s="25" t="n">
        <f aca="false">$C$14/Inputs!$C$10</f>
        <v>9.45454545454546</v>
      </c>
    </row>
    <row r="17" customFormat="false" ht="15" hidden="false" customHeight="false" outlineLevel="0" collapsed="false">
      <c r="B17" s="8" t="s">
        <v>204</v>
      </c>
      <c r="C17" s="20" t="n">
        <f aca="false">Inputs!$C$25*Inputs!$C$26</f>
        <v>29</v>
      </c>
    </row>
    <row r="18" customFormat="false" ht="15" hidden="false" customHeight="false" outlineLevel="0" collapsed="false">
      <c r="B18" s="19" t="s">
        <v>205</v>
      </c>
      <c r="C18" s="20" t="n">
        <f aca="false">$C$11*$C$9</f>
        <v>23.8</v>
      </c>
    </row>
    <row r="19" customFormat="false" ht="15" hidden="false" customHeight="false" outlineLevel="0" collapsed="false">
      <c r="B19" s="19" t="s">
        <v>206</v>
      </c>
      <c r="C19" s="20" t="n">
        <f aca="false">$C$12*Inputs!$C$26</f>
        <v>4.35</v>
      </c>
    </row>
    <row r="20" customFormat="false" ht="15" hidden="false" customHeight="false" outlineLevel="0" collapsed="false">
      <c r="B20" s="31" t="s">
        <v>207</v>
      </c>
      <c r="C20" s="32" t="n">
        <f aca="false">$C$18+$C$19</f>
        <v>28.15</v>
      </c>
    </row>
    <row r="21" customFormat="false" ht="15" hidden="false" customHeight="false" outlineLevel="0" collapsed="false">
      <c r="B21" s="2" t="s">
        <v>208</v>
      </c>
      <c r="C21" s="24" t="n">
        <f aca="false">$C$17-$C$20</f>
        <v>0.849999999999998</v>
      </c>
      <c r="D21" s="4" t="s">
        <v>209</v>
      </c>
    </row>
    <row r="23" customFormat="false" ht="15" hidden="false" customHeight="false" outlineLevel="0" collapsed="false">
      <c r="B23" s="2" t="s">
        <v>210</v>
      </c>
    </row>
    <row r="24" customFormat="false" ht="15" hidden="false" customHeight="false" outlineLevel="0" collapsed="false">
      <c r="B24" s="5" t="s">
        <v>211</v>
      </c>
      <c r="C24" s="6" t="s">
        <v>20</v>
      </c>
      <c r="D24" s="7" t="s">
        <v>111</v>
      </c>
    </row>
    <row r="25" customFormat="false" ht="15" hidden="false" customHeight="false" outlineLevel="0" collapsed="false">
      <c r="B25" s="8" t="s">
        <v>212</v>
      </c>
      <c r="C25" s="18" t="n">
        <f aca="false">Simplified_Waterfall!$C$22+Simplified_Waterfall!$C$9-Simplified_Waterfall!$C$23</f>
        <v>960</v>
      </c>
    </row>
    <row r="26" customFormat="false" ht="15" hidden="false" customHeight="false" outlineLevel="0" collapsed="false">
      <c r="B26" s="8" t="s">
        <v>213</v>
      </c>
      <c r="C26" s="18" t="n">
        <f aca="false">$C$25+$C$11</f>
        <v>1198</v>
      </c>
    </row>
    <row r="27" customFormat="false" ht="15" hidden="false" customHeight="false" outlineLevel="0" collapsed="false">
      <c r="B27" s="8" t="s">
        <v>214</v>
      </c>
      <c r="C27" s="18" t="n">
        <f aca="false">$C$26+$C$8*($C$12+Simplified_Waterfall!$C$20)</f>
        <v>1313.5</v>
      </c>
      <c r="D27" s="4" t="s">
        <v>215</v>
      </c>
    </row>
    <row r="29" customFormat="false" ht="15" hidden="false" customHeight="false" outlineLevel="0" collapsed="false">
      <c r="B29" s="2" t="s">
        <v>216</v>
      </c>
    </row>
    <row r="30" customFormat="false" ht="15" hidden="false" customHeight="false" outlineLevel="0" collapsed="false">
      <c r="B30" s="5" t="s">
        <v>27</v>
      </c>
      <c r="C30" s="6" t="s">
        <v>132</v>
      </c>
      <c r="D30" s="6" t="s">
        <v>133</v>
      </c>
      <c r="E30" s="6" t="s">
        <v>134</v>
      </c>
      <c r="F30" s="6" t="s">
        <v>135</v>
      </c>
      <c r="G30" s="6" t="s">
        <v>136</v>
      </c>
      <c r="H30" s="6" t="s">
        <v>137</v>
      </c>
      <c r="I30" s="6" t="s">
        <v>138</v>
      </c>
      <c r="J30" s="7" t="s">
        <v>111</v>
      </c>
    </row>
    <row r="31" customFormat="false" ht="15" hidden="false" customHeight="false" outlineLevel="0" collapsed="false">
      <c r="B31" s="2" t="s">
        <v>139</v>
      </c>
      <c r="C31" s="26" t="n">
        <f aca="false">Inputs!C38</f>
        <v>700</v>
      </c>
      <c r="D31" s="26" t="n">
        <f aca="false">Inputs!D38</f>
        <v>800</v>
      </c>
      <c r="E31" s="26" t="n">
        <f aca="false">Inputs!E38</f>
        <v>900</v>
      </c>
      <c r="F31" s="26" t="n">
        <f aca="false">Inputs!F38</f>
        <v>1000</v>
      </c>
      <c r="G31" s="26" t="n">
        <f aca="false">Inputs!G38</f>
        <v>1100</v>
      </c>
      <c r="H31" s="26" t="n">
        <f aca="false">Inputs!H38</f>
        <v>1200</v>
      </c>
      <c r="I31" s="26" t="n">
        <f aca="false">Inputs!I38</f>
        <v>1300</v>
      </c>
    </row>
    <row r="32" customFormat="false" ht="15" hidden="false" customHeight="false" outlineLevel="0" collapsed="false">
      <c r="B32" s="8" t="s">
        <v>141</v>
      </c>
      <c r="C32" s="18" t="n">
        <f aca="false">MAX(0,C31+Simplified_Waterfall!$C$23-Simplified_Waterfall!$C$22)</f>
        <v>690</v>
      </c>
      <c r="D32" s="18" t="n">
        <f aca="false">MAX(0,D31+Simplified_Waterfall!$C$23-Simplified_Waterfall!$C$22)</f>
        <v>790</v>
      </c>
      <c r="E32" s="18" t="n">
        <f aca="false">MAX(0,E31+Simplified_Waterfall!$C$23-Simplified_Waterfall!$C$22)</f>
        <v>890</v>
      </c>
      <c r="F32" s="18" t="n">
        <f aca="false">MAX(0,F31+Simplified_Waterfall!$C$23-Simplified_Waterfall!$C$22)</f>
        <v>990</v>
      </c>
      <c r="G32" s="18" t="n">
        <f aca="false">MAX(0,G31+Simplified_Waterfall!$C$23-Simplified_Waterfall!$C$22)</f>
        <v>1090</v>
      </c>
      <c r="H32" s="18" t="n">
        <f aca="false">MAX(0,H31+Simplified_Waterfall!$C$23-Simplified_Waterfall!$C$22)</f>
        <v>1190</v>
      </c>
      <c r="I32" s="18" t="n">
        <f aca="false">MAX(0,I31+Simplified_Waterfall!$C$23-Simplified_Waterfall!$C$22)</f>
        <v>1290</v>
      </c>
    </row>
    <row r="33" customFormat="false" ht="15" hidden="false" customHeight="false" outlineLevel="0" collapsed="false">
      <c r="B33" s="8" t="s">
        <v>217</v>
      </c>
      <c r="C33" s="18" t="n">
        <f aca="false">MIN(C32,Simplified_Waterfall!$C$9)</f>
        <v>690</v>
      </c>
      <c r="D33" s="18" t="n">
        <f aca="false">MIN(D32,Simplified_Waterfall!$C$9)</f>
        <v>790</v>
      </c>
      <c r="E33" s="18" t="n">
        <f aca="false">MIN(E32,Simplified_Waterfall!$C$9)</f>
        <v>890</v>
      </c>
      <c r="F33" s="18" t="n">
        <f aca="false">MIN(F32,Simplified_Waterfall!$C$9)</f>
        <v>950</v>
      </c>
      <c r="G33" s="18" t="n">
        <f aca="false">MIN(G32,Simplified_Waterfall!$C$9)</f>
        <v>950</v>
      </c>
      <c r="H33" s="18" t="n">
        <f aca="false">MIN(H32,Simplified_Waterfall!$C$9)</f>
        <v>950</v>
      </c>
      <c r="I33" s="18" t="n">
        <f aca="false">MIN(I32,Simplified_Waterfall!$C$9)</f>
        <v>950</v>
      </c>
    </row>
    <row r="34" customFormat="false" ht="15" hidden="false" customHeight="false" outlineLevel="0" collapsed="false">
      <c r="B34" s="8" t="s">
        <v>218</v>
      </c>
      <c r="C34" s="18" t="n">
        <f aca="false">MIN(C32-C33,$C$11)</f>
        <v>0</v>
      </c>
      <c r="D34" s="18" t="n">
        <f aca="false">MIN(D32-D33,$C$11)</f>
        <v>0</v>
      </c>
      <c r="E34" s="18" t="n">
        <f aca="false">MIN(E32-E33,$C$11)</f>
        <v>0</v>
      </c>
      <c r="F34" s="18" t="n">
        <f aca="false">MIN(F32-F33,$C$11)</f>
        <v>40</v>
      </c>
      <c r="G34" s="18" t="n">
        <f aca="false">MIN(G32-G33,$C$11)</f>
        <v>140</v>
      </c>
      <c r="H34" s="18" t="n">
        <f aca="false">MIN(H32-H33,$C$11)</f>
        <v>238</v>
      </c>
      <c r="I34" s="18" t="n">
        <f aca="false">MIN(I32-I33,$C$11)</f>
        <v>238</v>
      </c>
    </row>
    <row r="35" customFormat="false" ht="15" hidden="false" customHeight="false" outlineLevel="0" collapsed="false">
      <c r="B35" s="8" t="s">
        <v>219</v>
      </c>
      <c r="C35" s="18" t="n">
        <f aca="false">$C$12+Simplified_Waterfall!$C$20</f>
        <v>165</v>
      </c>
      <c r="D35" s="18" t="n">
        <f aca="false">$C$12+Simplified_Waterfall!$C$20</f>
        <v>165</v>
      </c>
      <c r="E35" s="18" t="n">
        <f aca="false">$C$12+Simplified_Waterfall!$C$20</f>
        <v>165</v>
      </c>
      <c r="F35" s="18" t="n">
        <f aca="false">$C$12+Simplified_Waterfall!$C$20</f>
        <v>165</v>
      </c>
      <c r="G35" s="18" t="n">
        <f aca="false">$C$12+Simplified_Waterfall!$C$20</f>
        <v>165</v>
      </c>
      <c r="H35" s="18" t="n">
        <f aca="false">$C$12+Simplified_Waterfall!$C$20</f>
        <v>165</v>
      </c>
      <c r="I35" s="18" t="n">
        <f aca="false">$C$12+Simplified_Waterfall!$C$20</f>
        <v>165</v>
      </c>
    </row>
    <row r="36" customFormat="false" ht="15" hidden="false" customHeight="false" outlineLevel="0" collapsed="false">
      <c r="B36" s="8" t="s">
        <v>220</v>
      </c>
      <c r="C36" s="18" t="n">
        <f aca="false">MIN(C32-C33-C34,C35)</f>
        <v>0</v>
      </c>
      <c r="D36" s="18" t="n">
        <f aca="false">MIN(D32-D33-D34,D35)</f>
        <v>0</v>
      </c>
      <c r="E36" s="18" t="n">
        <f aca="false">MIN(E32-E33-E34,E35)</f>
        <v>0</v>
      </c>
      <c r="F36" s="18" t="n">
        <f aca="false">MIN(F32-F33-F34,F35)</f>
        <v>0</v>
      </c>
      <c r="G36" s="18" t="n">
        <f aca="false">MIN(G32-G33-G34,G35)</f>
        <v>0</v>
      </c>
      <c r="H36" s="18" t="n">
        <f aca="false">MIN(H32-H33-H34,H35)</f>
        <v>2.00000000000003</v>
      </c>
      <c r="I36" s="18" t="n">
        <f aca="false">MIN(I32-I33-I34,I35)</f>
        <v>102</v>
      </c>
    </row>
    <row r="37" customFormat="false" ht="15" hidden="false" customHeight="false" outlineLevel="0" collapsed="false">
      <c r="B37" s="19" t="s">
        <v>221</v>
      </c>
      <c r="C37" s="18" t="n">
        <f aca="false">IF(C35&gt;0,C36*$C$12/C35,0)</f>
        <v>0</v>
      </c>
      <c r="D37" s="18" t="n">
        <f aca="false">IF(D35&gt;0,D36*$C$12/D35,0)</f>
        <v>0</v>
      </c>
      <c r="E37" s="18" t="n">
        <f aca="false">IF(E35&gt;0,E36*$C$12/E35,0)</f>
        <v>0</v>
      </c>
      <c r="F37" s="18" t="n">
        <f aca="false">IF(F35&gt;0,F36*$C$12/F35,0)</f>
        <v>0</v>
      </c>
      <c r="G37" s="18" t="n">
        <f aca="false">IF(G35&gt;0,G36*$C$12/G35,0)</f>
        <v>0</v>
      </c>
      <c r="H37" s="18" t="n">
        <f aca="false">IF(H35&gt;0,H36*$C$12/H35,0)</f>
        <v>0.727272727272738</v>
      </c>
      <c r="I37" s="18" t="n">
        <f aca="false">IF(I35&gt;0,I36*$C$12/I35,0)</f>
        <v>37.0909090909091</v>
      </c>
    </row>
    <row r="38" customFormat="false" ht="15" hidden="false" customHeight="false" outlineLevel="0" collapsed="false">
      <c r="B38" s="19" t="s">
        <v>222</v>
      </c>
      <c r="C38" s="18" t="n">
        <f aca="false">IF(C35&gt;0,C36*Simplified_Waterfall!$C$20/C35,0)</f>
        <v>0</v>
      </c>
      <c r="D38" s="18" t="n">
        <f aca="false">IF(D35&gt;0,D36*Simplified_Waterfall!$C$20/D35,0)</f>
        <v>0</v>
      </c>
      <c r="E38" s="18" t="n">
        <f aca="false">IF(E35&gt;0,E36*Simplified_Waterfall!$C$20/E35,0)</f>
        <v>0</v>
      </c>
      <c r="F38" s="18" t="n">
        <f aca="false">IF(F35&gt;0,F36*Simplified_Waterfall!$C$20/F35,0)</f>
        <v>0</v>
      </c>
      <c r="G38" s="18" t="n">
        <f aca="false">IF(G35&gt;0,G36*Simplified_Waterfall!$C$20/G35,0)</f>
        <v>0</v>
      </c>
      <c r="H38" s="18" t="n">
        <f aca="false">IF(H35&gt;0,H36*Simplified_Waterfall!$C$20/H35,0)</f>
        <v>1.27272727272729</v>
      </c>
      <c r="I38" s="18" t="n">
        <f aca="false">IF(I35&gt;0,I36*Simplified_Waterfall!$C$20/I35,0)</f>
        <v>64.9090909090909</v>
      </c>
    </row>
    <row r="39" customFormat="false" ht="15" hidden="false" customHeight="false" outlineLevel="0" collapsed="false">
      <c r="B39" s="8" t="s">
        <v>150</v>
      </c>
      <c r="C39" s="18" t="n">
        <f aca="false">C32-C33-C34-C36</f>
        <v>0</v>
      </c>
      <c r="D39" s="18" t="n">
        <f aca="false">D32-D33-D34-D36</f>
        <v>0</v>
      </c>
      <c r="E39" s="18" t="n">
        <f aca="false">E32-E33-E34-E36</f>
        <v>0</v>
      </c>
      <c r="F39" s="18" t="n">
        <f aca="false">F32-F33-F34-F36</f>
        <v>0</v>
      </c>
      <c r="G39" s="18" t="n">
        <f aca="false">G32-G33-G34-G36</f>
        <v>0</v>
      </c>
      <c r="H39" s="18" t="n">
        <f aca="false">H32-H33-H34-H36</f>
        <v>0</v>
      </c>
      <c r="I39" s="18" t="n">
        <f aca="false">I32-I33-I34-I36</f>
        <v>0</v>
      </c>
    </row>
    <row r="40" customFormat="false" ht="15" hidden="false" customHeight="false" outlineLevel="0" collapsed="false">
      <c r="B40" s="2" t="s">
        <v>223</v>
      </c>
    </row>
    <row r="41" customFormat="false" ht="15" hidden="false" customHeight="false" outlineLevel="0" collapsed="false">
      <c r="B41" s="8" t="s">
        <v>224</v>
      </c>
      <c r="C41" s="30" t="n">
        <f aca="false">Simplified_Waterfall!C38</f>
        <v>0</v>
      </c>
      <c r="D41" s="30" t="n">
        <f aca="false">Simplified_Waterfall!D38</f>
        <v>0</v>
      </c>
      <c r="E41" s="30" t="n">
        <f aca="false">Simplified_Waterfall!E38</f>
        <v>0</v>
      </c>
      <c r="F41" s="30" t="n">
        <f aca="false">Simplified_Waterfall!F38</f>
        <v>0.0792079207920792</v>
      </c>
      <c r="G41" s="30" t="n">
        <f aca="false">Simplified_Waterfall!G38</f>
        <v>0.277227722772277</v>
      </c>
      <c r="H41" s="30" t="n">
        <f aca="false">Simplified_Waterfall!H38</f>
        <v>0.475247524752475</v>
      </c>
      <c r="I41" s="30" t="n">
        <f aca="false">Simplified_Waterfall!I38</f>
        <v>0.673267326732673</v>
      </c>
    </row>
    <row r="42" customFormat="false" ht="15" hidden="false" customHeight="false" outlineLevel="0" collapsed="false">
      <c r="B42" s="2" t="s">
        <v>225</v>
      </c>
      <c r="C42" s="27" t="n">
        <f aca="false">IF($C$10&gt;0,C34/$C$10,0)</f>
        <v>0</v>
      </c>
      <c r="D42" s="27" t="n">
        <f aca="false">IF($C$10&gt;0,D34/$C$10,0)</f>
        <v>0</v>
      </c>
      <c r="E42" s="27" t="n">
        <f aca="false">IF($C$10&gt;0,E34/$C$10,0)</f>
        <v>0</v>
      </c>
      <c r="F42" s="27" t="n">
        <f aca="false">IF($C$10&gt;0,F34/$C$10,0)</f>
        <v>0.117647058823529</v>
      </c>
      <c r="G42" s="27" t="n">
        <f aca="false">IF($C$10&gt;0,G34/$C$10,0)</f>
        <v>0.411764705882353</v>
      </c>
      <c r="H42" s="27" t="n">
        <f aca="false">IF($C$10&gt;0,H34/$C$10,0)</f>
        <v>0.7</v>
      </c>
      <c r="I42" s="27" t="n">
        <f aca="false">IF($C$10&gt;0,I34/$C$10,0)</f>
        <v>0.7</v>
      </c>
    </row>
    <row r="43" customFormat="false" ht="15" hidden="false" customHeight="false" outlineLevel="0" collapsed="false">
      <c r="B43" s="2" t="s">
        <v>226</v>
      </c>
      <c r="C43" s="27" t="n">
        <f aca="false">IF($C$12&gt;0,C37/$C$12,0)</f>
        <v>0</v>
      </c>
      <c r="D43" s="27" t="n">
        <f aca="false">IF($C$12&gt;0,D37/$C$12,0)</f>
        <v>0</v>
      </c>
      <c r="E43" s="27" t="n">
        <f aca="false">IF($C$12&gt;0,E37/$C$12,0)</f>
        <v>0</v>
      </c>
      <c r="F43" s="27" t="n">
        <f aca="false">IF($C$12&gt;0,F37/$C$12,0)</f>
        <v>0</v>
      </c>
      <c r="G43" s="27" t="n">
        <f aca="false">IF($C$12&gt;0,G37/$C$12,0)</f>
        <v>0</v>
      </c>
      <c r="H43" s="27" t="n">
        <f aca="false">IF($C$12&gt;0,H37/$C$12,0)</f>
        <v>0.0121212121212123</v>
      </c>
      <c r="I43" s="27" t="n">
        <f aca="false">IF($C$12&gt;0,I37/$C$12,0)</f>
        <v>0.618181818181818</v>
      </c>
    </row>
    <row r="44" customFormat="false" ht="15" hidden="false" customHeight="false" outlineLevel="0" collapsed="false">
      <c r="B44" s="8" t="s">
        <v>227</v>
      </c>
      <c r="C44" s="30" t="n">
        <f aca="false">C38/Simplified_Waterfall!$C$20</f>
        <v>0</v>
      </c>
      <c r="D44" s="30" t="n">
        <f aca="false">D38/Simplified_Waterfall!$C$20</f>
        <v>0</v>
      </c>
      <c r="E44" s="30" t="n">
        <f aca="false">E38/Simplified_Waterfall!$C$20</f>
        <v>0</v>
      </c>
      <c r="F44" s="30" t="n">
        <f aca="false">F38/Simplified_Waterfall!$C$20</f>
        <v>0</v>
      </c>
      <c r="G44" s="30" t="n">
        <f aca="false">G38/Simplified_Waterfall!$C$20</f>
        <v>0</v>
      </c>
      <c r="H44" s="30" t="n">
        <f aca="false">H38/Simplified_Waterfall!$C$20</f>
        <v>0.0121212121212123</v>
      </c>
      <c r="I44" s="30" t="n">
        <f aca="false">I38/Simplified_Waterfall!$C$20</f>
        <v>0.618181818181818</v>
      </c>
    </row>
    <row r="45" customFormat="false" ht="15" hidden="false" customHeight="false" outlineLevel="0" collapsed="false">
      <c r="B45" s="8" t="s">
        <v>228</v>
      </c>
      <c r="C45" s="30" t="n">
        <f aca="false">C42-C43</f>
        <v>0</v>
      </c>
      <c r="D45" s="30" t="n">
        <f aca="false">D42-D43</f>
        <v>0</v>
      </c>
      <c r="E45" s="30" t="n">
        <f aca="false">E42-E43</f>
        <v>0</v>
      </c>
      <c r="F45" s="30" t="n">
        <f aca="false">F42-F43</f>
        <v>0.117647058823529</v>
      </c>
      <c r="G45" s="30" t="n">
        <f aca="false">G42-G43</f>
        <v>0.411764705882353</v>
      </c>
      <c r="H45" s="30" t="n">
        <f aca="false">H42-H43</f>
        <v>0.687878787878788</v>
      </c>
      <c r="I45" s="30" t="n">
        <f aca="false">I42-I43</f>
        <v>0.0818181818181816</v>
      </c>
      <c r="J45" s="4" t="s">
        <v>229</v>
      </c>
    </row>
    <row r="46" customFormat="false" ht="15" hidden="false" customHeight="false" outlineLevel="0" collapsed="false">
      <c r="B46" s="2" t="s">
        <v>230</v>
      </c>
    </row>
    <row r="47" customFormat="false" ht="15" hidden="false" customHeight="false" outlineLevel="0" collapsed="false">
      <c r="B47" s="8" t="s">
        <v>231</v>
      </c>
      <c r="C47" s="18" t="n">
        <f aca="false">Simplified_Waterfall!C36</f>
        <v>0</v>
      </c>
      <c r="D47" s="18" t="n">
        <f aca="false">Simplified_Waterfall!D36</f>
        <v>0</v>
      </c>
      <c r="E47" s="18" t="n">
        <f aca="false">Simplified_Waterfall!E36</f>
        <v>0</v>
      </c>
      <c r="F47" s="18" t="n">
        <f aca="false">Simplified_Waterfall!F36</f>
        <v>31.6831683168317</v>
      </c>
      <c r="G47" s="18" t="n">
        <f aca="false">Simplified_Waterfall!G36</f>
        <v>110.891089108911</v>
      </c>
      <c r="H47" s="18" t="n">
        <f aca="false">Simplified_Waterfall!H36</f>
        <v>190.09900990099</v>
      </c>
      <c r="I47" s="18" t="n">
        <f aca="false">Simplified_Waterfall!I36</f>
        <v>269.306930693069</v>
      </c>
    </row>
    <row r="48" customFormat="false" ht="15" hidden="false" customHeight="false" outlineLevel="0" collapsed="false">
      <c r="B48" s="2" t="s">
        <v>232</v>
      </c>
      <c r="C48" s="26" t="n">
        <f aca="false">C34+C37</f>
        <v>0</v>
      </c>
      <c r="D48" s="26" t="n">
        <f aca="false">D34+D37</f>
        <v>0</v>
      </c>
      <c r="E48" s="26" t="n">
        <f aca="false">E34+E37</f>
        <v>0</v>
      </c>
      <c r="F48" s="26" t="n">
        <f aca="false">F34+F37</f>
        <v>40</v>
      </c>
      <c r="G48" s="26" t="n">
        <f aca="false">G34+G37</f>
        <v>140</v>
      </c>
      <c r="H48" s="26" t="n">
        <f aca="false">H34+H37</f>
        <v>238.727272727273</v>
      </c>
      <c r="I48" s="26" t="n">
        <f aca="false">I34+I37</f>
        <v>275.090909090909</v>
      </c>
    </row>
    <row r="49" customFormat="false" ht="15" hidden="false" customHeight="false" outlineLevel="0" collapsed="false">
      <c r="B49" s="8" t="s">
        <v>233</v>
      </c>
      <c r="C49" s="18" t="n">
        <f aca="false">Simplified_Waterfall!C37</f>
        <v>0</v>
      </c>
      <c r="D49" s="18" t="n">
        <f aca="false">Simplified_Waterfall!D37</f>
        <v>0</v>
      </c>
      <c r="E49" s="18" t="n">
        <f aca="false">Simplified_Waterfall!E37</f>
        <v>0</v>
      </c>
      <c r="F49" s="18" t="n">
        <f aca="false">Simplified_Waterfall!F37</f>
        <v>8.31683168316832</v>
      </c>
      <c r="G49" s="18" t="n">
        <f aca="false">Simplified_Waterfall!G37</f>
        <v>29.1089108910891</v>
      </c>
      <c r="H49" s="18" t="n">
        <f aca="false">Simplified_Waterfall!H37</f>
        <v>49.9009900990099</v>
      </c>
      <c r="I49" s="18" t="n">
        <f aca="false">Simplified_Waterfall!I37</f>
        <v>70.6930693069307</v>
      </c>
    </row>
    <row r="50" customFormat="false" ht="15" hidden="false" customHeight="false" outlineLevel="0" collapsed="false">
      <c r="B50" s="2" t="s">
        <v>234</v>
      </c>
      <c r="C50" s="26" t="n">
        <f aca="false">C38</f>
        <v>0</v>
      </c>
      <c r="D50" s="26" t="n">
        <f aca="false">D38</f>
        <v>0</v>
      </c>
      <c r="E50" s="26" t="n">
        <f aca="false">E38</f>
        <v>0</v>
      </c>
      <c r="F50" s="26" t="n">
        <f aca="false">F38</f>
        <v>0</v>
      </c>
      <c r="G50" s="26" t="n">
        <f aca="false">G38</f>
        <v>0</v>
      </c>
      <c r="H50" s="26" t="n">
        <f aca="false">H38</f>
        <v>1.27272727272729</v>
      </c>
      <c r="I50" s="26" t="n">
        <f aca="false">I38</f>
        <v>64.9090909090909</v>
      </c>
      <c r="J50" s="4" t="s">
        <v>235</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J5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56"/>
    <col collapsed="false" customWidth="true" hidden="false" outlineLevel="0" max="9" min="3" style="0" width="10"/>
    <col collapsed="false" customWidth="true" hidden="false" outlineLevel="0" max="10" min="10" style="0" width="44"/>
    <col collapsed="false" customWidth="true" hidden="false" outlineLevel="0" max="39" min="11" style="0" width="11"/>
  </cols>
  <sheetData>
    <row r="1" customFormat="false" ht="6" hidden="false" customHeight="true" outlineLevel="0" collapsed="false"/>
    <row r="2" customFormat="false" ht="15" hidden="false" customHeight="false" outlineLevel="0" collapsed="false">
      <c r="B2" s="1" t="s">
        <v>236</v>
      </c>
    </row>
    <row r="3" customFormat="false" ht="15" hidden="false" customHeight="false" outlineLevel="0" collapsed="false">
      <c r="B3" s="4" t="s">
        <v>237</v>
      </c>
    </row>
    <row r="5" customFormat="false" ht="15" hidden="false" customHeight="false" outlineLevel="0" collapsed="false">
      <c r="B5" s="2" t="s">
        <v>238</v>
      </c>
    </row>
    <row r="6" customFormat="false" ht="15" hidden="false" customHeight="false" outlineLevel="0" collapsed="false">
      <c r="B6" s="5" t="s">
        <v>110</v>
      </c>
      <c r="C6" s="6" t="s">
        <v>20</v>
      </c>
      <c r="D6" s="7" t="s">
        <v>111</v>
      </c>
    </row>
    <row r="7" customFormat="false" ht="15" hidden="false" customHeight="false" outlineLevel="0" collapsed="false">
      <c r="B7" s="8" t="s">
        <v>239</v>
      </c>
      <c r="C7" s="18" t="n">
        <f aca="false">Inputs!$C$21+Inputs!$C$14</f>
        <v>1050</v>
      </c>
    </row>
    <row r="8" customFormat="false" ht="15" hidden="false" customHeight="false" outlineLevel="0" collapsed="false">
      <c r="B8" s="8" t="s">
        <v>240</v>
      </c>
      <c r="C8" s="18" t="n">
        <f aca="false">Inputs!$C$57*$C$7</f>
        <v>525</v>
      </c>
    </row>
    <row r="9" customFormat="false" ht="15" hidden="false" customHeight="false" outlineLevel="0" collapsed="false">
      <c r="B9" s="8" t="s">
        <v>241</v>
      </c>
      <c r="C9" s="30" t="n">
        <f aca="false">Inputs!$C$56/$C$7</f>
        <v>0.571428571428571</v>
      </c>
    </row>
    <row r="10" customFormat="false" ht="15" hidden="false" customHeight="false" outlineLevel="0" collapsed="false">
      <c r="B10" s="8" t="s">
        <v>242</v>
      </c>
      <c r="C10" s="29" t="n">
        <f aca="false">IF(Inputs!$C$56&gt;$C$8,1,0)</f>
        <v>1</v>
      </c>
    </row>
    <row r="12" customFormat="false" ht="15" hidden="false" customHeight="false" outlineLevel="0" collapsed="false">
      <c r="B12" s="2" t="s">
        <v>194</v>
      </c>
    </row>
    <row r="13" customFormat="false" ht="15" hidden="false" customHeight="false" outlineLevel="0" collapsed="false">
      <c r="B13" s="5" t="s">
        <v>110</v>
      </c>
      <c r="C13" s="6" t="s">
        <v>20</v>
      </c>
      <c r="D13" s="7" t="s">
        <v>111</v>
      </c>
    </row>
    <row r="14" customFormat="false" ht="15" hidden="false" customHeight="false" outlineLevel="0" collapsed="false">
      <c r="B14" s="8" t="s">
        <v>243</v>
      </c>
      <c r="C14" s="17" t="n">
        <f aca="false">Inputs!$C$7+Inputs!$C$60</f>
        <v>0.108</v>
      </c>
    </row>
    <row r="15" customFormat="false" ht="15" hidden="false" customHeight="false" outlineLevel="0" collapsed="false">
      <c r="B15" s="8" t="s">
        <v>244</v>
      </c>
      <c r="C15" s="18" t="n">
        <f aca="false">Inputs!$C$58*(1-Inputs!$C$59)</f>
        <v>196</v>
      </c>
    </row>
    <row r="16" customFormat="false" ht="15" hidden="false" customHeight="false" outlineLevel="0" collapsed="false">
      <c r="B16" s="8" t="s">
        <v>245</v>
      </c>
      <c r="C16" s="18" t="n">
        <f aca="false">Inputs!$C$56*Inputs!$C$61</f>
        <v>570</v>
      </c>
    </row>
    <row r="17" customFormat="false" ht="15" hidden="false" customHeight="false" outlineLevel="0" collapsed="false">
      <c r="B17" s="8" t="s">
        <v>246</v>
      </c>
      <c r="C17" s="18" t="n">
        <f aca="false">Inputs!$C$21-Inputs!$C$56</f>
        <v>300</v>
      </c>
    </row>
    <row r="18" customFormat="false" ht="15" hidden="false" customHeight="false" outlineLevel="0" collapsed="false">
      <c r="B18" s="8" t="s">
        <v>247</v>
      </c>
      <c r="C18" s="18" t="n">
        <f aca="false">Inputs!$C$15</f>
        <v>50</v>
      </c>
    </row>
    <row r="19" customFormat="false" ht="15" hidden="false" customHeight="false" outlineLevel="0" collapsed="false">
      <c r="B19" s="8" t="s">
        <v>248</v>
      </c>
      <c r="C19" s="18" t="n">
        <f aca="false">$C$15-$C$18-Inputs!$C$62</f>
        <v>134</v>
      </c>
    </row>
    <row r="20" customFormat="false" ht="15" hidden="false" customHeight="false" outlineLevel="0" collapsed="false">
      <c r="B20" s="2" t="s">
        <v>249</v>
      </c>
      <c r="C20" s="26" t="n">
        <f aca="false">Inputs!$C$8+$C$19</f>
        <v>179</v>
      </c>
    </row>
    <row r="21" customFormat="false" ht="15" hidden="false" customHeight="false" outlineLevel="0" collapsed="false">
      <c r="B21" s="8" t="s">
        <v>250</v>
      </c>
      <c r="C21" s="18" t="n">
        <f aca="false">MAX(0,$C$20-Inputs!$C$9)</f>
        <v>154</v>
      </c>
    </row>
    <row r="22" customFormat="false" ht="15" hidden="false" customHeight="false" outlineLevel="0" collapsed="false">
      <c r="B22" s="8" t="s">
        <v>251</v>
      </c>
      <c r="C22" s="18" t="n">
        <f aca="false">Inputs!$C$58+$C$16+$C$17+Inputs!$C$25</f>
        <v>1470</v>
      </c>
    </row>
    <row r="23" customFormat="false" ht="15" hidden="false" customHeight="false" outlineLevel="0" collapsed="false">
      <c r="B23" s="8" t="s">
        <v>252</v>
      </c>
      <c r="C23" s="18" t="n">
        <f aca="false">Simplified_Waterfall!$C$10</f>
        <v>1350</v>
      </c>
    </row>
    <row r="24" customFormat="false" ht="15" hidden="false" customHeight="false" outlineLevel="0" collapsed="false">
      <c r="B24" s="8" t="s">
        <v>253</v>
      </c>
      <c r="C24" s="18" t="n">
        <f aca="false">Inputs!$C$58-$C$18-(Inputs!$C$56-$C$16)</f>
        <v>120</v>
      </c>
      <c r="D24" s="4" t="s">
        <v>254</v>
      </c>
    </row>
    <row r="25" customFormat="false" ht="15" hidden="false" customHeight="false" outlineLevel="0" collapsed="false">
      <c r="B25" s="8" t="s">
        <v>255</v>
      </c>
      <c r="C25" s="20" t="n">
        <f aca="false">Inputs!$C$58*$C$14+($C$16+$C$17)*Simplified_Waterfall!$C$8+Inputs!$C$25*Inputs!$C$26</f>
        <v>122.81</v>
      </c>
    </row>
    <row r="26" customFormat="false" ht="15" hidden="false" customHeight="false" outlineLevel="0" collapsed="false">
      <c r="B26" s="8" t="s">
        <v>256</v>
      </c>
      <c r="C26" s="20" t="n">
        <f aca="false">Simplified_Waterfall!$C$15</f>
        <v>108.1</v>
      </c>
    </row>
    <row r="27" customFormat="false" ht="15" hidden="false" customHeight="false" outlineLevel="0" collapsed="false">
      <c r="B27" s="8" t="s">
        <v>257</v>
      </c>
      <c r="C27" s="20" t="n">
        <f aca="false">$C$25-$C$26</f>
        <v>14.71</v>
      </c>
    </row>
    <row r="28" customFormat="false" ht="15" hidden="false" customHeight="false" outlineLevel="0" collapsed="false">
      <c r="B28" s="8" t="s">
        <v>258</v>
      </c>
      <c r="C28" s="18" t="n">
        <f aca="false">$C$17*Inputs!$C$23</f>
        <v>3</v>
      </c>
      <c r="D28" s="4" t="s">
        <v>259</v>
      </c>
    </row>
    <row r="29" customFormat="false" ht="15" hidden="false" customHeight="false" outlineLevel="0" collapsed="false">
      <c r="B29" s="8" t="s">
        <v>260</v>
      </c>
      <c r="C29" s="18" t="n">
        <f aca="false">$C$28-Simplified_Waterfall!$C$16</f>
        <v>-6</v>
      </c>
    </row>
    <row r="30" customFormat="false" ht="15" hidden="false" customHeight="false" outlineLevel="0" collapsed="false">
      <c r="B30" s="2" t="s">
        <v>261</v>
      </c>
      <c r="C30" s="24" t="n">
        <f aca="false">Inputs!$C$10-$C$25-Inputs!$C$11-Inputs!$C$12-Inputs!$C$13-$C$28</f>
        <v>-39.81</v>
      </c>
    </row>
    <row r="31" customFormat="false" ht="15" hidden="false" customHeight="false" outlineLevel="0" collapsed="false">
      <c r="B31" s="8" t="s">
        <v>262</v>
      </c>
      <c r="C31" s="20" t="n">
        <f aca="false">Simplified_Waterfall!$C$17</f>
        <v>-31.1</v>
      </c>
    </row>
    <row r="32" customFormat="false" ht="15" hidden="false" customHeight="false" outlineLevel="0" collapsed="false">
      <c r="B32" s="8" t="s">
        <v>263</v>
      </c>
      <c r="C32" s="18" t="n">
        <f aca="false">IF($C$30&lt;0,($C$20-Inputs!$C$9)/-$C$30,"n/a")</f>
        <v>3.86837478020598</v>
      </c>
      <c r="D32" s="4" t="s">
        <v>264</v>
      </c>
    </row>
    <row r="33" customFormat="false" ht="15" hidden="false" customHeight="false" outlineLevel="0" collapsed="false">
      <c r="B33" s="8" t="s">
        <v>265</v>
      </c>
      <c r="C33" s="18" t="n">
        <f aca="false">Simplified_Waterfall!$C$22-Simplified_Waterfall!$C$23+Simplified_Waterfall!$C$9*Inputs!$C$61</f>
        <v>912.5</v>
      </c>
      <c r="D33" s="4" t="s">
        <v>266</v>
      </c>
    </row>
    <row r="35" customFormat="false" ht="15" hidden="false" customHeight="false" outlineLevel="0" collapsed="false">
      <c r="B35" s="2" t="s">
        <v>267</v>
      </c>
    </row>
    <row r="36" customFormat="false" ht="15" hidden="false" customHeight="false" outlineLevel="0" collapsed="false">
      <c r="B36" s="5" t="s">
        <v>27</v>
      </c>
      <c r="C36" s="6" t="s">
        <v>132</v>
      </c>
      <c r="D36" s="6" t="s">
        <v>133</v>
      </c>
      <c r="E36" s="6" t="s">
        <v>134</v>
      </c>
      <c r="F36" s="6" t="s">
        <v>135</v>
      </c>
      <c r="G36" s="6" t="s">
        <v>136</v>
      </c>
      <c r="H36" s="6" t="s">
        <v>137</v>
      </c>
      <c r="I36" s="6" t="s">
        <v>138</v>
      </c>
      <c r="J36" s="7" t="s">
        <v>111</v>
      </c>
    </row>
    <row r="37" customFormat="false" ht="15" hidden="false" customHeight="false" outlineLevel="0" collapsed="false">
      <c r="B37" s="2" t="s">
        <v>139</v>
      </c>
      <c r="C37" s="26" t="n">
        <f aca="false">Inputs!C38</f>
        <v>700</v>
      </c>
      <c r="D37" s="26" t="n">
        <f aca="false">Inputs!D38</f>
        <v>800</v>
      </c>
      <c r="E37" s="26" t="n">
        <f aca="false">Inputs!E38</f>
        <v>900</v>
      </c>
      <c r="F37" s="26" t="n">
        <f aca="false">Inputs!F38</f>
        <v>1000</v>
      </c>
      <c r="G37" s="26" t="n">
        <f aca="false">Inputs!G38</f>
        <v>1100</v>
      </c>
      <c r="H37" s="26" t="n">
        <f aca="false">Inputs!H38</f>
        <v>1200</v>
      </c>
      <c r="I37" s="26" t="n">
        <f aca="false">Inputs!I38</f>
        <v>1300</v>
      </c>
    </row>
    <row r="38" customFormat="false" ht="15" hidden="false" customHeight="false" outlineLevel="0" collapsed="false">
      <c r="B38" s="8" t="s">
        <v>268</v>
      </c>
      <c r="C38" s="30" t="n">
        <f aca="false">Simplified_Waterfall!C33</f>
        <v>0.726315789473684</v>
      </c>
      <c r="D38" s="30" t="n">
        <f aca="false">Simplified_Waterfall!D33</f>
        <v>0.831578947368421</v>
      </c>
      <c r="E38" s="30" t="n">
        <f aca="false">Simplified_Waterfall!E33</f>
        <v>0.936842105263158</v>
      </c>
      <c r="F38" s="30" t="n">
        <f aca="false">Simplified_Waterfall!F33</f>
        <v>1</v>
      </c>
      <c r="G38" s="30" t="n">
        <f aca="false">Simplified_Waterfall!G33</f>
        <v>1</v>
      </c>
      <c r="H38" s="30" t="n">
        <f aca="false">Simplified_Waterfall!H33</f>
        <v>1</v>
      </c>
      <c r="I38" s="30" t="n">
        <f aca="false">Simplified_Waterfall!I33</f>
        <v>1</v>
      </c>
    </row>
    <row r="39" customFormat="false" ht="15" hidden="false" customHeight="false" outlineLevel="0" collapsed="false">
      <c r="B39" s="8" t="s">
        <v>269</v>
      </c>
      <c r="C39" s="18" t="n">
        <f aca="false">Inputs!$C$56*C38</f>
        <v>435.789473684211</v>
      </c>
      <c r="D39" s="18" t="n">
        <f aca="false">Inputs!$C$56*D38</f>
        <v>498.947368421053</v>
      </c>
      <c r="E39" s="18" t="n">
        <f aca="false">Inputs!$C$56*E38</f>
        <v>562.105263157895</v>
      </c>
      <c r="F39" s="18" t="n">
        <f aca="false">Inputs!$C$56*F38</f>
        <v>600</v>
      </c>
      <c r="G39" s="18" t="n">
        <f aca="false">Inputs!$C$56*G38</f>
        <v>600</v>
      </c>
      <c r="H39" s="18" t="n">
        <f aca="false">Inputs!$C$56*H38</f>
        <v>600</v>
      </c>
      <c r="I39" s="18" t="n">
        <f aca="false">Inputs!$C$56*I38</f>
        <v>600</v>
      </c>
    </row>
    <row r="40" customFormat="false" ht="15" hidden="false" customHeight="false" outlineLevel="0" collapsed="false">
      <c r="B40" s="8" t="s">
        <v>270</v>
      </c>
      <c r="C40" s="18" t="n">
        <f aca="false">$C$17*C38</f>
        <v>217.894736842105</v>
      </c>
      <c r="D40" s="18" t="n">
        <f aca="false">$C$17*D38</f>
        <v>249.473684210526</v>
      </c>
      <c r="E40" s="18" t="n">
        <f aca="false">$C$17*E38</f>
        <v>281.052631578947</v>
      </c>
      <c r="F40" s="18" t="n">
        <f aca="false">$C$17*F38</f>
        <v>300</v>
      </c>
      <c r="G40" s="18" t="n">
        <f aca="false">$C$17*G38</f>
        <v>300</v>
      </c>
      <c r="H40" s="18" t="n">
        <f aca="false">$C$17*H38</f>
        <v>300</v>
      </c>
      <c r="I40" s="18" t="n">
        <f aca="false">$C$17*I38</f>
        <v>300</v>
      </c>
    </row>
    <row r="41" customFormat="false" ht="15" hidden="false" customHeight="false" outlineLevel="0" collapsed="false">
      <c r="B41" s="8" t="s">
        <v>271</v>
      </c>
      <c r="C41" s="18" t="n">
        <f aca="false">Inputs!$C$15*C38</f>
        <v>36.3157894736842</v>
      </c>
      <c r="D41" s="18" t="n">
        <f aca="false">Inputs!$C$15*D38</f>
        <v>41.5789473684211</v>
      </c>
      <c r="E41" s="18" t="n">
        <f aca="false">Inputs!$C$15*E38</f>
        <v>46.8421052631579</v>
      </c>
      <c r="F41" s="18" t="n">
        <f aca="false">Inputs!$C$15*F38</f>
        <v>50</v>
      </c>
      <c r="G41" s="18" t="n">
        <f aca="false">Inputs!$C$15*G38</f>
        <v>50</v>
      </c>
      <c r="H41" s="18" t="n">
        <f aca="false">Inputs!$C$15*H38</f>
        <v>50</v>
      </c>
      <c r="I41" s="18" t="n">
        <f aca="false">Inputs!$C$15*I38</f>
        <v>50</v>
      </c>
    </row>
    <row r="42" customFormat="false" ht="15" hidden="false" customHeight="false" outlineLevel="0" collapsed="false">
      <c r="B42" s="8" t="s">
        <v>272</v>
      </c>
      <c r="C42" s="18" t="n">
        <f aca="false">Simplified_Waterfall!C36</f>
        <v>0</v>
      </c>
      <c r="D42" s="18" t="n">
        <f aca="false">Simplified_Waterfall!D36</f>
        <v>0</v>
      </c>
      <c r="E42" s="18" t="n">
        <f aca="false">Simplified_Waterfall!E36</f>
        <v>0</v>
      </c>
      <c r="F42" s="18" t="n">
        <f aca="false">Simplified_Waterfall!F36</f>
        <v>31.6831683168317</v>
      </c>
      <c r="G42" s="18" t="n">
        <f aca="false">Simplified_Waterfall!G36</f>
        <v>110.891089108911</v>
      </c>
      <c r="H42" s="18" t="n">
        <f aca="false">Simplified_Waterfall!H36</f>
        <v>190.09900990099</v>
      </c>
      <c r="I42" s="18" t="n">
        <f aca="false">Simplified_Waterfall!I36</f>
        <v>269.306930693069</v>
      </c>
    </row>
    <row r="43" customFormat="false" ht="15" hidden="false" customHeight="false" outlineLevel="0" collapsed="false">
      <c r="B43" s="8" t="s">
        <v>273</v>
      </c>
      <c r="C43" s="18" t="n">
        <f aca="false">MAX(0,C37+$C$21-Simplified_Waterfall!$C$22)</f>
        <v>824</v>
      </c>
      <c r="D43" s="18" t="n">
        <f aca="false">MAX(0,D37+$C$21-Simplified_Waterfall!$C$22)</f>
        <v>924</v>
      </c>
      <c r="E43" s="18" t="n">
        <f aca="false">MAX(0,E37+$C$21-Simplified_Waterfall!$C$22)</f>
        <v>1024</v>
      </c>
      <c r="F43" s="18" t="n">
        <f aca="false">MAX(0,F37+$C$21-Simplified_Waterfall!$C$22)</f>
        <v>1124</v>
      </c>
      <c r="G43" s="18" t="n">
        <f aca="false">MAX(0,G37+$C$21-Simplified_Waterfall!$C$22)</f>
        <v>1224</v>
      </c>
      <c r="H43" s="18" t="n">
        <f aca="false">MAX(0,H37+$C$21-Simplified_Waterfall!$C$22)</f>
        <v>1324</v>
      </c>
      <c r="I43" s="18" t="n">
        <f aca="false">MAX(0,I37+$C$21-Simplified_Waterfall!$C$22)</f>
        <v>1424</v>
      </c>
    </row>
    <row r="44" customFormat="false" ht="15" hidden="false" customHeight="false" outlineLevel="0" collapsed="false">
      <c r="B44" s="19" t="s">
        <v>274</v>
      </c>
      <c r="C44" s="18" t="n">
        <f aca="false">MIN(C43,Inputs!$C$58)</f>
        <v>200</v>
      </c>
      <c r="D44" s="18" t="n">
        <f aca="false">MIN(D43,Inputs!$C$58)</f>
        <v>200</v>
      </c>
      <c r="E44" s="18" t="n">
        <f aca="false">MIN(E43,Inputs!$C$58)</f>
        <v>200</v>
      </c>
      <c r="F44" s="18" t="n">
        <f aca="false">MIN(F43,Inputs!$C$58)</f>
        <v>200</v>
      </c>
      <c r="G44" s="18" t="n">
        <f aca="false">MIN(G43,Inputs!$C$58)</f>
        <v>200</v>
      </c>
      <c r="H44" s="18" t="n">
        <f aca="false">MIN(H43,Inputs!$C$58)</f>
        <v>200</v>
      </c>
      <c r="I44" s="18" t="n">
        <f aca="false">MIN(I43,Inputs!$C$58)</f>
        <v>200</v>
      </c>
    </row>
    <row r="45" customFormat="false" ht="15" hidden="false" customHeight="false" outlineLevel="0" collapsed="false">
      <c r="B45" s="19" t="s">
        <v>275</v>
      </c>
      <c r="C45" s="18" t="n">
        <f aca="false">MIN(C43-C44,$C$16)</f>
        <v>570</v>
      </c>
      <c r="D45" s="18" t="n">
        <f aca="false">MIN(D43-D44,$C$16)</f>
        <v>570</v>
      </c>
      <c r="E45" s="18" t="n">
        <f aca="false">MIN(E43-E44,$C$16)</f>
        <v>570</v>
      </c>
      <c r="F45" s="18" t="n">
        <f aca="false">MIN(F43-F44,$C$16)</f>
        <v>570</v>
      </c>
      <c r="G45" s="18" t="n">
        <f aca="false">MIN(G43-G44,$C$16)</f>
        <v>570</v>
      </c>
      <c r="H45" s="18" t="n">
        <f aca="false">MIN(H43-H44,$C$16)</f>
        <v>570</v>
      </c>
      <c r="I45" s="18" t="n">
        <f aca="false">MIN(I43-I44,$C$16)</f>
        <v>570</v>
      </c>
    </row>
    <row r="46" customFormat="false" ht="15" hidden="false" customHeight="false" outlineLevel="0" collapsed="false">
      <c r="B46" s="19" t="s">
        <v>276</v>
      </c>
      <c r="C46" s="18" t="n">
        <f aca="false">MIN(C43-C44-C45,$C$17)</f>
        <v>54</v>
      </c>
      <c r="D46" s="18" t="n">
        <f aca="false">MIN(D43-D44-D45,$C$17)</f>
        <v>154</v>
      </c>
      <c r="E46" s="18" t="n">
        <f aca="false">MIN(E43-E44-E45,$C$17)</f>
        <v>254</v>
      </c>
      <c r="F46" s="18" t="n">
        <f aca="false">MIN(F43-F44-F45,$C$17)</f>
        <v>300</v>
      </c>
      <c r="G46" s="18" t="n">
        <f aca="false">MIN(G43-G44-G45,$C$17)</f>
        <v>300</v>
      </c>
      <c r="H46" s="18" t="n">
        <f aca="false">MIN(H43-H44-H45,$C$17)</f>
        <v>300</v>
      </c>
      <c r="I46" s="18" t="n">
        <f aca="false">MIN(I43-I44-I45,$C$17)</f>
        <v>300</v>
      </c>
    </row>
    <row r="47" customFormat="false" ht="15" hidden="false" customHeight="false" outlineLevel="0" collapsed="false">
      <c r="B47" s="19" t="s">
        <v>277</v>
      </c>
      <c r="C47" s="18" t="n">
        <f aca="false">MIN(C43-C44-C45-C46,Simplified_Waterfall!$C$21)</f>
        <v>0</v>
      </c>
      <c r="D47" s="18" t="n">
        <f aca="false">MIN(D43-D44-D45-D46,Simplified_Waterfall!$C$21)</f>
        <v>0</v>
      </c>
      <c r="E47" s="18" t="n">
        <f aca="false">MIN(E43-E44-E45-E46,Simplified_Waterfall!$C$21)</f>
        <v>0</v>
      </c>
      <c r="F47" s="18" t="n">
        <f aca="false">MIN(F43-F44-F45-F46,Simplified_Waterfall!$C$21)</f>
        <v>54</v>
      </c>
      <c r="G47" s="18" t="n">
        <f aca="false">MIN(G43-G44-G45-G46,Simplified_Waterfall!$C$21)</f>
        <v>154</v>
      </c>
      <c r="H47" s="18" t="n">
        <f aca="false">MIN(H43-H44-H45-H46,Simplified_Waterfall!$C$21)</f>
        <v>254</v>
      </c>
      <c r="I47" s="18" t="n">
        <f aca="false">MIN(I43-I44-I45-I46,Simplified_Waterfall!$C$21)</f>
        <v>354</v>
      </c>
    </row>
    <row r="48" customFormat="false" ht="15" hidden="false" customHeight="false" outlineLevel="0" collapsed="false">
      <c r="B48" s="19" t="s">
        <v>150</v>
      </c>
      <c r="C48" s="18" t="n">
        <f aca="false">C43-C44-C45-C46-C47</f>
        <v>0</v>
      </c>
      <c r="D48" s="18" t="n">
        <f aca="false">D43-D44-D45-D46-D47</f>
        <v>0</v>
      </c>
      <c r="E48" s="18" t="n">
        <f aca="false">E43-E44-E45-E46-E47</f>
        <v>0</v>
      </c>
      <c r="F48" s="18" t="n">
        <f aca="false">F43-F44-F45-F46-F47</f>
        <v>0</v>
      </c>
      <c r="G48" s="18" t="n">
        <f aca="false">G43-G44-G45-G46-G47</f>
        <v>0</v>
      </c>
      <c r="H48" s="18" t="n">
        <f aca="false">H43-H44-H45-H46-H47</f>
        <v>0</v>
      </c>
      <c r="I48" s="18" t="n">
        <f aca="false">I43-I44-I45-I46-I47</f>
        <v>0</v>
      </c>
    </row>
    <row r="49" customFormat="false" ht="15" hidden="false" customHeight="false" outlineLevel="0" collapsed="false">
      <c r="B49" s="2" t="s">
        <v>278</v>
      </c>
      <c r="C49" s="26" t="n">
        <f aca="false">C45</f>
        <v>570</v>
      </c>
      <c r="D49" s="26" t="n">
        <f aca="false">D45</f>
        <v>570</v>
      </c>
      <c r="E49" s="26" t="n">
        <f aca="false">E45</f>
        <v>570</v>
      </c>
      <c r="F49" s="26" t="n">
        <f aca="false">F45</f>
        <v>570</v>
      </c>
      <c r="G49" s="26" t="n">
        <f aca="false">G45</f>
        <v>570</v>
      </c>
      <c r="H49" s="26" t="n">
        <f aca="false">H45</f>
        <v>570</v>
      </c>
      <c r="I49" s="26" t="n">
        <f aca="false">I45</f>
        <v>570</v>
      </c>
    </row>
    <row r="50" customFormat="false" ht="15" hidden="false" customHeight="false" outlineLevel="0" collapsed="false">
      <c r="B50" s="8" t="s">
        <v>279</v>
      </c>
      <c r="C50" s="30" t="n">
        <f aca="false">C49/Inputs!$C$56</f>
        <v>0.95</v>
      </c>
      <c r="D50" s="30" t="n">
        <f aca="false">D49/Inputs!$C$56</f>
        <v>0.95</v>
      </c>
      <c r="E50" s="30" t="n">
        <f aca="false">E49/Inputs!$C$56</f>
        <v>0.95</v>
      </c>
      <c r="F50" s="30" t="n">
        <f aca="false">F49/Inputs!$C$56</f>
        <v>0.95</v>
      </c>
      <c r="G50" s="30" t="n">
        <f aca="false">G49/Inputs!$C$56</f>
        <v>0.95</v>
      </c>
      <c r="H50" s="30" t="n">
        <f aca="false">H49/Inputs!$C$56</f>
        <v>0.95</v>
      </c>
      <c r="I50" s="30" t="n">
        <f aca="false">I49/Inputs!$C$56</f>
        <v>0.95</v>
      </c>
    </row>
    <row r="51" customFormat="false" ht="15" hidden="false" customHeight="false" outlineLevel="0" collapsed="false">
      <c r="B51" s="2" t="s">
        <v>280</v>
      </c>
      <c r="C51" s="26" t="n">
        <f aca="false">C46</f>
        <v>54</v>
      </c>
      <c r="D51" s="26" t="n">
        <f aca="false">D46</f>
        <v>154</v>
      </c>
      <c r="E51" s="26" t="n">
        <f aca="false">E46</f>
        <v>254</v>
      </c>
      <c r="F51" s="26" t="n">
        <f aca="false">F46</f>
        <v>300</v>
      </c>
      <c r="G51" s="26" t="n">
        <f aca="false">G46</f>
        <v>300</v>
      </c>
      <c r="H51" s="26" t="n">
        <f aca="false">H46</f>
        <v>300</v>
      </c>
      <c r="I51" s="26" t="n">
        <f aca="false">I46</f>
        <v>300</v>
      </c>
    </row>
    <row r="52" customFormat="false" ht="15" hidden="false" customHeight="false" outlineLevel="0" collapsed="false">
      <c r="B52" s="8" t="s">
        <v>281</v>
      </c>
      <c r="C52" s="30" t="n">
        <f aca="false">C51/$C$17</f>
        <v>0.18</v>
      </c>
      <c r="D52" s="30" t="n">
        <f aca="false">D51/$C$17</f>
        <v>0.513333333333333</v>
      </c>
      <c r="E52" s="30" t="n">
        <f aca="false">E51/$C$17</f>
        <v>0.846666666666667</v>
      </c>
      <c r="F52" s="30" t="n">
        <f aca="false">F51/$C$17</f>
        <v>1</v>
      </c>
      <c r="G52" s="30" t="n">
        <f aca="false">G51/$C$17</f>
        <v>1</v>
      </c>
      <c r="H52" s="30" t="n">
        <f aca="false">H51/$C$17</f>
        <v>1</v>
      </c>
      <c r="I52" s="30" t="n">
        <f aca="false">I51/$C$17</f>
        <v>1</v>
      </c>
    </row>
    <row r="53" customFormat="false" ht="15" hidden="false" customHeight="false" outlineLevel="0" collapsed="false">
      <c r="B53" s="8" t="s">
        <v>282</v>
      </c>
      <c r="C53" s="18" t="n">
        <f aca="false">$C$18</f>
        <v>50</v>
      </c>
      <c r="D53" s="18" t="n">
        <f aca="false">$C$18</f>
        <v>50</v>
      </c>
      <c r="E53" s="18" t="n">
        <f aca="false">$C$18</f>
        <v>50</v>
      </c>
      <c r="F53" s="18" t="n">
        <f aca="false">$C$18</f>
        <v>50</v>
      </c>
      <c r="G53" s="18" t="n">
        <f aca="false">$C$18</f>
        <v>50</v>
      </c>
      <c r="H53" s="18" t="n">
        <f aca="false">$C$18</f>
        <v>50</v>
      </c>
      <c r="I53" s="18" t="n">
        <f aca="false">$C$18</f>
        <v>50</v>
      </c>
    </row>
    <row r="54" customFormat="false" ht="15" hidden="false" customHeight="false" outlineLevel="0" collapsed="false">
      <c r="B54" s="2" t="s">
        <v>283</v>
      </c>
      <c r="C54" s="26" t="n">
        <f aca="false">C47*Inputs!$C$25/Simplified_Waterfall!$C$21</f>
        <v>0</v>
      </c>
      <c r="D54" s="26" t="n">
        <f aca="false">D47*Inputs!$C$25/Simplified_Waterfall!$C$21</f>
        <v>0</v>
      </c>
      <c r="E54" s="26" t="n">
        <f aca="false">E47*Inputs!$C$25/Simplified_Waterfall!$C$21</f>
        <v>0</v>
      </c>
      <c r="F54" s="26" t="n">
        <f aca="false">F47*Inputs!$C$25/Simplified_Waterfall!$C$21</f>
        <v>42.7722772277228</v>
      </c>
      <c r="G54" s="26" t="n">
        <f aca="false">G47*Inputs!$C$25/Simplified_Waterfall!$C$21</f>
        <v>121.980198019802</v>
      </c>
      <c r="H54" s="26" t="n">
        <f aca="false">H47*Inputs!$C$25/Simplified_Waterfall!$C$21</f>
        <v>201.188118811881</v>
      </c>
      <c r="I54" s="26" t="n">
        <f aca="false">I47*Inputs!$C$25/Simplified_Waterfall!$C$21</f>
        <v>280.39603960396</v>
      </c>
      <c r="J54" s="4" t="s">
        <v>284</v>
      </c>
    </row>
    <row r="55" customFormat="false" ht="15" hidden="false" customHeight="false" outlineLevel="0" collapsed="false">
      <c r="B55" s="2" t="s">
        <v>285</v>
      </c>
      <c r="C55" s="26" t="n">
        <f aca="false">C49-C39</f>
        <v>134.210526315789</v>
      </c>
      <c r="D55" s="26" t="n">
        <f aca="false">D49-D39</f>
        <v>71.0526315789473</v>
      </c>
      <c r="E55" s="26" t="n">
        <f aca="false">E49-E39</f>
        <v>7.8947368421052</v>
      </c>
      <c r="F55" s="26" t="n">
        <f aca="false">F49-F39</f>
        <v>-30</v>
      </c>
      <c r="G55" s="26" t="n">
        <f aca="false">G49-G39</f>
        <v>-30</v>
      </c>
      <c r="H55" s="26" t="n">
        <f aca="false">H49-H39</f>
        <v>-30</v>
      </c>
      <c r="I55" s="26" t="n">
        <f aca="false">I49-I39</f>
        <v>-30</v>
      </c>
      <c r="J55" s="4" t="s">
        <v>286</v>
      </c>
    </row>
    <row r="56" customFormat="false" ht="15" hidden="false" customHeight="false" outlineLevel="0" collapsed="false">
      <c r="B56" s="8" t="s">
        <v>287</v>
      </c>
      <c r="C56" s="33" t="n">
        <f aca="false">C44/Inputs!$C$58</f>
        <v>1</v>
      </c>
      <c r="D56" s="33" t="n">
        <f aca="false">D44/Inputs!$C$58</f>
        <v>1</v>
      </c>
      <c r="E56" s="33" t="n">
        <f aca="false">E44/Inputs!$C$58</f>
        <v>1</v>
      </c>
      <c r="F56" s="33" t="n">
        <f aca="false">F44/Inputs!$C$58</f>
        <v>1</v>
      </c>
      <c r="G56" s="33" t="n">
        <f aca="false">G44/Inputs!$C$58</f>
        <v>1</v>
      </c>
      <c r="H56" s="33" t="n">
        <f aca="false">H44/Inputs!$C$58</f>
        <v>1</v>
      </c>
      <c r="I56" s="33" t="n">
        <f aca="false">I44/Inputs!$C$58</f>
        <v>1</v>
      </c>
    </row>
    <row r="57" customFormat="false" ht="15" hidden="false" customHeight="false" outlineLevel="0" collapsed="false">
      <c r="B57" s="8" t="s">
        <v>151</v>
      </c>
      <c r="C57" s="28" t="n">
        <f aca="false">C44+C45+C46+C47+C48-C43</f>
        <v>0</v>
      </c>
      <c r="D57" s="28" t="n">
        <f aca="false">D44+D45+D46+D47+D48-D43</f>
        <v>0</v>
      </c>
      <c r="E57" s="28" t="n">
        <f aca="false">E44+E45+E46+E47+E48-E43</f>
        <v>0</v>
      </c>
      <c r="F57" s="28" t="n">
        <f aca="false">F44+F45+F46+F47+F48-F43</f>
        <v>0</v>
      </c>
      <c r="G57" s="28" t="n">
        <f aca="false">G44+G45+G46+G47+G48-G43</f>
        <v>0</v>
      </c>
      <c r="H57" s="28" t="n">
        <f aca="false">H44+H45+H46+H47+H48-H43</f>
        <v>0</v>
      </c>
      <c r="I57" s="28" t="n">
        <f aca="false">I44+I45+I46+I47+I48-I43</f>
        <v>0</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S8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58"/>
    <col collapsed="false" customWidth="true" hidden="false" outlineLevel="0" max="19" min="3" style="0" width="10"/>
    <col collapsed="false" customWidth="true" hidden="false" outlineLevel="0" max="20" min="20" style="0" width="11"/>
    <col collapsed="false" customWidth="true" hidden="false" outlineLevel="0" max="21" min="21" style="0" width="30"/>
    <col collapsed="false" customWidth="true" hidden="false" outlineLevel="0" max="39" min="22" style="0" width="11"/>
  </cols>
  <sheetData>
    <row r="1" customFormat="false" ht="6" hidden="false" customHeight="true" outlineLevel="0" collapsed="false"/>
    <row r="2" customFormat="false" ht="15" hidden="false" customHeight="false" outlineLevel="0" collapsed="false">
      <c r="B2" s="1" t="s">
        <v>288</v>
      </c>
    </row>
    <row r="3" customFormat="false" ht="15" hidden="false" customHeight="false" outlineLevel="0" collapsed="false">
      <c r="B3" s="4" t="s">
        <v>289</v>
      </c>
    </row>
    <row r="5" customFormat="false" ht="15" hidden="false" customHeight="false" outlineLevel="0" collapsed="false">
      <c r="B5" s="2" t="s">
        <v>290</v>
      </c>
    </row>
    <row r="6" customFormat="false" ht="15" hidden="false" customHeight="false" outlineLevel="0" collapsed="false">
      <c r="B6" s="5" t="s">
        <v>110</v>
      </c>
      <c r="C6" s="6" t="s">
        <v>20</v>
      </c>
      <c r="D6" s="7" t="s">
        <v>111</v>
      </c>
    </row>
    <row r="7" customFormat="false" ht="15" hidden="false" customHeight="false" outlineLevel="0" collapsed="false">
      <c r="B7" s="8" t="s">
        <v>291</v>
      </c>
      <c r="C7" s="18" t="n">
        <f aca="false">Inputs!$C$66*Inputs!$C$67</f>
        <v>210</v>
      </c>
    </row>
    <row r="8" customFormat="false" ht="15" hidden="false" customHeight="false" outlineLevel="0" collapsed="false">
      <c r="B8" s="19" t="s">
        <v>292</v>
      </c>
      <c r="C8" s="18" t="n">
        <f aca="false">Inputs!$C$68</f>
        <v>50</v>
      </c>
    </row>
    <row r="9" customFormat="false" ht="15" hidden="false" customHeight="false" outlineLevel="0" collapsed="false">
      <c r="B9" s="19" t="s">
        <v>293</v>
      </c>
      <c r="C9" s="18" t="n">
        <f aca="false">Inputs!$C$69*Inputs!$C$10</f>
        <v>33</v>
      </c>
    </row>
    <row r="10" customFormat="false" ht="15" hidden="false" customHeight="false" outlineLevel="0" collapsed="false">
      <c r="B10" s="19" t="s">
        <v>294</v>
      </c>
      <c r="C10" s="18" t="n">
        <f aca="false">Inputs!$C$70</f>
        <v>75</v>
      </c>
    </row>
    <row r="11" customFormat="false" ht="15" hidden="false" customHeight="false" outlineLevel="0" collapsed="false">
      <c r="B11" s="19" t="s">
        <v>295</v>
      </c>
      <c r="C11" s="18" t="n">
        <f aca="false">Inputs!$C$71</f>
        <v>60</v>
      </c>
    </row>
    <row r="12" customFormat="false" ht="15" hidden="false" customHeight="false" outlineLevel="0" collapsed="false">
      <c r="B12" s="22" t="s">
        <v>296</v>
      </c>
      <c r="C12" s="34" t="n">
        <f aca="false">SUM($C$8:$C$11)</f>
        <v>218</v>
      </c>
    </row>
    <row r="13" customFormat="false" ht="15" hidden="false" customHeight="false" outlineLevel="0" collapsed="false">
      <c r="B13" s="8" t="s">
        <v>297</v>
      </c>
      <c r="C13" s="29" t="n">
        <f aca="false">IF($C$12&gt;=$C$7,1,0)</f>
        <v>1</v>
      </c>
      <c r="D13" s="4" t="s">
        <v>298</v>
      </c>
    </row>
    <row r="14" customFormat="false" ht="15" hidden="false" customHeight="false" outlineLevel="0" collapsed="false">
      <c r="B14" s="8" t="s">
        <v>299</v>
      </c>
      <c r="C14" s="17" t="n">
        <f aca="false">Inputs!$C$7+Inputs!$C$73</f>
        <v>0.113</v>
      </c>
    </row>
    <row r="15" customFormat="false" ht="15" hidden="false" customHeight="false" outlineLevel="0" collapsed="false">
      <c r="B15" s="8" t="s">
        <v>300</v>
      </c>
      <c r="C15" s="18" t="n">
        <f aca="false">$C$7-Inputs!$C$72</f>
        <v>60</v>
      </c>
    </row>
    <row r="16" customFormat="false" ht="15" hidden="false" customHeight="false" outlineLevel="0" collapsed="false">
      <c r="B16" s="8" t="s">
        <v>301</v>
      </c>
      <c r="C16" s="35" t="n">
        <f aca="false">$C$7/Inputs!$C$72</f>
        <v>1.4</v>
      </c>
      <c r="D16" s="4" t="s">
        <v>302</v>
      </c>
    </row>
    <row r="17" customFormat="false" ht="15" hidden="false" customHeight="false" outlineLevel="0" collapsed="false">
      <c r="B17" s="8" t="s">
        <v>303</v>
      </c>
      <c r="C17" s="18" t="n">
        <f aca="false">Inputs!$C$10-Inputs!$C$66</f>
        <v>102</v>
      </c>
    </row>
    <row r="18" customFormat="false" ht="15" hidden="false" customHeight="false" outlineLevel="0" collapsed="false">
      <c r="B18" s="8" t="s">
        <v>304</v>
      </c>
      <c r="C18" s="25" t="n">
        <f aca="false">(Simplified_Waterfall!$C$9-(Inputs!$C$8+Inputs!$C$72))/$C$17</f>
        <v>7.40196078431373</v>
      </c>
    </row>
    <row r="19" customFormat="false" ht="15" hidden="false" customHeight="false" outlineLevel="0" collapsed="false">
      <c r="B19" s="8" t="s">
        <v>305</v>
      </c>
      <c r="C19" s="25" t="n">
        <f aca="false">Simplified_Waterfall!$C$19</f>
        <v>6.85606060606061</v>
      </c>
    </row>
    <row r="20" customFormat="false" ht="15" hidden="false" customHeight="false" outlineLevel="0" collapsed="false">
      <c r="B20" s="2" t="s">
        <v>306</v>
      </c>
      <c r="C20" s="24" t="n">
        <f aca="false">Inputs!$C$10-Simplified_Waterfall!$C$15-Inputs!$C$72*$C$14-Inputs!$C$11-Inputs!$C$12-Inputs!$C$13-Simplified_Waterfall!$C$16</f>
        <v>-48.05</v>
      </c>
    </row>
    <row r="22" customFormat="false" ht="15" hidden="false" customHeight="false" outlineLevel="0" collapsed="false">
      <c r="B22" s="2" t="s">
        <v>307</v>
      </c>
    </row>
    <row r="23" customFormat="false" ht="15" hidden="false" customHeight="false" outlineLevel="0" collapsed="false">
      <c r="B23" s="5" t="s">
        <v>27</v>
      </c>
      <c r="C23" s="6" t="s">
        <v>132</v>
      </c>
      <c r="D23" s="6" t="s">
        <v>133</v>
      </c>
      <c r="E23" s="6" t="s">
        <v>134</v>
      </c>
      <c r="F23" s="6" t="s">
        <v>135</v>
      </c>
      <c r="G23" s="6" t="s">
        <v>136</v>
      </c>
      <c r="H23" s="6" t="s">
        <v>137</v>
      </c>
      <c r="I23" s="6" t="s">
        <v>138</v>
      </c>
      <c r="J23" s="7" t="s">
        <v>111</v>
      </c>
    </row>
    <row r="24" customFormat="false" ht="15" hidden="false" customHeight="false" outlineLevel="0" collapsed="false">
      <c r="B24" s="2" t="s">
        <v>308</v>
      </c>
      <c r="C24" s="26" t="n">
        <f aca="false">Inputs!C38</f>
        <v>700</v>
      </c>
      <c r="D24" s="26" t="n">
        <f aca="false">Inputs!D38</f>
        <v>800</v>
      </c>
      <c r="E24" s="26" t="n">
        <f aca="false">Inputs!E38</f>
        <v>900</v>
      </c>
      <c r="F24" s="26" t="n">
        <f aca="false">Inputs!F38</f>
        <v>1000</v>
      </c>
      <c r="G24" s="26" t="n">
        <f aca="false">Inputs!G38</f>
        <v>1100</v>
      </c>
      <c r="H24" s="26" t="n">
        <f aca="false">Inputs!H38</f>
        <v>1200</v>
      </c>
      <c r="I24" s="26" t="n">
        <f aca="false">Inputs!I38</f>
        <v>1300</v>
      </c>
    </row>
    <row r="25" customFormat="false" ht="15" hidden="false" customHeight="false" outlineLevel="0" collapsed="false">
      <c r="B25" s="19" t="s">
        <v>309</v>
      </c>
      <c r="C25" s="18" t="n">
        <f aca="false">-$C$7</f>
        <v>-210</v>
      </c>
      <c r="D25" s="18" t="n">
        <f aca="false">-$C$7</f>
        <v>-210</v>
      </c>
      <c r="E25" s="18" t="n">
        <f aca="false">-$C$7</f>
        <v>-210</v>
      </c>
      <c r="F25" s="18" t="n">
        <f aca="false">-$C$7</f>
        <v>-210</v>
      </c>
      <c r="G25" s="18" t="n">
        <f aca="false">-$C$7</f>
        <v>-210</v>
      </c>
      <c r="H25" s="18" t="n">
        <f aca="false">-$C$7</f>
        <v>-210</v>
      </c>
      <c r="I25" s="18" t="n">
        <f aca="false">-$C$7</f>
        <v>-210</v>
      </c>
    </row>
    <row r="26" customFormat="false" ht="15" hidden="false" customHeight="false" outlineLevel="0" collapsed="false">
      <c r="B26" s="19" t="s">
        <v>310</v>
      </c>
      <c r="C26" s="18" t="n">
        <f aca="false">$C$15</f>
        <v>60</v>
      </c>
      <c r="D26" s="18" t="n">
        <f aca="false">$C$15</f>
        <v>60</v>
      </c>
      <c r="E26" s="18" t="n">
        <f aca="false">$C$15</f>
        <v>60</v>
      </c>
      <c r="F26" s="18" t="n">
        <f aca="false">$C$15</f>
        <v>60</v>
      </c>
      <c r="G26" s="18" t="n">
        <f aca="false">$C$15</f>
        <v>60</v>
      </c>
      <c r="H26" s="18" t="n">
        <f aca="false">$C$15</f>
        <v>60</v>
      </c>
      <c r="I26" s="18" t="n">
        <f aca="false">$C$15</f>
        <v>60</v>
      </c>
    </row>
    <row r="27" customFormat="false" ht="15" hidden="false" customHeight="false" outlineLevel="0" collapsed="false">
      <c r="B27" s="19" t="s">
        <v>311</v>
      </c>
      <c r="C27" s="18" t="n">
        <f aca="false">MAX(0,Inputs!$C$8+Inputs!$C$72-Inputs!$C$9)</f>
        <v>170</v>
      </c>
      <c r="D27" s="18" t="n">
        <f aca="false">MAX(0,Inputs!$C$8+Inputs!$C$72-Inputs!$C$9)</f>
        <v>170</v>
      </c>
      <c r="E27" s="18" t="n">
        <f aca="false">MAX(0,Inputs!$C$8+Inputs!$C$72-Inputs!$C$9)</f>
        <v>170</v>
      </c>
      <c r="F27" s="18" t="n">
        <f aca="false">MAX(0,Inputs!$C$8+Inputs!$C$72-Inputs!$C$9)</f>
        <v>170</v>
      </c>
      <c r="G27" s="18" t="n">
        <f aca="false">MAX(0,Inputs!$C$8+Inputs!$C$72-Inputs!$C$9)</f>
        <v>170</v>
      </c>
      <c r="H27" s="18" t="n">
        <f aca="false">MAX(0,Inputs!$C$8+Inputs!$C$72-Inputs!$C$9)</f>
        <v>170</v>
      </c>
      <c r="I27" s="18" t="n">
        <f aca="false">MAX(0,Inputs!$C$8+Inputs!$C$72-Inputs!$C$9)</f>
        <v>170</v>
      </c>
    </row>
    <row r="28" customFormat="false" ht="15" hidden="false" customHeight="false" outlineLevel="0" collapsed="false">
      <c r="B28" s="31" t="s">
        <v>312</v>
      </c>
      <c r="C28" s="36" t="n">
        <f aca="false">SUM(C24:C27)</f>
        <v>720</v>
      </c>
      <c r="D28" s="36" t="n">
        <f aca="false">SUM(D24:D27)</f>
        <v>820</v>
      </c>
      <c r="E28" s="36" t="n">
        <f aca="false">SUM(E24:E27)</f>
        <v>920</v>
      </c>
      <c r="F28" s="36" t="n">
        <f aca="false">SUM(F24:F27)</f>
        <v>1020</v>
      </c>
      <c r="G28" s="36" t="n">
        <f aca="false">SUM(G24:G27)</f>
        <v>1120</v>
      </c>
      <c r="H28" s="36" t="n">
        <f aca="false">SUM(H24:H27)</f>
        <v>1220</v>
      </c>
      <c r="I28" s="36" t="n">
        <f aca="false">SUM(I24:I27)</f>
        <v>1320</v>
      </c>
      <c r="J28" s="31"/>
    </row>
    <row r="29" customFormat="false" ht="15" hidden="false" customHeight="false" outlineLevel="0" collapsed="false">
      <c r="B29" s="8" t="s">
        <v>313</v>
      </c>
      <c r="C29" s="18" t="n">
        <f aca="false">MIN(MAX(0,C28-Simplified_Waterfall!$C$22),Simplified_Waterfall!$C$9)</f>
        <v>690</v>
      </c>
      <c r="D29" s="18" t="n">
        <f aca="false">MIN(MAX(0,D28-Simplified_Waterfall!$C$22),Simplified_Waterfall!$C$9)</f>
        <v>790</v>
      </c>
      <c r="E29" s="18" t="n">
        <f aca="false">MIN(MAX(0,E28-Simplified_Waterfall!$C$22),Simplified_Waterfall!$C$9)</f>
        <v>890</v>
      </c>
      <c r="F29" s="18" t="n">
        <f aca="false">MIN(MAX(0,F28-Simplified_Waterfall!$C$22),Simplified_Waterfall!$C$9)</f>
        <v>950</v>
      </c>
      <c r="G29" s="18" t="n">
        <f aca="false">MIN(MAX(0,G28-Simplified_Waterfall!$C$22),Simplified_Waterfall!$C$9)</f>
        <v>950</v>
      </c>
      <c r="H29" s="18" t="n">
        <f aca="false">MIN(MAX(0,H28-Simplified_Waterfall!$C$22),Simplified_Waterfall!$C$9)</f>
        <v>950</v>
      </c>
      <c r="I29" s="18" t="n">
        <f aca="false">MIN(MAX(0,I28-Simplified_Waterfall!$C$22),Simplified_Waterfall!$C$9)</f>
        <v>950</v>
      </c>
    </row>
    <row r="30" customFormat="false" ht="15" hidden="false" customHeight="false" outlineLevel="0" collapsed="false">
      <c r="B30" s="8" t="s">
        <v>314</v>
      </c>
      <c r="C30" s="18" t="n">
        <f aca="false">MIN(MAX(0,C24+Simplified_Waterfall!$C$23-Simplified_Waterfall!$C$22),Simplified_Waterfall!$C$9)</f>
        <v>690</v>
      </c>
      <c r="D30" s="18" t="n">
        <f aca="false">MIN(MAX(0,D24+Simplified_Waterfall!$C$23-Simplified_Waterfall!$C$22),Simplified_Waterfall!$C$9)</f>
        <v>790</v>
      </c>
      <c r="E30" s="18" t="n">
        <f aca="false">MIN(MAX(0,E24+Simplified_Waterfall!$C$23-Simplified_Waterfall!$C$22),Simplified_Waterfall!$C$9)</f>
        <v>890</v>
      </c>
      <c r="F30" s="18" t="n">
        <f aca="false">MIN(MAX(0,F24+Simplified_Waterfall!$C$23-Simplified_Waterfall!$C$22),Simplified_Waterfall!$C$9)</f>
        <v>950</v>
      </c>
      <c r="G30" s="18" t="n">
        <f aca="false">MIN(MAX(0,G24+Simplified_Waterfall!$C$23-Simplified_Waterfall!$C$22),Simplified_Waterfall!$C$9)</f>
        <v>950</v>
      </c>
      <c r="H30" s="18" t="n">
        <f aca="false">MIN(MAX(0,H24+Simplified_Waterfall!$C$23-Simplified_Waterfall!$C$22),Simplified_Waterfall!$C$9)</f>
        <v>950</v>
      </c>
      <c r="I30" s="18" t="n">
        <f aca="false">MIN(MAX(0,I24+Simplified_Waterfall!$C$23-Simplified_Waterfall!$C$22),Simplified_Waterfall!$C$9)</f>
        <v>950</v>
      </c>
    </row>
    <row r="31" customFormat="false" ht="15" hidden="false" customHeight="false" outlineLevel="0" collapsed="false">
      <c r="B31" s="2" t="s">
        <v>315</v>
      </c>
      <c r="C31" s="26" t="n">
        <f aca="false">C29-C30</f>
        <v>0</v>
      </c>
      <c r="D31" s="26" t="n">
        <f aca="false">D29-D30</f>
        <v>0</v>
      </c>
      <c r="E31" s="26" t="n">
        <f aca="false">E29-E30</f>
        <v>0</v>
      </c>
      <c r="F31" s="26" t="n">
        <f aca="false">F29-F30</f>
        <v>0</v>
      </c>
      <c r="G31" s="26" t="n">
        <f aca="false">G29-G30</f>
        <v>0</v>
      </c>
      <c r="H31" s="26" t="n">
        <f aca="false">H29-H30</f>
        <v>0</v>
      </c>
      <c r="I31" s="26" t="n">
        <f aca="false">I29-I30</f>
        <v>0</v>
      </c>
      <c r="J31" s="4" t="s">
        <v>316</v>
      </c>
    </row>
    <row r="33" customFormat="false" ht="15" hidden="false" customHeight="false" outlineLevel="0" collapsed="false">
      <c r="B33" s="2" t="s">
        <v>317</v>
      </c>
    </row>
    <row r="34" customFormat="false" ht="27" hidden="false" customHeight="true" outlineLevel="0" collapsed="false">
      <c r="B34" s="37" t="s">
        <v>318</v>
      </c>
      <c r="C34" s="38" t="s">
        <v>319</v>
      </c>
      <c r="D34" s="38" t="s">
        <v>320</v>
      </c>
      <c r="E34" s="38" t="s">
        <v>321</v>
      </c>
      <c r="F34" s="38" t="s">
        <v>322</v>
      </c>
      <c r="G34" s="38" t="s">
        <v>323</v>
      </c>
      <c r="H34" s="38" t="s">
        <v>324</v>
      </c>
      <c r="I34" s="38" t="s">
        <v>325</v>
      </c>
      <c r="J34" s="38" t="s">
        <v>326</v>
      </c>
      <c r="K34" s="38" t="s">
        <v>327</v>
      </c>
      <c r="L34" s="38" t="s">
        <v>328</v>
      </c>
      <c r="M34" s="38" t="s">
        <v>329</v>
      </c>
      <c r="N34" s="38" t="s">
        <v>330</v>
      </c>
      <c r="O34" s="38" t="s">
        <v>331</v>
      </c>
      <c r="P34" s="38" t="s">
        <v>332</v>
      </c>
      <c r="Q34" s="38" t="s">
        <v>333</v>
      </c>
      <c r="R34" s="38" t="s">
        <v>334</v>
      </c>
      <c r="S34" s="38" t="s">
        <v>335</v>
      </c>
    </row>
    <row r="35" customFormat="false" ht="15" hidden="false" customHeight="false" outlineLevel="0" collapsed="false">
      <c r="B35" s="39" t="n">
        <v>1</v>
      </c>
      <c r="C35" s="29" t="n">
        <f aca="false">IF(AND(B35&gt;=Inputs!$C$28,MOD(B35-Inputs!$C$28,(12/Inputs!$C$27))=0),1,0)</f>
        <v>0</v>
      </c>
      <c r="D35" s="20" t="n">
        <f aca="false">Inputs!$C$21</f>
        <v>900</v>
      </c>
      <c r="E35" s="21" t="n">
        <f aca="false">D35*Simplified_Waterfall!$C$8/12</f>
        <v>6.225</v>
      </c>
      <c r="F35" s="21" t="n">
        <f aca="false">Inputs!$C$21*Inputs!$C$23/12</f>
        <v>0.75</v>
      </c>
      <c r="G35" s="20" t="n">
        <f aca="false">Inputs!$C$15</f>
        <v>50</v>
      </c>
      <c r="H35" s="21" t="n">
        <f aca="false">G35*Simplified_Waterfall!$C$7/12</f>
        <v>0.335416666666667</v>
      </c>
      <c r="I35" s="21" t="n">
        <f aca="false">IF(G35&gt;0,(Inputs!$C$14-Inputs!$C$15)*Inputs!$C$17/12,0)</f>
        <v>0.03125</v>
      </c>
      <c r="J35" s="20" t="n">
        <f aca="false">IF(B35=Inputs!$C$20,G35,0)</f>
        <v>0</v>
      </c>
      <c r="K35" s="20" t="n">
        <f aca="false">C35*Inputs!$C$25*Inputs!$C$26/Inputs!$C$27</f>
        <v>0</v>
      </c>
      <c r="L35" s="21" t="n">
        <f aca="false">Inputs!$C$72*$C$14/12</f>
        <v>1.4125</v>
      </c>
      <c r="M35" s="21" t="n">
        <f aca="false">(Inputs!$C$10-Inputs!$C$11-Inputs!$C$12-Inputs!$C$13)/12</f>
        <v>7.16666666666667</v>
      </c>
      <c r="N35" s="20" t="n">
        <f aca="false">(Inputs!$C$8+Inputs!$C$72)+M35-E35-F35-H35-I35-J35-K35-L35</f>
        <v>193.4125</v>
      </c>
      <c r="O35" s="40" t="n">
        <f aca="false">1/(1+Simplified_Waterfall!$C$8/12)^B35</f>
        <v>0.993130844988827</v>
      </c>
      <c r="P35" s="40" t="n">
        <f aca="false">1/(1+Simplified_Waterfall!$C$7/12)^B35</f>
        <v>0.993336368527793</v>
      </c>
      <c r="Q35" s="21" t="n">
        <f aca="false">(E35+F35)*O35+(H35+I35+J35)*P35</f>
        <v>7.29131097892393</v>
      </c>
      <c r="R35" s="20" t="n">
        <f aca="false">D35-F35</f>
        <v>899.25</v>
      </c>
      <c r="S35" s="20" t="n">
        <f aca="false">G35-J35</f>
        <v>50</v>
      </c>
    </row>
    <row r="36" customFormat="false" ht="15" hidden="false" customHeight="false" outlineLevel="0" collapsed="false">
      <c r="B36" s="39" t="n">
        <v>2</v>
      </c>
      <c r="C36" s="29" t="n">
        <f aca="false">IF(AND(B36&gt;=Inputs!$C$28,MOD(B36-Inputs!$C$28,(12/Inputs!$C$27))=0),1,0)</f>
        <v>0</v>
      </c>
      <c r="D36" s="20" t="n">
        <f aca="false">R35</f>
        <v>899.25</v>
      </c>
      <c r="E36" s="21" t="n">
        <f aca="false">D36*Simplified_Waterfall!$C$8/12</f>
        <v>6.2198125</v>
      </c>
      <c r="F36" s="21" t="n">
        <f aca="false">Inputs!$C$21*Inputs!$C$23/12</f>
        <v>0.75</v>
      </c>
      <c r="G36" s="20" t="n">
        <f aca="false">S35</f>
        <v>50</v>
      </c>
      <c r="H36" s="21" t="n">
        <f aca="false">G36*Simplified_Waterfall!$C$7/12</f>
        <v>0.335416666666667</v>
      </c>
      <c r="I36" s="21" t="n">
        <f aca="false">IF(G36&gt;0,(Inputs!$C$14-Inputs!$C$15)*Inputs!$C$17/12,0)</f>
        <v>0.03125</v>
      </c>
      <c r="J36" s="20" t="n">
        <f aca="false">IF(B36=Inputs!$C$20,G36,0)</f>
        <v>0</v>
      </c>
      <c r="K36" s="20" t="n">
        <f aca="false">C36*Inputs!$C$25*Inputs!$C$26/Inputs!$C$27</f>
        <v>0</v>
      </c>
      <c r="L36" s="21" t="n">
        <f aca="false">Inputs!$C$72*$C$14/12</f>
        <v>1.4125</v>
      </c>
      <c r="M36" s="21" t="n">
        <f aca="false">(Inputs!$C$10-Inputs!$C$11-Inputs!$C$12-Inputs!$C$13)/12</f>
        <v>7.16666666666667</v>
      </c>
      <c r="N36" s="20" t="n">
        <f aca="false">N35+M36-E36-F36-H36-I36-J36-K36-L36</f>
        <v>191.8301875</v>
      </c>
      <c r="O36" s="40" t="n">
        <f aca="false">1/(1+Simplified_Waterfall!$C$8/12)^B36</f>
        <v>0.986308875268222</v>
      </c>
      <c r="P36" s="40" t="n">
        <f aca="false">1/(1+Simplified_Waterfall!$C$7/12)^B36</f>
        <v>0.986717141039983</v>
      </c>
      <c r="Q36" s="21" t="n">
        <f aca="false">(E36+F36)*O36+(H36+I36+J36)*P36</f>
        <v>7.23618421275339</v>
      </c>
      <c r="R36" s="20" t="n">
        <f aca="false">D36-F36</f>
        <v>898.5</v>
      </c>
      <c r="S36" s="20" t="n">
        <f aca="false">G36-J36</f>
        <v>50</v>
      </c>
    </row>
    <row r="37" customFormat="false" ht="15" hidden="false" customHeight="false" outlineLevel="0" collapsed="false">
      <c r="B37" s="39" t="n">
        <v>3</v>
      </c>
      <c r="C37" s="29" t="n">
        <f aca="false">IF(AND(B37&gt;=Inputs!$C$28,MOD(B37-Inputs!$C$28,(12/Inputs!$C$27))=0),1,0)</f>
        <v>1</v>
      </c>
      <c r="D37" s="20" t="n">
        <f aca="false">R36</f>
        <v>898.5</v>
      </c>
      <c r="E37" s="21" t="n">
        <f aca="false">D37*Simplified_Waterfall!$C$8/12</f>
        <v>6.214625</v>
      </c>
      <c r="F37" s="21" t="n">
        <f aca="false">Inputs!$C$21*Inputs!$C$23/12</f>
        <v>0.75</v>
      </c>
      <c r="G37" s="20" t="n">
        <f aca="false">S36</f>
        <v>50</v>
      </c>
      <c r="H37" s="21" t="n">
        <f aca="false">G37*Simplified_Waterfall!$C$7/12</f>
        <v>0.335416666666667</v>
      </c>
      <c r="I37" s="21" t="n">
        <f aca="false">IF(G37&gt;0,(Inputs!$C$14-Inputs!$C$15)*Inputs!$C$17/12,0)</f>
        <v>0.03125</v>
      </c>
      <c r="J37" s="20" t="n">
        <f aca="false">IF(B37=Inputs!$C$20,G37,0)</f>
        <v>0</v>
      </c>
      <c r="K37" s="20" t="n">
        <f aca="false">C37*Inputs!$C$25*Inputs!$C$26/Inputs!$C$27</f>
        <v>14.5</v>
      </c>
      <c r="L37" s="21" t="n">
        <f aca="false">Inputs!$C$72*$C$14/12</f>
        <v>1.4125</v>
      </c>
      <c r="M37" s="21" t="n">
        <f aca="false">(Inputs!$C$10-Inputs!$C$11-Inputs!$C$12-Inputs!$C$13)/12</f>
        <v>7.16666666666667</v>
      </c>
      <c r="N37" s="20" t="n">
        <f aca="false">N36+M37-E37-F37-H37-I37-J37-K37-L37</f>
        <v>175.7530625</v>
      </c>
      <c r="O37" s="40" t="n">
        <f aca="false">1/(1+Simplified_Waterfall!$C$8/12)^B37</f>
        <v>0.979533766715109</v>
      </c>
      <c r="P37" s="40" t="n">
        <f aca="false">1/(1+Simplified_Waterfall!$C$7/12)^B37</f>
        <v>0.980142021644783</v>
      </c>
      <c r="Q37" s="21" t="n">
        <f aca="false">(E37+F37)*O37+(H37+I37+J37)*P37</f>
        <v>7.18147076794464</v>
      </c>
      <c r="R37" s="20" t="n">
        <f aca="false">D37-F37</f>
        <v>897.75</v>
      </c>
      <c r="S37" s="20" t="n">
        <f aca="false">G37-J37</f>
        <v>50</v>
      </c>
    </row>
    <row r="38" customFormat="false" ht="15" hidden="false" customHeight="false" outlineLevel="0" collapsed="false">
      <c r="B38" s="39" t="n">
        <v>4</v>
      </c>
      <c r="C38" s="29" t="n">
        <f aca="false">IF(AND(B38&gt;=Inputs!$C$28,MOD(B38-Inputs!$C$28,(12/Inputs!$C$27))=0),1,0)</f>
        <v>0</v>
      </c>
      <c r="D38" s="20" t="n">
        <f aca="false">R37</f>
        <v>897.75</v>
      </c>
      <c r="E38" s="21" t="n">
        <f aca="false">D38*Simplified_Waterfall!$C$8/12</f>
        <v>6.2094375</v>
      </c>
      <c r="F38" s="21" t="n">
        <f aca="false">Inputs!$C$21*Inputs!$C$23/12</f>
        <v>0.75</v>
      </c>
      <c r="G38" s="20" t="n">
        <f aca="false">S37</f>
        <v>50</v>
      </c>
      <c r="H38" s="21" t="n">
        <f aca="false">G38*Simplified_Waterfall!$C$7/12</f>
        <v>0.335416666666667</v>
      </c>
      <c r="I38" s="21" t="n">
        <f aca="false">IF(G38&gt;0,(Inputs!$C$14-Inputs!$C$15)*Inputs!$C$17/12,0)</f>
        <v>0.03125</v>
      </c>
      <c r="J38" s="20" t="n">
        <f aca="false">IF(B38=Inputs!$C$20,G38,0)</f>
        <v>0</v>
      </c>
      <c r="K38" s="20" t="n">
        <f aca="false">C38*Inputs!$C$25*Inputs!$C$26/Inputs!$C$27</f>
        <v>0</v>
      </c>
      <c r="L38" s="21" t="n">
        <f aca="false">Inputs!$C$72*$C$14/12</f>
        <v>1.4125</v>
      </c>
      <c r="M38" s="21" t="n">
        <f aca="false">(Inputs!$C$10-Inputs!$C$11-Inputs!$C$12-Inputs!$C$13)/12</f>
        <v>7.16666666666667</v>
      </c>
      <c r="N38" s="20" t="n">
        <f aca="false">N37+M38-E38-F38-H38-I38-J38-K38-L38</f>
        <v>174.181125</v>
      </c>
      <c r="O38" s="40" t="n">
        <f aca="false">1/(1+Simplified_Waterfall!$C$8/12)^B38</f>
        <v>0.972805197432865</v>
      </c>
      <c r="P38" s="40" t="n">
        <f aca="false">1/(1+Simplified_Waterfall!$C$7/12)^B38</f>
        <v>0.973610716422118</v>
      </c>
      <c r="Q38" s="21" t="n">
        <f aca="false">(E38+F38)*O38+(H38+I38+J38)*P38</f>
        <v>7.12716756723063</v>
      </c>
      <c r="R38" s="20" t="n">
        <f aca="false">D38-F38</f>
        <v>897</v>
      </c>
      <c r="S38" s="20" t="n">
        <f aca="false">G38-J38</f>
        <v>50</v>
      </c>
    </row>
    <row r="39" customFormat="false" ht="15" hidden="false" customHeight="false" outlineLevel="0" collapsed="false">
      <c r="B39" s="39" t="n">
        <v>5</v>
      </c>
      <c r="C39" s="29" t="n">
        <f aca="false">IF(AND(B39&gt;=Inputs!$C$28,MOD(B39-Inputs!$C$28,(12/Inputs!$C$27))=0),1,0)</f>
        <v>0</v>
      </c>
      <c r="D39" s="20" t="n">
        <f aca="false">R38</f>
        <v>897</v>
      </c>
      <c r="E39" s="21" t="n">
        <f aca="false">D39*Simplified_Waterfall!$C$8/12</f>
        <v>6.20425</v>
      </c>
      <c r="F39" s="21" t="n">
        <f aca="false">Inputs!$C$21*Inputs!$C$23/12</f>
        <v>0.75</v>
      </c>
      <c r="G39" s="20" t="n">
        <f aca="false">S38</f>
        <v>50</v>
      </c>
      <c r="H39" s="21" t="n">
        <f aca="false">G39*Simplified_Waterfall!$C$7/12</f>
        <v>0.335416666666667</v>
      </c>
      <c r="I39" s="21" t="n">
        <f aca="false">IF(G39&gt;0,(Inputs!$C$14-Inputs!$C$15)*Inputs!$C$17/12,0)</f>
        <v>0.03125</v>
      </c>
      <c r="J39" s="20" t="n">
        <f aca="false">IF(B39=Inputs!$C$20,G39,0)</f>
        <v>0</v>
      </c>
      <c r="K39" s="20" t="n">
        <f aca="false">C39*Inputs!$C$25*Inputs!$C$26/Inputs!$C$27</f>
        <v>0</v>
      </c>
      <c r="L39" s="21" t="n">
        <f aca="false">Inputs!$C$72*$C$14/12</f>
        <v>1.4125</v>
      </c>
      <c r="M39" s="21" t="n">
        <f aca="false">(Inputs!$C$10-Inputs!$C$11-Inputs!$C$12-Inputs!$C$13)/12</f>
        <v>7.16666666666667</v>
      </c>
      <c r="N39" s="20" t="n">
        <f aca="false">N38+M39-E39-F39-H39-I39-J39-K39-L39</f>
        <v>172.614375</v>
      </c>
      <c r="O39" s="40" t="n">
        <f aca="false">1/(1+Simplified_Waterfall!$C$8/12)^B39</f>
        <v>0.966122847736024</v>
      </c>
      <c r="P39" s="40" t="n">
        <f aca="false">1/(1+Simplified_Waterfall!$C$7/12)^B39</f>
        <v>0.967122933410489</v>
      </c>
      <c r="Q39" s="21" t="n">
        <f aca="false">(E39+F39)*O39+(H39+I39+J39)*P39</f>
        <v>7.07327155611876</v>
      </c>
      <c r="R39" s="20" t="n">
        <f aca="false">D39-F39</f>
        <v>896.25</v>
      </c>
      <c r="S39" s="20" t="n">
        <f aca="false">G39-J39</f>
        <v>50</v>
      </c>
    </row>
    <row r="40" customFormat="false" ht="15" hidden="false" customHeight="false" outlineLevel="0" collapsed="false">
      <c r="B40" s="39" t="n">
        <v>6</v>
      </c>
      <c r="C40" s="29" t="n">
        <f aca="false">IF(AND(B40&gt;=Inputs!$C$28,MOD(B40-Inputs!$C$28,(12/Inputs!$C$27))=0),1,0)</f>
        <v>0</v>
      </c>
      <c r="D40" s="20" t="n">
        <f aca="false">R39</f>
        <v>896.25</v>
      </c>
      <c r="E40" s="21" t="n">
        <f aca="false">D40*Simplified_Waterfall!$C$8/12</f>
        <v>6.1990625</v>
      </c>
      <c r="F40" s="21" t="n">
        <f aca="false">Inputs!$C$21*Inputs!$C$23/12</f>
        <v>0.75</v>
      </c>
      <c r="G40" s="20" t="n">
        <f aca="false">S39</f>
        <v>50</v>
      </c>
      <c r="H40" s="21" t="n">
        <f aca="false">G40*Simplified_Waterfall!$C$7/12</f>
        <v>0.335416666666667</v>
      </c>
      <c r="I40" s="21" t="n">
        <f aca="false">IF(G40&gt;0,(Inputs!$C$14-Inputs!$C$15)*Inputs!$C$17/12,0)</f>
        <v>0.03125</v>
      </c>
      <c r="J40" s="20" t="n">
        <f aca="false">IF(B40=Inputs!$C$20,G40,0)</f>
        <v>0</v>
      </c>
      <c r="K40" s="20" t="n">
        <f aca="false">C40*Inputs!$C$25*Inputs!$C$26/Inputs!$C$27</f>
        <v>0</v>
      </c>
      <c r="L40" s="21" t="n">
        <f aca="false">Inputs!$C$72*$C$14/12</f>
        <v>1.4125</v>
      </c>
      <c r="M40" s="21" t="n">
        <f aca="false">(Inputs!$C$10-Inputs!$C$11-Inputs!$C$12-Inputs!$C$13)/12</f>
        <v>7.16666666666667</v>
      </c>
      <c r="N40" s="20" t="n">
        <f aca="false">N39+M40-E40-F40-H40-I40-J40-K40-L40</f>
        <v>171.0528125</v>
      </c>
      <c r="O40" s="40" t="n">
        <f aca="false">1/(1+Simplified_Waterfall!$C$8/12)^B40</f>
        <v>0.95948640013509</v>
      </c>
      <c r="P40" s="40" t="n">
        <f aca="false">1/(1+Simplified_Waterfall!$C$7/12)^B40</f>
        <v>0.960678382593921</v>
      </c>
      <c r="Q40" s="21" t="n">
        <f aca="false">(E40+F40)*O40+(H40+I40+J40)*P40</f>
        <v>7.01977970272319</v>
      </c>
      <c r="R40" s="20" t="n">
        <f aca="false">D40-F40</f>
        <v>895.5</v>
      </c>
      <c r="S40" s="20" t="n">
        <f aca="false">G40-J40</f>
        <v>50</v>
      </c>
    </row>
    <row r="41" customFormat="false" ht="15" hidden="false" customHeight="false" outlineLevel="0" collapsed="false">
      <c r="B41" s="39" t="n">
        <v>7</v>
      </c>
      <c r="C41" s="29" t="n">
        <f aca="false">IF(AND(B41&gt;=Inputs!$C$28,MOD(B41-Inputs!$C$28,(12/Inputs!$C$27))=0),1,0)</f>
        <v>0</v>
      </c>
      <c r="D41" s="20" t="n">
        <f aca="false">R40</f>
        <v>895.5</v>
      </c>
      <c r="E41" s="21" t="n">
        <f aca="false">D41*Simplified_Waterfall!$C$8/12</f>
        <v>6.193875</v>
      </c>
      <c r="F41" s="21" t="n">
        <f aca="false">Inputs!$C$21*Inputs!$C$23/12</f>
        <v>0.75</v>
      </c>
      <c r="G41" s="20" t="n">
        <f aca="false">S40</f>
        <v>50</v>
      </c>
      <c r="H41" s="21" t="n">
        <f aca="false">G41*Simplified_Waterfall!$C$7/12</f>
        <v>0.335416666666667</v>
      </c>
      <c r="I41" s="21" t="n">
        <f aca="false">IF(G41&gt;0,(Inputs!$C$14-Inputs!$C$15)*Inputs!$C$17/12,0)</f>
        <v>0.03125</v>
      </c>
      <c r="J41" s="20" t="n">
        <f aca="false">IF(B41=Inputs!$C$20,G41,0)</f>
        <v>0</v>
      </c>
      <c r="K41" s="20" t="n">
        <f aca="false">C41*Inputs!$C$25*Inputs!$C$26/Inputs!$C$27</f>
        <v>0</v>
      </c>
      <c r="L41" s="21" t="n">
        <f aca="false">Inputs!$C$72*$C$14/12</f>
        <v>1.4125</v>
      </c>
      <c r="M41" s="21" t="n">
        <f aca="false">(Inputs!$C$10-Inputs!$C$11-Inputs!$C$12-Inputs!$C$13)/12</f>
        <v>7.16666666666667</v>
      </c>
      <c r="N41" s="20" t="n">
        <f aca="false">N40+M41-E41-F41-H41-I41-J41-K41-L41</f>
        <v>169.4964375</v>
      </c>
      <c r="O41" s="40" t="n">
        <f aca="false">1/(1+Simplified_Waterfall!$C$8/12)^B41</f>
        <v>0.95289553932145</v>
      </c>
      <c r="P41" s="40" t="n">
        <f aca="false">1/(1+Simplified_Waterfall!$C$7/12)^B41</f>
        <v>0.954276775888999</v>
      </c>
      <c r="Q41" s="21" t="n">
        <f aca="false">(E41+F41)*O41+(H41+I41+J41)*P41</f>
        <v>6.96668899759837</v>
      </c>
      <c r="R41" s="20" t="n">
        <f aca="false">D41-F41</f>
        <v>894.75</v>
      </c>
      <c r="S41" s="20" t="n">
        <f aca="false">G41-J41</f>
        <v>50</v>
      </c>
    </row>
    <row r="42" customFormat="false" ht="15" hidden="false" customHeight="false" outlineLevel="0" collapsed="false">
      <c r="B42" s="39" t="n">
        <v>8</v>
      </c>
      <c r="C42" s="29" t="n">
        <f aca="false">IF(AND(B42&gt;=Inputs!$C$28,MOD(B42-Inputs!$C$28,(12/Inputs!$C$27))=0),1,0)</f>
        <v>0</v>
      </c>
      <c r="D42" s="20" t="n">
        <f aca="false">R41</f>
        <v>894.75</v>
      </c>
      <c r="E42" s="21" t="n">
        <f aca="false">D42*Simplified_Waterfall!$C$8/12</f>
        <v>6.1886875</v>
      </c>
      <c r="F42" s="21" t="n">
        <f aca="false">Inputs!$C$21*Inputs!$C$23/12</f>
        <v>0.75</v>
      </c>
      <c r="G42" s="20" t="n">
        <f aca="false">S41</f>
        <v>50</v>
      </c>
      <c r="H42" s="21" t="n">
        <f aca="false">G42*Simplified_Waterfall!$C$7/12</f>
        <v>0.335416666666667</v>
      </c>
      <c r="I42" s="21" t="n">
        <f aca="false">IF(G42&gt;0,(Inputs!$C$14-Inputs!$C$15)*Inputs!$C$17/12,0)</f>
        <v>0.03125</v>
      </c>
      <c r="J42" s="20" t="n">
        <f aca="false">IF(B42=Inputs!$C$20,G42,0)</f>
        <v>0</v>
      </c>
      <c r="K42" s="20" t="n">
        <f aca="false">C42*Inputs!$C$25*Inputs!$C$26/Inputs!$C$27</f>
        <v>0</v>
      </c>
      <c r="L42" s="21" t="n">
        <f aca="false">Inputs!$C$72*$C$14/12</f>
        <v>1.4125</v>
      </c>
      <c r="M42" s="21" t="n">
        <f aca="false">(Inputs!$C$10-Inputs!$C$11-Inputs!$C$12-Inputs!$C$13)/12</f>
        <v>7.16666666666667</v>
      </c>
      <c r="N42" s="20" t="n">
        <f aca="false">N41+M42-E42-F42-H42-I42-J42-K42-L42</f>
        <v>167.94525</v>
      </c>
      <c r="O42" s="40" t="n">
        <f aca="false">1/(1+Simplified_Waterfall!$C$8/12)^B42</f>
        <v>0.946349952152396</v>
      </c>
      <c r="P42" s="40" t="n">
        <f aca="false">1/(1+Simplified_Waterfall!$C$7/12)^B42</f>
        <v>0.947917827131989</v>
      </c>
      <c r="Q42" s="21" t="n">
        <f aca="false">(E42+F42)*O42+(H42+I42+J42)*P42</f>
        <v>6.91399645357382</v>
      </c>
      <c r="R42" s="20" t="n">
        <f aca="false">D42-F42</f>
        <v>894</v>
      </c>
      <c r="S42" s="20" t="n">
        <f aca="false">G42-J42</f>
        <v>50</v>
      </c>
    </row>
    <row r="43" customFormat="false" ht="15" hidden="false" customHeight="false" outlineLevel="0" collapsed="false">
      <c r="B43" s="39" t="n">
        <v>9</v>
      </c>
      <c r="C43" s="29" t="n">
        <f aca="false">IF(AND(B43&gt;=Inputs!$C$28,MOD(B43-Inputs!$C$28,(12/Inputs!$C$27))=0),1,0)</f>
        <v>1</v>
      </c>
      <c r="D43" s="20" t="n">
        <f aca="false">R42</f>
        <v>894</v>
      </c>
      <c r="E43" s="21" t="n">
        <f aca="false">D43*Simplified_Waterfall!$C$8/12</f>
        <v>6.1835</v>
      </c>
      <c r="F43" s="21" t="n">
        <f aca="false">Inputs!$C$21*Inputs!$C$23/12</f>
        <v>0.75</v>
      </c>
      <c r="G43" s="20" t="n">
        <f aca="false">S42</f>
        <v>50</v>
      </c>
      <c r="H43" s="21" t="n">
        <f aca="false">G43*Simplified_Waterfall!$C$7/12</f>
        <v>0.335416666666667</v>
      </c>
      <c r="I43" s="21" t="n">
        <f aca="false">IF(G43&gt;0,(Inputs!$C$14-Inputs!$C$15)*Inputs!$C$17/12,0)</f>
        <v>0.03125</v>
      </c>
      <c r="J43" s="20" t="n">
        <f aca="false">IF(B43=Inputs!$C$20,G43,0)</f>
        <v>0</v>
      </c>
      <c r="K43" s="20" t="n">
        <f aca="false">C43*Inputs!$C$25*Inputs!$C$26/Inputs!$C$27</f>
        <v>14.5</v>
      </c>
      <c r="L43" s="21" t="n">
        <f aca="false">Inputs!$C$72*$C$14/12</f>
        <v>1.4125</v>
      </c>
      <c r="M43" s="21" t="n">
        <f aca="false">(Inputs!$C$10-Inputs!$C$11-Inputs!$C$12-Inputs!$C$13)/12</f>
        <v>7.16666666666667</v>
      </c>
      <c r="N43" s="20" t="n">
        <f aca="false">N42+M43-E43-F43-H43-I43-J43-K43-L43</f>
        <v>151.89925</v>
      </c>
      <c r="O43" s="40" t="n">
        <f aca="false">1/(1+Simplified_Waterfall!$C$8/12)^B43</f>
        <v>0.939849327636245</v>
      </c>
      <c r="P43" s="40" t="n">
        <f aca="false">1/(1+Simplified_Waterfall!$C$7/12)^B43</f>
        <v>0.941601252066046</v>
      </c>
      <c r="Q43" s="21" t="n">
        <f aca="false">(E43+F43)*O43+(H43+I43+J43)*P43</f>
        <v>6.86169910559012</v>
      </c>
      <c r="R43" s="20" t="n">
        <f aca="false">D43-F43</f>
        <v>893.25</v>
      </c>
      <c r="S43" s="20" t="n">
        <f aca="false">G43-J43</f>
        <v>50</v>
      </c>
    </row>
    <row r="44" customFormat="false" ht="15" hidden="false" customHeight="false" outlineLevel="0" collapsed="false">
      <c r="B44" s="39" t="n">
        <v>10</v>
      </c>
      <c r="C44" s="29" t="n">
        <f aca="false">IF(AND(B44&gt;=Inputs!$C$28,MOD(B44-Inputs!$C$28,(12/Inputs!$C$27))=0),1,0)</f>
        <v>0</v>
      </c>
      <c r="D44" s="20" t="n">
        <f aca="false">R43</f>
        <v>893.25</v>
      </c>
      <c r="E44" s="21" t="n">
        <f aca="false">D44*Simplified_Waterfall!$C$8/12</f>
        <v>6.1783125</v>
      </c>
      <c r="F44" s="21" t="n">
        <f aca="false">Inputs!$C$21*Inputs!$C$23/12</f>
        <v>0.75</v>
      </c>
      <c r="G44" s="20" t="n">
        <f aca="false">S43</f>
        <v>50</v>
      </c>
      <c r="H44" s="21" t="n">
        <f aca="false">G44*Simplified_Waterfall!$C$7/12</f>
        <v>0.335416666666667</v>
      </c>
      <c r="I44" s="21" t="n">
        <f aca="false">IF(G44&gt;0,(Inputs!$C$14-Inputs!$C$15)*Inputs!$C$17/12,0)</f>
        <v>0.03125</v>
      </c>
      <c r="J44" s="20" t="n">
        <f aca="false">IF(B44=Inputs!$C$20,G44,0)</f>
        <v>0</v>
      </c>
      <c r="K44" s="20" t="n">
        <f aca="false">C44*Inputs!$C$25*Inputs!$C$26/Inputs!$C$27</f>
        <v>0</v>
      </c>
      <c r="L44" s="21" t="n">
        <f aca="false">Inputs!$C$72*$C$14/12</f>
        <v>1.4125</v>
      </c>
      <c r="M44" s="21" t="n">
        <f aca="false">(Inputs!$C$10-Inputs!$C$11-Inputs!$C$12-Inputs!$C$13)/12</f>
        <v>7.16666666666667</v>
      </c>
      <c r="N44" s="20" t="n">
        <f aca="false">N43+M44-E44-F44-H44-I44-J44-K44-L44</f>
        <v>150.3584375</v>
      </c>
      <c r="O44" s="40" t="n">
        <f aca="false">1/(1+Simplified_Waterfall!$C$8/12)^B44</f>
        <v>0.933393356917565</v>
      </c>
      <c r="P44" s="40" t="n">
        <f aca="false">1/(1+Simplified_Waterfall!$C$7/12)^B44</f>
        <v>0.935326768328509</v>
      </c>
      <c r="Q44" s="21" t="n">
        <f aca="false">(E44+F44)*O44+(H44+I44+J44)*P44</f>
        <v>6.80979401053605</v>
      </c>
      <c r="R44" s="20" t="n">
        <f aca="false">D44-F44</f>
        <v>892.5</v>
      </c>
      <c r="S44" s="20" t="n">
        <f aca="false">G44-J44</f>
        <v>50</v>
      </c>
    </row>
    <row r="45" customFormat="false" ht="15" hidden="false" customHeight="false" outlineLevel="0" collapsed="false">
      <c r="B45" s="39" t="n">
        <v>11</v>
      </c>
      <c r="C45" s="29" t="n">
        <f aca="false">IF(AND(B45&gt;=Inputs!$C$28,MOD(B45-Inputs!$C$28,(12/Inputs!$C$27))=0),1,0)</f>
        <v>0</v>
      </c>
      <c r="D45" s="20" t="n">
        <f aca="false">R44</f>
        <v>892.5</v>
      </c>
      <c r="E45" s="21" t="n">
        <f aca="false">D45*Simplified_Waterfall!$C$8/12</f>
        <v>6.173125</v>
      </c>
      <c r="F45" s="21" t="n">
        <f aca="false">Inputs!$C$21*Inputs!$C$23/12</f>
        <v>0.75</v>
      </c>
      <c r="G45" s="20" t="n">
        <f aca="false">S44</f>
        <v>50</v>
      </c>
      <c r="H45" s="21" t="n">
        <f aca="false">G45*Simplified_Waterfall!$C$7/12</f>
        <v>0.335416666666667</v>
      </c>
      <c r="I45" s="21" t="n">
        <f aca="false">IF(G45&gt;0,(Inputs!$C$14-Inputs!$C$15)*Inputs!$C$17/12,0)</f>
        <v>0.03125</v>
      </c>
      <c r="J45" s="20" t="n">
        <f aca="false">IF(B45=Inputs!$C$20,G45,0)</f>
        <v>0</v>
      </c>
      <c r="K45" s="20" t="n">
        <f aca="false">C45*Inputs!$C$25*Inputs!$C$26/Inputs!$C$27</f>
        <v>0</v>
      </c>
      <c r="L45" s="21" t="n">
        <f aca="false">Inputs!$C$72*$C$14/12</f>
        <v>1.4125</v>
      </c>
      <c r="M45" s="21" t="n">
        <f aca="false">(Inputs!$C$10-Inputs!$C$11-Inputs!$C$12-Inputs!$C$13)/12</f>
        <v>7.16666666666667</v>
      </c>
      <c r="N45" s="20" t="n">
        <f aca="false">N44+M45-E45-F45-H45-I45-J45-K45-L45</f>
        <v>148.8228125</v>
      </c>
      <c r="O45" s="40" t="n">
        <f aca="false">1/(1+Simplified_Waterfall!$C$8/12)^B45</f>
        <v>0.9269817332625</v>
      </c>
      <c r="P45" s="40" t="n">
        <f aca="false">1/(1+Simplified_Waterfall!$C$7/12)^B45</f>
        <v>0.929094095438277</v>
      </c>
      <c r="Q45" s="21" t="n">
        <f aca="false">(E45+F45)*O45+(H45+I45+J45)*P45</f>
        <v>6.75827824708698</v>
      </c>
      <c r="R45" s="20" t="n">
        <f aca="false">D45-F45</f>
        <v>891.75</v>
      </c>
      <c r="S45" s="20" t="n">
        <f aca="false">G45-J45</f>
        <v>50</v>
      </c>
    </row>
    <row r="46" customFormat="false" ht="15" hidden="false" customHeight="false" outlineLevel="0" collapsed="false">
      <c r="B46" s="39" t="n">
        <v>12</v>
      </c>
      <c r="C46" s="29" t="n">
        <f aca="false">IF(AND(B46&gt;=Inputs!$C$28,MOD(B46-Inputs!$C$28,(12/Inputs!$C$27))=0),1,0)</f>
        <v>0</v>
      </c>
      <c r="D46" s="20" t="n">
        <f aca="false">R45</f>
        <v>891.75</v>
      </c>
      <c r="E46" s="21" t="n">
        <f aca="false">D46*Simplified_Waterfall!$C$8/12</f>
        <v>6.1679375</v>
      </c>
      <c r="F46" s="21" t="n">
        <f aca="false">Inputs!$C$21*Inputs!$C$23/12</f>
        <v>0.75</v>
      </c>
      <c r="G46" s="20" t="n">
        <f aca="false">S45</f>
        <v>50</v>
      </c>
      <c r="H46" s="21" t="n">
        <f aca="false">G46*Simplified_Waterfall!$C$7/12</f>
        <v>0.335416666666667</v>
      </c>
      <c r="I46" s="21" t="n">
        <f aca="false">IF(G46&gt;0,(Inputs!$C$14-Inputs!$C$15)*Inputs!$C$17/12,0)</f>
        <v>0.03125</v>
      </c>
      <c r="J46" s="20" t="n">
        <f aca="false">IF(B46=Inputs!$C$20,G46,0)</f>
        <v>0</v>
      </c>
      <c r="K46" s="20" t="n">
        <f aca="false">C46*Inputs!$C$25*Inputs!$C$26/Inputs!$C$27</f>
        <v>0</v>
      </c>
      <c r="L46" s="21" t="n">
        <f aca="false">Inputs!$C$72*$C$14/12</f>
        <v>1.4125</v>
      </c>
      <c r="M46" s="21" t="n">
        <f aca="false">(Inputs!$C$10-Inputs!$C$11-Inputs!$C$12-Inputs!$C$13)/12</f>
        <v>7.16666666666667</v>
      </c>
      <c r="N46" s="20" t="n">
        <f aca="false">N45+M46-E46-F46-H46-I46-J46-K46-L46</f>
        <v>147.292375</v>
      </c>
      <c r="O46" s="40" t="n">
        <f aca="false">1/(1+Simplified_Waterfall!$C$8/12)^B46</f>
        <v>0.920614152044194</v>
      </c>
      <c r="P46" s="40" t="n">
        <f aca="false">1/(1+Simplified_Waterfall!$C$7/12)^B46</f>
        <v>0.922902954783273</v>
      </c>
      <c r="Q46" s="21" t="n">
        <f aca="false">(E46+F46)*O46+(H46+I46+J46)*P46</f>
        <v>6.70714891554443</v>
      </c>
      <c r="R46" s="20" t="n">
        <f aca="false">D46-F46</f>
        <v>891</v>
      </c>
      <c r="S46" s="20" t="n">
        <f aca="false">G46-J46</f>
        <v>50</v>
      </c>
    </row>
    <row r="47" customFormat="false" ht="15" hidden="false" customHeight="false" outlineLevel="0" collapsed="false">
      <c r="B47" s="39" t="n">
        <v>13</v>
      </c>
      <c r="C47" s="29" t="n">
        <f aca="false">IF(AND(B47&gt;=Inputs!$C$28,MOD(B47-Inputs!$C$28,(12/Inputs!$C$27))=0),1,0)</f>
        <v>0</v>
      </c>
      <c r="D47" s="20" t="n">
        <f aca="false">R46</f>
        <v>891</v>
      </c>
      <c r="E47" s="21" t="n">
        <f aca="false">D47*Simplified_Waterfall!$C$8/12</f>
        <v>6.16275</v>
      </c>
      <c r="F47" s="21" t="n">
        <f aca="false">Inputs!$C$21*Inputs!$C$23/12</f>
        <v>0.75</v>
      </c>
      <c r="G47" s="20" t="n">
        <f aca="false">S46</f>
        <v>50</v>
      </c>
      <c r="H47" s="21" t="n">
        <f aca="false">G47*Simplified_Waterfall!$C$7/12</f>
        <v>0.335416666666667</v>
      </c>
      <c r="I47" s="21" t="n">
        <f aca="false">IF(G47&gt;0,(Inputs!$C$14-Inputs!$C$15)*Inputs!$C$17/12,0)</f>
        <v>0.03125</v>
      </c>
      <c r="J47" s="20" t="n">
        <f aca="false">IF(B47=Inputs!$C$20,G47,0)</f>
        <v>0</v>
      </c>
      <c r="K47" s="20" t="n">
        <f aca="false">C47*Inputs!$C$25*Inputs!$C$26/Inputs!$C$27</f>
        <v>0</v>
      </c>
      <c r="L47" s="21" t="n">
        <f aca="false">Inputs!$C$72*$C$14/12</f>
        <v>1.4125</v>
      </c>
      <c r="M47" s="21" t="n">
        <f aca="false">(Inputs!$C$10-Inputs!$C$11-Inputs!$C$12-Inputs!$C$13)/12</f>
        <v>7.16666666666667</v>
      </c>
      <c r="N47" s="20" t="n">
        <f aca="false">N46+M47-E47-F47-H47-I47-J47-K47-L47</f>
        <v>145.767125</v>
      </c>
      <c r="O47" s="40" t="n">
        <f aca="false">1/(1+Simplified_Waterfall!$C$8/12)^B47</f>
        <v>0.914290310728323</v>
      </c>
      <c r="P47" s="40" t="n">
        <f aca="false">1/(1+Simplified_Waterfall!$C$7/12)^B47</f>
        <v>0.916753069607986</v>
      </c>
      <c r="Q47" s="21" t="n">
        <f aca="false">(E47+F47)*O47+(H47+I47+J47)*P47</f>
        <v>6.65640313767681</v>
      </c>
      <c r="R47" s="20" t="n">
        <f aca="false">D47-F47</f>
        <v>890.25</v>
      </c>
      <c r="S47" s="20" t="n">
        <f aca="false">G47-J47</f>
        <v>50</v>
      </c>
    </row>
    <row r="48" customFormat="false" ht="15" hidden="false" customHeight="false" outlineLevel="0" collapsed="false">
      <c r="B48" s="39" t="n">
        <v>14</v>
      </c>
      <c r="C48" s="29" t="n">
        <f aca="false">IF(AND(B48&gt;=Inputs!$C$28,MOD(B48-Inputs!$C$28,(12/Inputs!$C$27))=0),1,0)</f>
        <v>0</v>
      </c>
      <c r="D48" s="20" t="n">
        <f aca="false">R47</f>
        <v>890.25</v>
      </c>
      <c r="E48" s="21" t="n">
        <f aca="false">D48*Simplified_Waterfall!$C$8/12</f>
        <v>6.1575625</v>
      </c>
      <c r="F48" s="21" t="n">
        <f aca="false">Inputs!$C$21*Inputs!$C$23/12</f>
        <v>0.75</v>
      </c>
      <c r="G48" s="20" t="n">
        <f aca="false">S47</f>
        <v>50</v>
      </c>
      <c r="H48" s="21" t="n">
        <f aca="false">G48*Simplified_Waterfall!$C$7/12</f>
        <v>0.335416666666667</v>
      </c>
      <c r="I48" s="21" t="n">
        <f aca="false">IF(G48&gt;0,(Inputs!$C$14-Inputs!$C$15)*Inputs!$C$17/12,0)</f>
        <v>0.03125</v>
      </c>
      <c r="J48" s="20" t="n">
        <f aca="false">IF(B48=Inputs!$C$20,G48,0)</f>
        <v>50</v>
      </c>
      <c r="K48" s="20" t="n">
        <f aca="false">C48*Inputs!$C$25*Inputs!$C$26/Inputs!$C$27</f>
        <v>0</v>
      </c>
      <c r="L48" s="21" t="n">
        <f aca="false">Inputs!$C$72*$C$14/12</f>
        <v>1.4125</v>
      </c>
      <c r="M48" s="21" t="n">
        <f aca="false">(Inputs!$C$10-Inputs!$C$11-Inputs!$C$12-Inputs!$C$13)/12</f>
        <v>7.16666666666667</v>
      </c>
      <c r="N48" s="20" t="n">
        <f aca="false">N47+M48-E48-F48-H48-I48-J48-K48-L48</f>
        <v>94.2470624999999</v>
      </c>
      <c r="O48" s="40" t="n">
        <f aca="false">1/(1+Simplified_Waterfall!$C$8/12)^B48</f>
        <v>0.908009908858717</v>
      </c>
      <c r="P48" s="40" t="n">
        <f aca="false">1/(1+Simplified_Waterfall!$C$7/12)^B48</f>
        <v>0.910644165001103</v>
      </c>
      <c r="Q48" s="21" t="n">
        <f aca="false">(E48+F48)*O48+(H48+I48+J48)*P48</f>
        <v>52.1382463066165</v>
      </c>
      <c r="R48" s="20" t="n">
        <f aca="false">D48-F48</f>
        <v>889.5</v>
      </c>
      <c r="S48" s="20" t="n">
        <f aca="false">G48-J48</f>
        <v>0</v>
      </c>
    </row>
    <row r="49" customFormat="false" ht="15" hidden="false" customHeight="false" outlineLevel="0" collapsed="false">
      <c r="B49" s="39" t="n">
        <v>15</v>
      </c>
      <c r="C49" s="29" t="n">
        <f aca="false">IF(AND(B49&gt;=Inputs!$C$28,MOD(B49-Inputs!$C$28,(12/Inputs!$C$27))=0),1,0)</f>
        <v>1</v>
      </c>
      <c r="D49" s="20" t="n">
        <f aca="false">R48</f>
        <v>889.5</v>
      </c>
      <c r="E49" s="21" t="n">
        <f aca="false">D49*Simplified_Waterfall!$C$8/12</f>
        <v>6.152375</v>
      </c>
      <c r="F49" s="21" t="n">
        <f aca="false">Inputs!$C$21*Inputs!$C$23/12</f>
        <v>0.75</v>
      </c>
      <c r="G49" s="20" t="n">
        <f aca="false">S48</f>
        <v>0</v>
      </c>
      <c r="H49" s="21" t="n">
        <f aca="false">G49*Simplified_Waterfall!$C$7/12</f>
        <v>0</v>
      </c>
      <c r="I49" s="21" t="n">
        <f aca="false">IF(G49&gt;0,(Inputs!$C$14-Inputs!$C$15)*Inputs!$C$17/12,0)</f>
        <v>0</v>
      </c>
      <c r="J49" s="20" t="n">
        <f aca="false">IF(B49=Inputs!$C$20,G49,0)</f>
        <v>0</v>
      </c>
      <c r="K49" s="20" t="n">
        <f aca="false">C49*Inputs!$C$25*Inputs!$C$26/Inputs!$C$27</f>
        <v>14.5</v>
      </c>
      <c r="L49" s="21" t="n">
        <f aca="false">Inputs!$C$72*$C$14/12</f>
        <v>1.4125</v>
      </c>
      <c r="M49" s="21" t="n">
        <f aca="false">(Inputs!$C$10-Inputs!$C$11-Inputs!$C$12-Inputs!$C$13)/12</f>
        <v>7.16666666666667</v>
      </c>
      <c r="N49" s="20" t="n">
        <f aca="false">N48+M49-E49-F49-H49-I49-J49-K49-L49</f>
        <v>78.5988541666665</v>
      </c>
      <c r="O49" s="40" t="n">
        <f aca="false">1/(1+Simplified_Waterfall!$C$8/12)^B49</f>
        <v>0.901772648043086</v>
      </c>
      <c r="P49" s="40" t="n">
        <f aca="false">1/(1+Simplified_Waterfall!$C$7/12)^B49</f>
        <v>0.90457596788322</v>
      </c>
      <c r="Q49" s="21" t="n">
        <f aca="false">(E49+F49)*O49+(H49+I49+J49)*P49</f>
        <v>6.22437298153639</v>
      </c>
      <c r="R49" s="20" t="n">
        <f aca="false">D49-F49</f>
        <v>888.75</v>
      </c>
      <c r="S49" s="20" t="n">
        <f aca="false">G49-J49</f>
        <v>0</v>
      </c>
    </row>
    <row r="50" customFormat="false" ht="15" hidden="false" customHeight="false" outlineLevel="0" collapsed="false">
      <c r="B50" s="39" t="n">
        <v>16</v>
      </c>
      <c r="C50" s="29" t="n">
        <f aca="false">IF(AND(B50&gt;=Inputs!$C$28,MOD(B50-Inputs!$C$28,(12/Inputs!$C$27))=0),1,0)</f>
        <v>0</v>
      </c>
      <c r="D50" s="20" t="n">
        <f aca="false">R49</f>
        <v>888.75</v>
      </c>
      <c r="E50" s="21" t="n">
        <f aca="false">D50*Simplified_Waterfall!$C$8/12</f>
        <v>6.1471875</v>
      </c>
      <c r="F50" s="21" t="n">
        <f aca="false">Inputs!$C$21*Inputs!$C$23/12</f>
        <v>0.75</v>
      </c>
      <c r="G50" s="20" t="n">
        <f aca="false">S49</f>
        <v>0</v>
      </c>
      <c r="H50" s="21" t="n">
        <f aca="false">G50*Simplified_Waterfall!$C$7/12</f>
        <v>0</v>
      </c>
      <c r="I50" s="21" t="n">
        <f aca="false">IF(G50&gt;0,(Inputs!$C$14-Inputs!$C$15)*Inputs!$C$17/12,0)</f>
        <v>0</v>
      </c>
      <c r="J50" s="20" t="n">
        <f aca="false">IF(B50=Inputs!$C$20,G50,0)</f>
        <v>0</v>
      </c>
      <c r="K50" s="20" t="n">
        <f aca="false">C50*Inputs!$C$25*Inputs!$C$26/Inputs!$C$27</f>
        <v>0</v>
      </c>
      <c r="L50" s="21" t="n">
        <f aca="false">Inputs!$C$72*$C$14/12</f>
        <v>1.4125</v>
      </c>
      <c r="M50" s="21" t="n">
        <f aca="false">(Inputs!$C$10-Inputs!$C$11-Inputs!$C$12-Inputs!$C$13)/12</f>
        <v>7.16666666666667</v>
      </c>
      <c r="N50" s="20" t="n">
        <f aca="false">N49+M50-E50-F50-H50-I50-J50-K50-L50</f>
        <v>77.4558333333332</v>
      </c>
      <c r="O50" s="40" t="n">
        <f aca="false">1/(1+Simplified_Waterfall!$C$8/12)^B50</f>
        <v>0.895578231938842</v>
      </c>
      <c r="P50" s="40" t="n">
        <f aca="false">1/(1+Simplified_Waterfall!$C$7/12)^B50</f>
        <v>0.898548206994631</v>
      </c>
      <c r="Q50" s="21" t="n">
        <f aca="false">(E50+F50)*O50+(H50+I50+J50)*P50</f>
        <v>6.17697098660068</v>
      </c>
      <c r="R50" s="20" t="n">
        <f aca="false">D50-F50</f>
        <v>888</v>
      </c>
      <c r="S50" s="20" t="n">
        <f aca="false">G50-J50</f>
        <v>0</v>
      </c>
    </row>
    <row r="51" customFormat="false" ht="15" hidden="false" customHeight="false" outlineLevel="0" collapsed="false">
      <c r="B51" s="39" t="n">
        <v>17</v>
      </c>
      <c r="C51" s="29" t="n">
        <f aca="false">IF(AND(B51&gt;=Inputs!$C$28,MOD(B51-Inputs!$C$28,(12/Inputs!$C$27))=0),1,0)</f>
        <v>0</v>
      </c>
      <c r="D51" s="20" t="n">
        <f aca="false">R50</f>
        <v>888</v>
      </c>
      <c r="E51" s="21" t="n">
        <f aca="false">D51*Simplified_Waterfall!$C$8/12</f>
        <v>6.142</v>
      </c>
      <c r="F51" s="21" t="n">
        <f aca="false">Inputs!$C$21*Inputs!$C$23/12</f>
        <v>0.75</v>
      </c>
      <c r="G51" s="20" t="n">
        <f aca="false">S50</f>
        <v>0</v>
      </c>
      <c r="H51" s="21" t="n">
        <f aca="false">G51*Simplified_Waterfall!$C$7/12</f>
        <v>0</v>
      </c>
      <c r="I51" s="21" t="n">
        <f aca="false">IF(G51&gt;0,(Inputs!$C$14-Inputs!$C$15)*Inputs!$C$17/12,0)</f>
        <v>0</v>
      </c>
      <c r="J51" s="20" t="n">
        <f aca="false">IF(B51=Inputs!$C$20,G51,0)</f>
        <v>0</v>
      </c>
      <c r="K51" s="20" t="n">
        <f aca="false">C51*Inputs!$C$25*Inputs!$C$26/Inputs!$C$27</f>
        <v>0</v>
      </c>
      <c r="L51" s="21" t="n">
        <f aca="false">Inputs!$C$72*$C$14/12</f>
        <v>1.4125</v>
      </c>
      <c r="M51" s="21" t="n">
        <f aca="false">(Inputs!$C$10-Inputs!$C$11-Inputs!$C$12-Inputs!$C$13)/12</f>
        <v>7.16666666666667</v>
      </c>
      <c r="N51" s="20" t="n">
        <f aca="false">N50+M51-E51-F51-H51-I51-J51-K51-L51</f>
        <v>76.3179999999999</v>
      </c>
      <c r="O51" s="40" t="n">
        <f aca="false">1/(1+Simplified_Waterfall!$C$8/12)^B51</f>
        <v>0.889426366239022</v>
      </c>
      <c r="P51" s="40" t="n">
        <f aca="false">1/(1+Simplified_Waterfall!$C$7/12)^B51</f>
        <v>0.892560612883206</v>
      </c>
      <c r="Q51" s="21" t="n">
        <f aca="false">(E51+F51)*O51+(H51+I51+J51)*P51</f>
        <v>6.12992651611934</v>
      </c>
      <c r="R51" s="20" t="n">
        <f aca="false">D51-F51</f>
        <v>887.25</v>
      </c>
      <c r="S51" s="20" t="n">
        <f aca="false">G51-J51</f>
        <v>0</v>
      </c>
    </row>
    <row r="52" customFormat="false" ht="15" hidden="false" customHeight="false" outlineLevel="0" collapsed="false">
      <c r="B52" s="39" t="n">
        <v>18</v>
      </c>
      <c r="C52" s="29" t="n">
        <f aca="false">IF(AND(B52&gt;=Inputs!$C$28,MOD(B52-Inputs!$C$28,(12/Inputs!$C$27))=0),1,0)</f>
        <v>0</v>
      </c>
      <c r="D52" s="20" t="n">
        <f aca="false">R51</f>
        <v>887.25</v>
      </c>
      <c r="E52" s="21" t="n">
        <f aca="false">D52*Simplified_Waterfall!$C$8/12</f>
        <v>6.1368125</v>
      </c>
      <c r="F52" s="21" t="n">
        <f aca="false">Inputs!$C$21*Inputs!$C$23/12</f>
        <v>0.75</v>
      </c>
      <c r="G52" s="20" t="n">
        <f aca="false">S51</f>
        <v>0</v>
      </c>
      <c r="H52" s="21" t="n">
        <f aca="false">G52*Simplified_Waterfall!$C$7/12</f>
        <v>0</v>
      </c>
      <c r="I52" s="21" t="n">
        <f aca="false">IF(G52&gt;0,(Inputs!$C$14-Inputs!$C$15)*Inputs!$C$17/12,0)</f>
        <v>0</v>
      </c>
      <c r="J52" s="20" t="n">
        <f aca="false">IF(B52=Inputs!$C$20,G52,0)</f>
        <v>0</v>
      </c>
      <c r="K52" s="20" t="n">
        <f aca="false">C52*Inputs!$C$25*Inputs!$C$26/Inputs!$C$27</f>
        <v>0</v>
      </c>
      <c r="L52" s="21" t="n">
        <f aca="false">Inputs!$C$72*$C$14/12</f>
        <v>1.4125</v>
      </c>
      <c r="M52" s="21" t="n">
        <f aca="false">(Inputs!$C$10-Inputs!$C$11-Inputs!$C$12-Inputs!$C$13)/12</f>
        <v>7.16666666666667</v>
      </c>
      <c r="N52" s="20" t="n">
        <f aca="false">N51+M52-E52-F52-H52-I52-J52-K52-L52</f>
        <v>75.1853541666666</v>
      </c>
      <c r="O52" s="40" t="n">
        <f aca="false">1/(1+Simplified_Waterfall!$C$8/12)^B52</f>
        <v>0.883316758658302</v>
      </c>
      <c r="P52" s="40" t="n">
        <f aca="false">1/(1+Simplified_Waterfall!$C$7/12)^B52</f>
        <v>0.886612917892345</v>
      </c>
      <c r="Q52" s="21" t="n">
        <f aca="false">(E52+F52)*O52+(H52+I52+J52)*P52</f>
        <v>6.08323689498748</v>
      </c>
      <c r="R52" s="20" t="n">
        <f aca="false">D52-F52</f>
        <v>886.5</v>
      </c>
      <c r="S52" s="20" t="n">
        <f aca="false">G52-J52</f>
        <v>0</v>
      </c>
    </row>
    <row r="53" customFormat="false" ht="15" hidden="false" customHeight="false" outlineLevel="0" collapsed="false">
      <c r="B53" s="39" t="n">
        <v>19</v>
      </c>
      <c r="C53" s="29" t="n">
        <f aca="false">IF(AND(B53&gt;=Inputs!$C$28,MOD(B53-Inputs!$C$28,(12/Inputs!$C$27))=0),1,0)</f>
        <v>0</v>
      </c>
      <c r="D53" s="20" t="n">
        <f aca="false">R52</f>
        <v>886.5</v>
      </c>
      <c r="E53" s="21" t="n">
        <f aca="false">D53*Simplified_Waterfall!$C$8/12</f>
        <v>6.131625</v>
      </c>
      <c r="F53" s="21" t="n">
        <f aca="false">Inputs!$C$21*Inputs!$C$23/12</f>
        <v>0.75</v>
      </c>
      <c r="G53" s="20" t="n">
        <f aca="false">S52</f>
        <v>0</v>
      </c>
      <c r="H53" s="21" t="n">
        <f aca="false">G53*Simplified_Waterfall!$C$7/12</f>
        <v>0</v>
      </c>
      <c r="I53" s="21" t="n">
        <f aca="false">IF(G53&gt;0,(Inputs!$C$14-Inputs!$C$15)*Inputs!$C$17/12,0)</f>
        <v>0</v>
      </c>
      <c r="J53" s="20" t="n">
        <f aca="false">IF(B53=Inputs!$C$20,G53,0)</f>
        <v>0</v>
      </c>
      <c r="K53" s="20" t="n">
        <f aca="false">C53*Inputs!$C$25*Inputs!$C$26/Inputs!$C$27</f>
        <v>0</v>
      </c>
      <c r="L53" s="21" t="n">
        <f aca="false">Inputs!$C$72*$C$14/12</f>
        <v>1.4125</v>
      </c>
      <c r="M53" s="21" t="n">
        <f aca="false">(Inputs!$C$10-Inputs!$C$11-Inputs!$C$12-Inputs!$C$13)/12</f>
        <v>7.16666666666667</v>
      </c>
      <c r="N53" s="20" t="n">
        <f aca="false">N52+M53-E53-F53-H53-I53-J53-K53-L53</f>
        <v>74.0578958333333</v>
      </c>
      <c r="O53" s="40" t="n">
        <f aca="false">1/(1+Simplified_Waterfall!$C$8/12)^B53</f>
        <v>0.877249118919111</v>
      </c>
      <c r="P53" s="40" t="n">
        <f aca="false">1/(1+Simplified_Waterfall!$C$7/12)^B53</f>
        <v>0.880704856149012</v>
      </c>
      <c r="Q53" s="21" t="n">
        <f aca="false">(E53+F53)*O53+(H53+I53+J53)*P53</f>
        <v>6.03689946798173</v>
      </c>
      <c r="R53" s="20" t="n">
        <f aca="false">D53-F53</f>
        <v>885.75</v>
      </c>
      <c r="S53" s="20" t="n">
        <f aca="false">G53-J53</f>
        <v>0</v>
      </c>
    </row>
    <row r="54" customFormat="false" ht="15" hidden="false" customHeight="false" outlineLevel="0" collapsed="false">
      <c r="B54" s="39" t="n">
        <v>20</v>
      </c>
      <c r="C54" s="29" t="n">
        <f aca="false">IF(AND(B54&gt;=Inputs!$C$28,MOD(B54-Inputs!$C$28,(12/Inputs!$C$27))=0),1,0)</f>
        <v>0</v>
      </c>
      <c r="D54" s="20" t="n">
        <f aca="false">R53</f>
        <v>885.75</v>
      </c>
      <c r="E54" s="21" t="n">
        <f aca="false">D54*Simplified_Waterfall!$C$8/12</f>
        <v>6.1264375</v>
      </c>
      <c r="F54" s="21" t="n">
        <f aca="false">Inputs!$C$21*Inputs!$C$23/12</f>
        <v>0.75</v>
      </c>
      <c r="G54" s="20" t="n">
        <f aca="false">S53</f>
        <v>0</v>
      </c>
      <c r="H54" s="21" t="n">
        <f aca="false">G54*Simplified_Waterfall!$C$7/12</f>
        <v>0</v>
      </c>
      <c r="I54" s="21" t="n">
        <f aca="false">IF(G54&gt;0,(Inputs!$C$14-Inputs!$C$15)*Inputs!$C$17/12,0)</f>
        <v>0</v>
      </c>
      <c r="J54" s="20" t="n">
        <f aca="false">IF(B54=Inputs!$C$20,G54,0)</f>
        <v>0</v>
      </c>
      <c r="K54" s="20" t="n">
        <f aca="false">C54*Inputs!$C$25*Inputs!$C$26/Inputs!$C$27</f>
        <v>0</v>
      </c>
      <c r="L54" s="21" t="n">
        <f aca="false">Inputs!$C$72*$C$14/12</f>
        <v>1.4125</v>
      </c>
      <c r="M54" s="21" t="n">
        <f aca="false">(Inputs!$C$10-Inputs!$C$11-Inputs!$C$12-Inputs!$C$13)/12</f>
        <v>7.16666666666667</v>
      </c>
      <c r="N54" s="20" t="n">
        <f aca="false">N53+M54-E54-F54-H54-I54-J54-K54-L54</f>
        <v>72.9356249999999</v>
      </c>
      <c r="O54" s="40" t="n">
        <f aca="false">1/(1+Simplified_Waterfall!$C$8/12)^B54</f>
        <v>0.871223158737841</v>
      </c>
      <c r="P54" s="40" t="n">
        <f aca="false">1/(1+Simplified_Waterfall!$C$7/12)^B54</f>
        <v>0.874836163551852</v>
      </c>
      <c r="Q54" s="21" t="n">
        <f aca="false">(E54+F54)*O54+(H54+I54+J54)*P54</f>
        <v>5.99091159961334</v>
      </c>
      <c r="R54" s="20" t="n">
        <f aca="false">D54-F54</f>
        <v>885</v>
      </c>
      <c r="S54" s="20" t="n">
        <f aca="false">G54-J54</f>
        <v>0</v>
      </c>
    </row>
    <row r="55" customFormat="false" ht="15" hidden="false" customHeight="false" outlineLevel="0" collapsed="false">
      <c r="B55" s="39" t="n">
        <v>21</v>
      </c>
      <c r="C55" s="29" t="n">
        <f aca="false">IF(AND(B55&gt;=Inputs!$C$28,MOD(B55-Inputs!$C$28,(12/Inputs!$C$27))=0),1,0)</f>
        <v>1</v>
      </c>
      <c r="D55" s="20" t="n">
        <f aca="false">R54</f>
        <v>885</v>
      </c>
      <c r="E55" s="21" t="n">
        <f aca="false">D55*Simplified_Waterfall!$C$8/12</f>
        <v>6.12125</v>
      </c>
      <c r="F55" s="21" t="n">
        <f aca="false">Inputs!$C$21*Inputs!$C$23/12</f>
        <v>0.75</v>
      </c>
      <c r="G55" s="20" t="n">
        <f aca="false">S54</f>
        <v>0</v>
      </c>
      <c r="H55" s="21" t="n">
        <f aca="false">G55*Simplified_Waterfall!$C$7/12</f>
        <v>0</v>
      </c>
      <c r="I55" s="21" t="n">
        <f aca="false">IF(G55&gt;0,(Inputs!$C$14-Inputs!$C$15)*Inputs!$C$17/12,0)</f>
        <v>0</v>
      </c>
      <c r="J55" s="20" t="n">
        <f aca="false">IF(B55=Inputs!$C$20,G55,0)</f>
        <v>0</v>
      </c>
      <c r="K55" s="20" t="n">
        <f aca="false">C55*Inputs!$C$25*Inputs!$C$26/Inputs!$C$27</f>
        <v>14.5</v>
      </c>
      <c r="L55" s="21" t="n">
        <f aca="false">Inputs!$C$72*$C$14/12</f>
        <v>1.4125</v>
      </c>
      <c r="M55" s="21" t="n">
        <f aca="false">(Inputs!$C$10-Inputs!$C$11-Inputs!$C$12-Inputs!$C$13)/12</f>
        <v>7.16666666666667</v>
      </c>
      <c r="N55" s="20" t="n">
        <f aca="false">N54+M55-E55-F55-H55-I55-J55-K55-L55</f>
        <v>57.3185416666666</v>
      </c>
      <c r="O55" s="40" t="n">
        <f aca="false">1/(1+Simplified_Waterfall!$C$8/12)^B55</f>
        <v>0.865238591811148</v>
      </c>
      <c r="P55" s="40" t="n">
        <f aca="false">1/(1+Simplified_Waterfall!$C$7/12)^B55</f>
        <v>0.869006577759383</v>
      </c>
      <c r="Q55" s="21" t="n">
        <f aca="false">(E55+F55)*O55+(H55+I55+J55)*P55</f>
        <v>5.94527067398235</v>
      </c>
      <c r="R55" s="20" t="n">
        <f aca="false">D55-F55</f>
        <v>884.25</v>
      </c>
      <c r="S55" s="20" t="n">
        <f aca="false">G55-J55</f>
        <v>0</v>
      </c>
    </row>
    <row r="56" customFormat="false" ht="15" hidden="false" customHeight="false" outlineLevel="0" collapsed="false">
      <c r="B56" s="39" t="n">
        <v>22</v>
      </c>
      <c r="C56" s="29" t="n">
        <f aca="false">IF(AND(B56&gt;=Inputs!$C$28,MOD(B56-Inputs!$C$28,(12/Inputs!$C$27))=0),1,0)</f>
        <v>0</v>
      </c>
      <c r="D56" s="20" t="n">
        <f aca="false">R55</f>
        <v>884.25</v>
      </c>
      <c r="E56" s="21" t="n">
        <f aca="false">D56*Simplified_Waterfall!$C$8/12</f>
        <v>6.1160625</v>
      </c>
      <c r="F56" s="21" t="n">
        <f aca="false">Inputs!$C$21*Inputs!$C$23/12</f>
        <v>0.75</v>
      </c>
      <c r="G56" s="20" t="n">
        <f aca="false">S55</f>
        <v>0</v>
      </c>
      <c r="H56" s="21" t="n">
        <f aca="false">G56*Simplified_Waterfall!$C$7/12</f>
        <v>0</v>
      </c>
      <c r="I56" s="21" t="n">
        <f aca="false">IF(G56&gt;0,(Inputs!$C$14-Inputs!$C$15)*Inputs!$C$17/12,0)</f>
        <v>0</v>
      </c>
      <c r="J56" s="20" t="n">
        <f aca="false">IF(B56=Inputs!$C$20,G56,0)</f>
        <v>0</v>
      </c>
      <c r="K56" s="20" t="n">
        <f aca="false">C56*Inputs!$C$25*Inputs!$C$26/Inputs!$C$27</f>
        <v>0</v>
      </c>
      <c r="L56" s="21" t="n">
        <f aca="false">Inputs!$C$72*$C$14/12</f>
        <v>1.4125</v>
      </c>
      <c r="M56" s="21" t="n">
        <f aca="false">(Inputs!$C$10-Inputs!$C$11-Inputs!$C$12-Inputs!$C$13)/12</f>
        <v>7.16666666666667</v>
      </c>
      <c r="N56" s="20" t="n">
        <f aca="false">N55+M56-E56-F56-H56-I56-J56-K56-L56</f>
        <v>56.2066458333333</v>
      </c>
      <c r="O56" s="40" t="n">
        <f aca="false">1/(1+Simplified_Waterfall!$C$8/12)^B56</f>
        <v>0.859295133802348</v>
      </c>
      <c r="P56" s="40" t="n">
        <f aca="false">1/(1+Simplified_Waterfall!$C$7/12)^B56</f>
        <v>0.86321583817827</v>
      </c>
      <c r="Q56" s="21" t="n">
        <f aca="false">(E56+F56)*O56+(H56+I56+J56)*P56</f>
        <v>5.89997409463278</v>
      </c>
      <c r="R56" s="20" t="n">
        <f aca="false">D56-F56</f>
        <v>883.5</v>
      </c>
      <c r="S56" s="20" t="n">
        <f aca="false">G56-J56</f>
        <v>0</v>
      </c>
    </row>
    <row r="57" customFormat="false" ht="15" hidden="false" customHeight="false" outlineLevel="0" collapsed="false">
      <c r="B57" s="39" t="n">
        <v>23</v>
      </c>
      <c r="C57" s="29" t="n">
        <f aca="false">IF(AND(B57&gt;=Inputs!$C$28,MOD(B57-Inputs!$C$28,(12/Inputs!$C$27))=0),1,0)</f>
        <v>0</v>
      </c>
      <c r="D57" s="20" t="n">
        <f aca="false">R56</f>
        <v>883.5</v>
      </c>
      <c r="E57" s="21" t="n">
        <f aca="false">D57*Simplified_Waterfall!$C$8/12</f>
        <v>6.110875</v>
      </c>
      <c r="F57" s="21" t="n">
        <f aca="false">Inputs!$C$21*Inputs!$C$23/12</f>
        <v>0.75</v>
      </c>
      <c r="G57" s="20" t="n">
        <f aca="false">S56</f>
        <v>0</v>
      </c>
      <c r="H57" s="21" t="n">
        <f aca="false">G57*Simplified_Waterfall!$C$7/12</f>
        <v>0</v>
      </c>
      <c r="I57" s="21" t="n">
        <f aca="false">IF(G57&gt;0,(Inputs!$C$14-Inputs!$C$15)*Inputs!$C$17/12,0)</f>
        <v>0</v>
      </c>
      <c r="J57" s="20" t="n">
        <f aca="false">IF(B57=Inputs!$C$20,G57,0)</f>
        <v>0</v>
      </c>
      <c r="K57" s="20" t="n">
        <f aca="false">C57*Inputs!$C$25*Inputs!$C$26/Inputs!$C$27</f>
        <v>0</v>
      </c>
      <c r="L57" s="21" t="n">
        <f aca="false">Inputs!$C$72*$C$14/12</f>
        <v>1.4125</v>
      </c>
      <c r="M57" s="21" t="n">
        <f aca="false">(Inputs!$C$10-Inputs!$C$11-Inputs!$C$12-Inputs!$C$13)/12</f>
        <v>7.16666666666667</v>
      </c>
      <c r="N57" s="20" t="n">
        <f aca="false">N56+M57-E57-F57-H57-I57-J57-K57-L57</f>
        <v>55.0999374999999</v>
      </c>
      <c r="O57" s="40" t="n">
        <f aca="false">1/(1+Simplified_Waterfall!$C$8/12)^B57</f>
        <v>0.853392502327913</v>
      </c>
      <c r="P57" s="40" t="n">
        <f aca="false">1/(1+Simplified_Waterfall!$C$7/12)^B57</f>
        <v>0.857463685951678</v>
      </c>
      <c r="Q57" s="21" t="n">
        <f aca="false">(E57+F57)*O57+(H57+I57+J57)*P57</f>
        <v>5.85501928440902</v>
      </c>
      <c r="R57" s="20" t="n">
        <f aca="false">D57-F57</f>
        <v>882.75</v>
      </c>
      <c r="S57" s="20" t="n">
        <f aca="false">G57-J57</f>
        <v>0</v>
      </c>
    </row>
    <row r="58" customFormat="false" ht="15" hidden="false" customHeight="false" outlineLevel="0" collapsed="false">
      <c r="B58" s="39" t="n">
        <v>24</v>
      </c>
      <c r="C58" s="29" t="n">
        <f aca="false">IF(AND(B58&gt;=Inputs!$C$28,MOD(B58-Inputs!$C$28,(12/Inputs!$C$27))=0),1,0)</f>
        <v>0</v>
      </c>
      <c r="D58" s="20" t="n">
        <f aca="false">R57</f>
        <v>882.75</v>
      </c>
      <c r="E58" s="21" t="n">
        <f aca="false">D58*Simplified_Waterfall!$C$8/12</f>
        <v>6.1056875</v>
      </c>
      <c r="F58" s="21" t="n">
        <f aca="false">Inputs!$C$21*Inputs!$C$23/12</f>
        <v>0.75</v>
      </c>
      <c r="G58" s="20" t="n">
        <f aca="false">S57</f>
        <v>0</v>
      </c>
      <c r="H58" s="21" t="n">
        <f aca="false">G58*Simplified_Waterfall!$C$7/12</f>
        <v>0</v>
      </c>
      <c r="I58" s="21" t="n">
        <f aca="false">IF(G58&gt;0,(Inputs!$C$14-Inputs!$C$15)*Inputs!$C$17/12,0)</f>
        <v>0</v>
      </c>
      <c r="J58" s="20" t="n">
        <f aca="false">IF(B58=Inputs!$C$20,G58,0)</f>
        <v>0</v>
      </c>
      <c r="K58" s="20" t="n">
        <f aca="false">C58*Inputs!$C$25*Inputs!$C$26/Inputs!$C$27</f>
        <v>0</v>
      </c>
      <c r="L58" s="21" t="n">
        <f aca="false">Inputs!$C$72*$C$14/12</f>
        <v>1.4125</v>
      </c>
      <c r="M58" s="21" t="n">
        <f aca="false">(Inputs!$C$10-Inputs!$C$11-Inputs!$C$12-Inputs!$C$13)/12</f>
        <v>7.16666666666667</v>
      </c>
      <c r="N58" s="20" t="n">
        <f aca="false">N57+M58-E58-F58-H58-I58-J58-K58-L58</f>
        <v>53.9984166666666</v>
      </c>
      <c r="O58" s="40" t="n">
        <f aca="false">1/(1+Simplified_Waterfall!$C$8/12)^B58</f>
        <v>0.84753041694405</v>
      </c>
      <c r="P58" s="40" t="n">
        <f aca="false">1/(1+Simplified_Waterfall!$C$7/12)^B58</f>
        <v>0.851749863947695</v>
      </c>
      <c r="Q58" s="21" t="n">
        <f aca="false">(E58+F58)*O58+(H58+I58+J58)*P58</f>
        <v>5.81040368531311</v>
      </c>
      <c r="R58" s="20" t="n">
        <f aca="false">D58-F58</f>
        <v>882</v>
      </c>
      <c r="S58" s="20" t="n">
        <f aca="false">G58-J58</f>
        <v>0</v>
      </c>
    </row>
    <row r="59" customFormat="false" ht="15" hidden="false" customHeight="false" outlineLevel="0" collapsed="false">
      <c r="B59" s="22" t="s">
        <v>336</v>
      </c>
      <c r="C59" s="41" t="n">
        <f aca="false">SUM(C35:C58)</f>
        <v>4</v>
      </c>
      <c r="D59" s="31"/>
      <c r="E59" s="34" t="n">
        <f aca="false">SUM(E35:E58)</f>
        <v>147.96825</v>
      </c>
      <c r="F59" s="34" t="n">
        <f aca="false">SUM(F35:F58)</f>
        <v>18</v>
      </c>
      <c r="G59" s="31"/>
      <c r="H59" s="34" t="n">
        <f aca="false">SUM(H35:H58)</f>
        <v>4.69583333333333</v>
      </c>
      <c r="I59" s="34" t="n">
        <f aca="false">SUM(I35:I58)</f>
        <v>0.4375</v>
      </c>
      <c r="J59" s="34" t="n">
        <f aca="false">SUM(J35:J58)</f>
        <v>50</v>
      </c>
      <c r="K59" s="34" t="n">
        <f aca="false">SUM(K35:K58)</f>
        <v>58</v>
      </c>
      <c r="L59" s="34" t="n">
        <f aca="false">SUM(L35:L58)</f>
        <v>33.9</v>
      </c>
      <c r="M59" s="34" t="n">
        <f aca="false">SUM(M35:M58)</f>
        <v>172</v>
      </c>
      <c r="N59" s="31"/>
      <c r="O59" s="31"/>
      <c r="P59" s="31"/>
      <c r="Q59" s="34" t="n">
        <f aca="false">SUM(Q35:Q58)</f>
        <v>202.894426145094</v>
      </c>
      <c r="R59" s="31"/>
      <c r="S59" s="31"/>
    </row>
    <row r="61" customFormat="false" ht="15" hidden="false" customHeight="false" outlineLevel="0" collapsed="false">
      <c r="B61" s="2" t="s">
        <v>337</v>
      </c>
    </row>
    <row r="62" customFormat="false" ht="15" hidden="false" customHeight="false" outlineLevel="0" collapsed="false">
      <c r="B62" s="5" t="s">
        <v>110</v>
      </c>
      <c r="C62" s="6" t="s">
        <v>20</v>
      </c>
      <c r="D62" s="7" t="s">
        <v>111</v>
      </c>
    </row>
    <row r="63" customFormat="false" ht="15" hidden="false" customHeight="false" outlineLevel="0" collapsed="false">
      <c r="B63" s="8" t="s">
        <v>338</v>
      </c>
      <c r="C63" s="29" t="n">
        <f aca="false">MAX(B35:B58)</f>
        <v>24</v>
      </c>
    </row>
    <row r="64" customFormat="false" ht="15" hidden="false" customHeight="false" outlineLevel="0" collapsed="false">
      <c r="B64" s="8" t="s">
        <v>339</v>
      </c>
      <c r="C64" s="18" t="n">
        <f aca="false">E59+F59+H59+I59+J59</f>
        <v>221.101583333333</v>
      </c>
    </row>
    <row r="65" customFormat="false" ht="15" hidden="false" customHeight="false" outlineLevel="0" collapsed="false">
      <c r="B65" s="8" t="s">
        <v>340</v>
      </c>
      <c r="C65" s="18" t="n">
        <f aca="false">R58</f>
        <v>882</v>
      </c>
    </row>
    <row r="66" customFormat="false" ht="15" hidden="false" customHeight="false" outlineLevel="0" collapsed="false">
      <c r="B66" s="8" t="s">
        <v>341</v>
      </c>
      <c r="C66" s="18" t="n">
        <f aca="false">S58</f>
        <v>0</v>
      </c>
      <c r="D66" s="4" t="s">
        <v>342</v>
      </c>
    </row>
    <row r="67" customFormat="false" ht="15" hidden="false" customHeight="false" outlineLevel="0" collapsed="false">
      <c r="B67" s="8" t="s">
        <v>343</v>
      </c>
      <c r="C67" s="18" t="n">
        <f aca="false">$C$65+$C$66</f>
        <v>882</v>
      </c>
    </row>
    <row r="68" customFormat="false" ht="15" hidden="false" customHeight="false" outlineLevel="0" collapsed="false">
      <c r="B68" s="8" t="s">
        <v>344</v>
      </c>
      <c r="C68" s="18" t="n">
        <f aca="false">N58</f>
        <v>53.9984166666666</v>
      </c>
    </row>
    <row r="69" customFormat="false" ht="15" hidden="false" customHeight="false" outlineLevel="0" collapsed="false">
      <c r="B69" s="8" t="s">
        <v>345</v>
      </c>
      <c r="C69" s="18" t="n">
        <f aca="false">K59</f>
        <v>58</v>
      </c>
    </row>
    <row r="70" customFormat="false" ht="15" hidden="false" customHeight="false" outlineLevel="0" collapsed="false">
      <c r="B70" s="8" t="s">
        <v>346</v>
      </c>
      <c r="C70" s="29" t="n">
        <f aca="false">C59</f>
        <v>4</v>
      </c>
    </row>
    <row r="71" customFormat="false" ht="15" hidden="false" customHeight="false" outlineLevel="0" collapsed="false">
      <c r="B71" s="8" t="s">
        <v>347</v>
      </c>
      <c r="C71" s="18" t="n">
        <f aca="false">Q59</f>
        <v>202.894426145094</v>
      </c>
      <c r="D71" s="4" t="s">
        <v>348</v>
      </c>
    </row>
    <row r="72" customFormat="false" ht="15" hidden="false" customHeight="false" outlineLevel="0" collapsed="false">
      <c r="B72" s="8" t="s">
        <v>349</v>
      </c>
      <c r="C72" s="40" t="n">
        <f aca="false">O58</f>
        <v>0.84753041694405</v>
      </c>
    </row>
    <row r="73" customFormat="false" ht="15" hidden="false" customHeight="false" outlineLevel="0" collapsed="false">
      <c r="B73" s="8" t="s">
        <v>350</v>
      </c>
      <c r="C73" s="40" t="n">
        <f aca="false">P58</f>
        <v>0.851749863947695</v>
      </c>
    </row>
    <row r="75" customFormat="false" ht="15" hidden="false" customHeight="false" outlineLevel="0" collapsed="false">
      <c r="B75" s="2" t="s">
        <v>351</v>
      </c>
    </row>
    <row r="76" customFormat="false" ht="15" hidden="false" customHeight="false" outlineLevel="0" collapsed="false">
      <c r="B76" s="5" t="s">
        <v>27</v>
      </c>
      <c r="C76" s="6" t="s">
        <v>132</v>
      </c>
      <c r="D76" s="6" t="s">
        <v>133</v>
      </c>
      <c r="E76" s="6" t="s">
        <v>134</v>
      </c>
      <c r="F76" s="6" t="s">
        <v>135</v>
      </c>
      <c r="G76" s="6" t="s">
        <v>136</v>
      </c>
      <c r="H76" s="6" t="s">
        <v>137</v>
      </c>
      <c r="I76" s="6" t="s">
        <v>138</v>
      </c>
      <c r="J76" s="7" t="s">
        <v>111</v>
      </c>
    </row>
    <row r="77" customFormat="false" ht="15" hidden="false" customHeight="false" outlineLevel="0" collapsed="false">
      <c r="B77" s="2" t="s">
        <v>352</v>
      </c>
      <c r="C77" s="26" t="n">
        <f aca="false">Inputs!C38</f>
        <v>700</v>
      </c>
      <c r="D77" s="26" t="n">
        <f aca="false">Inputs!D38</f>
        <v>800</v>
      </c>
      <c r="E77" s="26" t="n">
        <f aca="false">Inputs!E38</f>
        <v>900</v>
      </c>
      <c r="F77" s="26" t="n">
        <f aca="false">Inputs!F38</f>
        <v>1000</v>
      </c>
      <c r="G77" s="26" t="n">
        <f aca="false">Inputs!G38</f>
        <v>1100</v>
      </c>
      <c r="H77" s="26" t="n">
        <f aca="false">Inputs!H38</f>
        <v>1200</v>
      </c>
      <c r="I77" s="26" t="n">
        <f aca="false">Inputs!I38</f>
        <v>1300</v>
      </c>
    </row>
    <row r="78" customFormat="false" ht="15" hidden="false" customHeight="false" outlineLevel="0" collapsed="false">
      <c r="B78" s="8" t="s">
        <v>353</v>
      </c>
      <c r="C78" s="18" t="n">
        <f aca="false">C30</f>
        <v>690</v>
      </c>
      <c r="D78" s="18" t="n">
        <f aca="false">D30</f>
        <v>790</v>
      </c>
      <c r="E78" s="18" t="n">
        <f aca="false">E30</f>
        <v>890</v>
      </c>
      <c r="F78" s="18" t="n">
        <f aca="false">F30</f>
        <v>950</v>
      </c>
      <c r="G78" s="18" t="n">
        <f aca="false">G30</f>
        <v>950</v>
      </c>
      <c r="H78" s="18" t="n">
        <f aca="false">H30</f>
        <v>950</v>
      </c>
      <c r="I78" s="18" t="n">
        <f aca="false">I30</f>
        <v>950</v>
      </c>
    </row>
    <row r="79" customFormat="false" ht="15" hidden="false" customHeight="false" outlineLevel="0" collapsed="false">
      <c r="B79" s="8" t="s">
        <v>354</v>
      </c>
      <c r="C79" s="18" t="n">
        <f aca="false">C77-$C$7+$C$15+MAX(0,$C$68-Inputs!$C$9)</f>
        <v>578.998416666667</v>
      </c>
      <c r="D79" s="18" t="n">
        <f aca="false">D77-$C$7+$C$15+MAX(0,$C$68-Inputs!$C$9)</f>
        <v>678.998416666667</v>
      </c>
      <c r="E79" s="18" t="n">
        <f aca="false">E77-$C$7+$C$15+MAX(0,$C$68-Inputs!$C$9)</f>
        <v>778.998416666667</v>
      </c>
      <c r="F79" s="18" t="n">
        <f aca="false">F77-$C$7+$C$15+MAX(0,$C$68-Inputs!$C$9)</f>
        <v>878.998416666667</v>
      </c>
      <c r="G79" s="18" t="n">
        <f aca="false">G77-$C$7+$C$15+MAX(0,$C$68-Inputs!$C$9)</f>
        <v>978.998416666667</v>
      </c>
      <c r="H79" s="18" t="n">
        <f aca="false">H77-$C$7+$C$15+MAX(0,$C$68-Inputs!$C$9)</f>
        <v>1078.99841666667</v>
      </c>
      <c r="I79" s="18" t="n">
        <f aca="false">I77-$C$7+$C$15+MAX(0,$C$68-Inputs!$C$9)</f>
        <v>1178.99841666667</v>
      </c>
      <c r="J79" s="4" t="s">
        <v>355</v>
      </c>
    </row>
    <row r="80" customFormat="false" ht="15" hidden="false" customHeight="false" outlineLevel="0" collapsed="false">
      <c r="B80" s="8" t="s">
        <v>356</v>
      </c>
      <c r="C80" s="18" t="n">
        <f aca="false">MIN(MAX(0,C79-Simplified_Waterfall!$C$22),$C$67)</f>
        <v>548.998416666667</v>
      </c>
      <c r="D80" s="18" t="n">
        <f aca="false">MIN(MAX(0,D79-Simplified_Waterfall!$C$22),$C$67)</f>
        <v>648.998416666667</v>
      </c>
      <c r="E80" s="18" t="n">
        <f aca="false">MIN(MAX(0,E79-Simplified_Waterfall!$C$22),$C$67)</f>
        <v>748.998416666667</v>
      </c>
      <c r="F80" s="18" t="n">
        <f aca="false">MIN(MAX(0,F79-Simplified_Waterfall!$C$22),$C$67)</f>
        <v>848.998416666667</v>
      </c>
      <c r="G80" s="18" t="n">
        <f aca="false">MIN(MAX(0,G79-Simplified_Waterfall!$C$22),$C$67)</f>
        <v>882</v>
      </c>
      <c r="H80" s="18" t="n">
        <f aca="false">MIN(MAX(0,H79-Simplified_Waterfall!$C$22),$C$67)</f>
        <v>882</v>
      </c>
      <c r="I80" s="18" t="n">
        <f aca="false">MIN(MAX(0,I79-Simplified_Waterfall!$C$22),$C$67)</f>
        <v>882</v>
      </c>
    </row>
    <row r="81" customFormat="false" ht="15" hidden="false" customHeight="false" outlineLevel="0" collapsed="false">
      <c r="B81" s="8" t="s">
        <v>357</v>
      </c>
      <c r="C81" s="30" t="n">
        <f aca="false">C80/$C$67</f>
        <v>0.622447184429327</v>
      </c>
      <c r="D81" s="30" t="n">
        <f aca="false">D80/$C$67</f>
        <v>0.735825869236583</v>
      </c>
      <c r="E81" s="30" t="n">
        <f aca="false">E80/$C$67</f>
        <v>0.84920455404384</v>
      </c>
      <c r="F81" s="30" t="n">
        <f aca="false">F80/$C$67</f>
        <v>0.962583238851096</v>
      </c>
      <c r="G81" s="30" t="n">
        <f aca="false">G80/$C$67</f>
        <v>1</v>
      </c>
      <c r="H81" s="30" t="n">
        <f aca="false">H80/$C$67</f>
        <v>1</v>
      </c>
      <c r="I81" s="30" t="n">
        <f aca="false">I80/$C$67</f>
        <v>1</v>
      </c>
    </row>
    <row r="82" customFormat="false" ht="15" hidden="false" customHeight="false" outlineLevel="0" collapsed="false">
      <c r="B82" s="8" t="s">
        <v>358</v>
      </c>
      <c r="C82" s="18" t="n">
        <f aca="false">C80*$C$65/$C$67*$C$72+C80*$C$66/$C$67*$C$73</f>
        <v>465.292856979123</v>
      </c>
      <c r="D82" s="18" t="n">
        <f aca="false">D80*$C$65/$C$67*$C$72+D80*$C$66/$C$67*$C$73</f>
        <v>550.045898673528</v>
      </c>
      <c r="E82" s="18" t="n">
        <f aca="false">E80*$C$65/$C$67*$C$72+E80*$C$66/$C$67*$C$73</f>
        <v>634.798940367934</v>
      </c>
      <c r="F82" s="18" t="n">
        <f aca="false">F80*$C$65/$C$67*$C$72+F80*$C$66/$C$67*$C$73</f>
        <v>719.551982062338</v>
      </c>
      <c r="G82" s="18" t="n">
        <f aca="false">G80*$C$65/$C$67*$C$72+G80*$C$66/$C$67*$C$73</f>
        <v>747.521827744652</v>
      </c>
      <c r="H82" s="18" t="n">
        <f aca="false">H80*$C$65/$C$67*$C$72+H80*$C$66/$C$67*$C$73</f>
        <v>747.521827744652</v>
      </c>
      <c r="I82" s="18" t="n">
        <f aca="false">I80*$C$65/$C$67*$C$72+I80*$C$66/$C$67*$C$73</f>
        <v>747.521827744652</v>
      </c>
    </row>
    <row r="83" customFormat="false" ht="15" hidden="false" customHeight="false" outlineLevel="0" collapsed="false">
      <c r="B83" s="2" t="s">
        <v>359</v>
      </c>
      <c r="C83" s="26" t="n">
        <f aca="false">$C$71+C82</f>
        <v>668.187283124217</v>
      </c>
      <c r="D83" s="26" t="n">
        <f aca="false">$C$71+D82</f>
        <v>752.940324818622</v>
      </c>
      <c r="E83" s="26" t="n">
        <f aca="false">$C$71+E82</f>
        <v>837.693366513027</v>
      </c>
      <c r="F83" s="26" t="n">
        <f aca="false">$C$71+F82</f>
        <v>922.446408207432</v>
      </c>
      <c r="G83" s="26" t="n">
        <f aca="false">$C$71+G82</f>
        <v>950.416253889746</v>
      </c>
      <c r="H83" s="26" t="n">
        <f aca="false">$C$71+H82</f>
        <v>950.416253889746</v>
      </c>
      <c r="I83" s="26" t="n">
        <f aca="false">$C$71+I82</f>
        <v>950.416253889746</v>
      </c>
    </row>
    <row r="84" customFormat="false" ht="15" hidden="false" customHeight="false" outlineLevel="0" collapsed="false">
      <c r="B84" s="2" t="s">
        <v>360</v>
      </c>
      <c r="C84" s="26" t="n">
        <f aca="false">C83-C78</f>
        <v>-21.8127168757829</v>
      </c>
      <c r="D84" s="26" t="n">
        <f aca="false">D83-D78</f>
        <v>-37.0596751813778</v>
      </c>
      <c r="E84" s="26" t="n">
        <f aca="false">E83-E78</f>
        <v>-52.3066334869727</v>
      </c>
      <c r="F84" s="26" t="n">
        <f aca="false">F83-F78</f>
        <v>-27.5535917925678</v>
      </c>
      <c r="G84" s="26" t="n">
        <f aca="false">G83-G78</f>
        <v>0.416253889746031</v>
      </c>
      <c r="H84" s="26" t="n">
        <f aca="false">H83-H78</f>
        <v>0.416253889746031</v>
      </c>
      <c r="I84" s="26" t="n">
        <f aca="false">I83-I78</f>
        <v>0.416253889746031</v>
      </c>
    </row>
    <row r="86" customFormat="false" ht="15" hidden="false" customHeight="false" outlineLevel="0" collapsed="false">
      <c r="B86" s="5" t="s">
        <v>361</v>
      </c>
      <c r="C86" s="6" t="s">
        <v>20</v>
      </c>
      <c r="D86" s="7" t="s">
        <v>111</v>
      </c>
    </row>
    <row r="87" customFormat="false" ht="15" hidden="false" customHeight="false" outlineLevel="0" collapsed="false">
      <c r="B87" s="8" t="s">
        <v>362</v>
      </c>
      <c r="C87" s="18" t="n">
        <f aca="false">-MIN($C$84:$I$84)</f>
        <v>52.3066334869727</v>
      </c>
    </row>
    <row r="88" customFormat="false" ht="15" hidden="false" customHeight="false" outlineLevel="0" collapsed="false">
      <c r="B88" s="8" t="s">
        <v>363</v>
      </c>
      <c r="C88" s="18" t="n">
        <f aca="false">INDEX($C$77:$I$77,MATCH(MIN($C$84:$I$84),$C$84:$I$84,0))</f>
        <v>900</v>
      </c>
      <c r="D88" s="4" t="s">
        <v>364</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X1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58"/>
    <col collapsed="false" customWidth="true" hidden="false" outlineLevel="0" max="25" min="3" style="0" width="10"/>
    <col collapsed="false" customWidth="true" hidden="false" outlineLevel="0" max="39" min="26" style="0" width="11"/>
  </cols>
  <sheetData>
    <row r="1" customFormat="false" ht="6" hidden="false" customHeight="true" outlineLevel="0" collapsed="false"/>
    <row r="2" customFormat="false" ht="15" hidden="false" customHeight="false" outlineLevel="0" collapsed="false">
      <c r="B2" s="1" t="s">
        <v>365</v>
      </c>
    </row>
    <row r="3" customFormat="false" ht="15" hidden="false" customHeight="false" outlineLevel="0" collapsed="false">
      <c r="B3" s="4" t="s">
        <v>366</v>
      </c>
    </row>
    <row r="5" customFormat="false" ht="15" hidden="false" customHeight="false" outlineLevel="0" collapsed="false">
      <c r="B5" s="2" t="s">
        <v>367</v>
      </c>
    </row>
    <row r="6" customFormat="false" ht="15" hidden="false" customHeight="false" outlineLevel="0" collapsed="false">
      <c r="B6" s="5" t="s">
        <v>110</v>
      </c>
      <c r="C6" s="6" t="s">
        <v>20</v>
      </c>
      <c r="D6" s="7" t="s">
        <v>111</v>
      </c>
    </row>
    <row r="7" customFormat="false" ht="15" hidden="false" customHeight="false" outlineLevel="0" collapsed="false">
      <c r="B7" s="8" t="s">
        <v>368</v>
      </c>
      <c r="C7" s="18" t="n">
        <f aca="false">Uptier!$C$22</f>
        <v>1470</v>
      </c>
    </row>
    <row r="8" customFormat="false" ht="15" hidden="false" customHeight="false" outlineLevel="0" collapsed="false">
      <c r="B8" s="8" t="s">
        <v>369</v>
      </c>
      <c r="C8" s="18" t="n">
        <f aca="false">Uptier!$C$28*Inputs!$C$24/12</f>
        <v>8</v>
      </c>
    </row>
    <row r="9" customFormat="false" ht="15" hidden="false" customHeight="false" outlineLevel="0" collapsed="false">
      <c r="B9" s="8" t="s">
        <v>370</v>
      </c>
      <c r="C9" s="18" t="n">
        <f aca="false">$C$7-$C$8</f>
        <v>1462</v>
      </c>
    </row>
    <row r="10" customFormat="false" ht="15" hidden="false" customHeight="false" outlineLevel="0" collapsed="false">
      <c r="B10" s="2" t="s">
        <v>371</v>
      </c>
      <c r="C10" s="26" t="n">
        <f aca="false">$C$9/Inputs!$C$77</f>
        <v>292.4</v>
      </c>
    </row>
    <row r="11" customFormat="false" ht="15" hidden="false" customHeight="false" outlineLevel="0" collapsed="false">
      <c r="B11" s="8" t="s">
        <v>372</v>
      </c>
      <c r="C11" s="30" t="n">
        <f aca="false">($C$10/Inputs!$C$10)^(12/Inputs!$C$24)-1</f>
        <v>0.347492289872915</v>
      </c>
    </row>
    <row r="12" customFormat="false" ht="15" hidden="false" customHeight="false" outlineLevel="0" collapsed="false">
      <c r="B12" s="8" t="s">
        <v>373</v>
      </c>
      <c r="C12" s="18" t="n">
        <f aca="false">Simplified_Waterfall!$C$10-Simplified_Waterfall!$C$16*Inputs!$C$24/12</f>
        <v>1326</v>
      </c>
    </row>
    <row r="13" customFormat="false" ht="15" hidden="false" customHeight="false" outlineLevel="0" collapsed="false">
      <c r="B13" s="8" t="s">
        <v>374</v>
      </c>
      <c r="C13" s="18" t="n">
        <f aca="false">$C$12/Inputs!$C$77</f>
        <v>265.2</v>
      </c>
    </row>
    <row r="14" customFormat="false" ht="15" hidden="false" customHeight="false" outlineLevel="0" collapsed="false">
      <c r="B14" s="8" t="s">
        <v>375</v>
      </c>
      <c r="C14" s="30" t="n">
        <f aca="false">($C$13/Inputs!$C$10)^(12/Inputs!$C$24)-1</f>
        <v>0.29904694438113</v>
      </c>
    </row>
    <row r="15" customFormat="false" ht="15" hidden="false" customHeight="false" outlineLevel="0" collapsed="false">
      <c r="B15" s="8" t="s">
        <v>376</v>
      </c>
      <c r="C15" s="18" t="n">
        <f aca="false">$C$10-$C$13</f>
        <v>27.2</v>
      </c>
    </row>
    <row r="17" customFormat="false" ht="15" hidden="false" customHeight="false" outlineLevel="0" collapsed="false">
      <c r="B17" s="5" t="s">
        <v>377</v>
      </c>
      <c r="C17" s="6" t="s">
        <v>104</v>
      </c>
      <c r="D17" s="6" t="s">
        <v>105</v>
      </c>
      <c r="E17" s="6" t="s">
        <v>106</v>
      </c>
      <c r="F17" s="6" t="s">
        <v>336</v>
      </c>
      <c r="G17" s="7" t="s">
        <v>111</v>
      </c>
    </row>
    <row r="18" customFormat="false" ht="15" hidden="false" customHeight="false" outlineLevel="0" collapsed="false">
      <c r="B18" s="8" t="s">
        <v>378</v>
      </c>
      <c r="C18" s="18" t="n">
        <f aca="false">Inputs!E84</f>
        <v>190</v>
      </c>
      <c r="D18" s="18" t="n">
        <f aca="false">Inputs!E85</f>
        <v>154</v>
      </c>
      <c r="E18" s="18" t="n">
        <f aca="false">Inputs!E86</f>
        <v>130</v>
      </c>
    </row>
    <row r="19" customFormat="false" ht="15" hidden="false" customHeight="false" outlineLevel="0" collapsed="false">
      <c r="B19" s="8" t="s">
        <v>379</v>
      </c>
      <c r="C19" s="18" t="n">
        <f aca="false">$C$10-C18</f>
        <v>102.4</v>
      </c>
      <c r="D19" s="18" t="n">
        <f aca="false">$C$10-D18</f>
        <v>138.4</v>
      </c>
      <c r="E19" s="18" t="n">
        <f aca="false">$C$10-E18</f>
        <v>162.4</v>
      </c>
    </row>
    <row r="20" customFormat="false" ht="15" hidden="false" customHeight="false" outlineLevel="0" collapsed="false">
      <c r="B20" s="8" t="s">
        <v>380</v>
      </c>
      <c r="C20" s="29" t="n">
        <f aca="false">IF(C18&gt;=$C$10,1,0)</f>
        <v>0</v>
      </c>
      <c r="D20" s="29" t="n">
        <f aca="false">IF(D18&gt;=$C$10,1,0)</f>
        <v>0</v>
      </c>
      <c r="E20" s="29" t="n">
        <f aca="false">IF(E18&gt;=$C$10,1,0)</f>
        <v>0</v>
      </c>
      <c r="F20" s="42" t="n">
        <f aca="false">SUM(C20:E20)</f>
        <v>0</v>
      </c>
      <c r="G20" s="4" t="s">
        <v>381</v>
      </c>
    </row>
    <row r="22" customFormat="false" ht="15" hidden="false" customHeight="false" outlineLevel="0" collapsed="false">
      <c r="B22" s="2" t="s">
        <v>382</v>
      </c>
    </row>
    <row r="23" customFormat="false" ht="15" hidden="false" customHeight="false" outlineLevel="0" collapsed="false">
      <c r="B23" s="5" t="s">
        <v>110</v>
      </c>
      <c r="C23" s="6" t="s">
        <v>20</v>
      </c>
      <c r="D23" s="7" t="s">
        <v>111</v>
      </c>
    </row>
    <row r="24" customFormat="false" ht="15" hidden="false" customHeight="false" outlineLevel="0" collapsed="false">
      <c r="B24" s="8" t="s">
        <v>383</v>
      </c>
      <c r="C24" s="18" t="n">
        <f aca="false">Inputs!$C$62</f>
        <v>12</v>
      </c>
    </row>
    <row r="25" customFormat="false" ht="15" hidden="false" customHeight="false" outlineLevel="0" collapsed="false">
      <c r="B25" s="8" t="s">
        <v>82</v>
      </c>
      <c r="C25" s="18" t="n">
        <f aca="false">Inputs!$C$58*Inputs!$C$59</f>
        <v>4</v>
      </c>
    </row>
    <row r="26" customFormat="false" ht="15" hidden="false" customHeight="false" outlineLevel="0" collapsed="false">
      <c r="B26" s="8" t="s">
        <v>384</v>
      </c>
      <c r="C26" s="18" t="n">
        <f aca="false">Inputs!$C$58*Uptier!$C$14*Inputs!$C$24/12</f>
        <v>57.6</v>
      </c>
    </row>
    <row r="27" customFormat="false" ht="15" hidden="false" customHeight="false" outlineLevel="0" collapsed="false">
      <c r="B27" s="22" t="s">
        <v>382</v>
      </c>
      <c r="C27" s="34" t="n">
        <f aca="false">$C$24+$C$25+$C$26</f>
        <v>73.6</v>
      </c>
    </row>
    <row r="29" customFormat="false" ht="15" hidden="false" customHeight="false" outlineLevel="0" collapsed="false">
      <c r="B29" s="2" t="s">
        <v>385</v>
      </c>
    </row>
    <row r="30" customFormat="false" ht="27" hidden="false" customHeight="true" outlineLevel="0" collapsed="false">
      <c r="B30" s="37" t="s">
        <v>318</v>
      </c>
      <c r="C30" s="38" t="s">
        <v>386</v>
      </c>
      <c r="D30" s="38" t="s">
        <v>319</v>
      </c>
      <c r="E30" s="38" t="s">
        <v>387</v>
      </c>
      <c r="F30" s="38" t="s">
        <v>388</v>
      </c>
      <c r="G30" s="38" t="s">
        <v>389</v>
      </c>
      <c r="H30" s="38" t="s">
        <v>390</v>
      </c>
      <c r="I30" s="38" t="s">
        <v>391</v>
      </c>
      <c r="J30" s="38" t="s">
        <v>392</v>
      </c>
      <c r="K30" s="38" t="s">
        <v>327</v>
      </c>
      <c r="L30" s="38" t="s">
        <v>393</v>
      </c>
      <c r="M30" s="38" t="s">
        <v>331</v>
      </c>
      <c r="N30" s="38" t="s">
        <v>394</v>
      </c>
      <c r="O30" s="38" t="s">
        <v>395</v>
      </c>
      <c r="P30" s="38" t="s">
        <v>396</v>
      </c>
      <c r="Q30" s="38" t="s">
        <v>397</v>
      </c>
      <c r="R30" s="38" t="s">
        <v>398</v>
      </c>
      <c r="S30" s="38" t="s">
        <v>399</v>
      </c>
      <c r="T30" s="38" t="s">
        <v>400</v>
      </c>
      <c r="U30" s="38" t="s">
        <v>401</v>
      </c>
      <c r="V30" s="38" t="s">
        <v>402</v>
      </c>
      <c r="W30" s="38" t="s">
        <v>403</v>
      </c>
      <c r="X30" s="38" t="s">
        <v>404</v>
      </c>
    </row>
    <row r="31" customFormat="false" ht="15" hidden="false" customHeight="false" outlineLevel="0" collapsed="false">
      <c r="B31" s="39" t="n">
        <v>1</v>
      </c>
      <c r="C31" s="29" t="n">
        <f aca="false">MIN(INT((B31-1)/12)+1,5)</f>
        <v>1</v>
      </c>
      <c r="D31" s="29" t="n">
        <f aca="false">IF(AND(B31&gt;=Inputs!$C$28,MOD(B31-Inputs!$C$28,(12/Inputs!$C$27))=0),1,0)</f>
        <v>0</v>
      </c>
      <c r="E31" s="21" t="n">
        <f aca="false">Inputs!$C$58*Uptier!$C$14/12</f>
        <v>1.8</v>
      </c>
      <c r="F31" s="21" t="n">
        <f aca="false">Uptier!$C$16*Simplified_Waterfall!$C$8/12</f>
        <v>3.9425</v>
      </c>
      <c r="G31" s="20" t="n">
        <f aca="false">Uptier!$C$17</f>
        <v>300</v>
      </c>
      <c r="H31" s="21" t="n">
        <f aca="false">G31*Simplified_Waterfall!$C$8/12</f>
        <v>2.075</v>
      </c>
      <c r="I31" s="21" t="n">
        <f aca="false">Uptier!$C$17*Inputs!$C$23/12</f>
        <v>0.25</v>
      </c>
      <c r="J31" s="20" t="n">
        <f aca="false">G31-I31</f>
        <v>299.75</v>
      </c>
      <c r="K31" s="20" t="n">
        <f aca="false">D31*Inputs!$C$25*Inputs!$C$26/Inputs!$C$27</f>
        <v>0</v>
      </c>
      <c r="L31" s="40" t="n">
        <f aca="false">1/(1+Uptier!$C$14/12)^B31</f>
        <v>0.991080277502478</v>
      </c>
      <c r="M31" s="40" t="n">
        <f aca="false">1/(1+Simplified_Waterfall!$C$8/12)^B31</f>
        <v>0.993130844988827</v>
      </c>
      <c r="N31" s="40" t="n">
        <f aca="false">1/(1+Inputs!$C$26/Inputs!$C$27)^(B31/(12/Inputs!$C$27))</f>
        <v>0.994082837859424</v>
      </c>
      <c r="O31" s="21" t="n">
        <f aca="false">E31*L31</f>
        <v>1.78394449950446</v>
      </c>
      <c r="P31" s="21" t="n">
        <f aca="false">F31*M31</f>
        <v>3.91541835636845</v>
      </c>
      <c r="Q31" s="21" t="n">
        <f aca="false">(H31+I31)*M31</f>
        <v>2.30902921459902</v>
      </c>
      <c r="R31" s="21" t="n">
        <f aca="false">K31*N31</f>
        <v>0</v>
      </c>
      <c r="S31" s="18" t="n">
        <f aca="false">INDEX(Inputs!$C$84:$G$84,C31)</f>
        <v>150</v>
      </c>
      <c r="T31" s="20" t="n">
        <f aca="false">Uptier!$C$20+S31/12-(Inputs!$C$11+Inputs!$C$12+Inputs!$C$13)/12-E31-F31-H31-I31-K31</f>
        <v>179.599166666667</v>
      </c>
      <c r="U31" s="18" t="n">
        <f aca="false">INDEX(Inputs!$C$85:$G$85,C31)</f>
        <v>138</v>
      </c>
      <c r="V31" s="20" t="n">
        <f aca="false">Uptier!$C$20+U31/12-(Inputs!$C$11+Inputs!$C$12+Inputs!$C$13)/12-E31-F31-H31-I31-K31</f>
        <v>178.599166666667</v>
      </c>
      <c r="W31" s="18" t="n">
        <f aca="false">INDEX(Inputs!$C$86:$G$86,C31)</f>
        <v>120</v>
      </c>
      <c r="X31" s="20" t="n">
        <f aca="false">Uptier!$C$20+W31/12-(Inputs!$C$11+Inputs!$C$12+Inputs!$C$13)/12-E31-F31-H31-I31-K31</f>
        <v>177.099166666667</v>
      </c>
    </row>
    <row r="32" customFormat="false" ht="15" hidden="false" customHeight="false" outlineLevel="0" collapsed="false">
      <c r="B32" s="39" t="n">
        <v>2</v>
      </c>
      <c r="C32" s="29" t="n">
        <f aca="false">MIN(INT((B32-1)/12)+1,5)</f>
        <v>1</v>
      </c>
      <c r="D32" s="29" t="n">
        <f aca="false">IF(AND(B32&gt;=Inputs!$C$28,MOD(B32-Inputs!$C$28,(12/Inputs!$C$27))=0),1,0)</f>
        <v>0</v>
      </c>
      <c r="E32" s="21" t="n">
        <f aca="false">Inputs!$C$58*Uptier!$C$14/12</f>
        <v>1.8</v>
      </c>
      <c r="F32" s="21" t="n">
        <f aca="false">Uptier!$C$16*Simplified_Waterfall!$C$8/12</f>
        <v>3.9425</v>
      </c>
      <c r="G32" s="20" t="n">
        <f aca="false">J31</f>
        <v>299.75</v>
      </c>
      <c r="H32" s="21" t="n">
        <f aca="false">G32*Simplified_Waterfall!$C$8/12</f>
        <v>2.07327083333333</v>
      </c>
      <c r="I32" s="21" t="n">
        <f aca="false">Uptier!$C$17*Inputs!$C$23/12</f>
        <v>0.25</v>
      </c>
      <c r="J32" s="20" t="n">
        <f aca="false">G32-I32</f>
        <v>299.5</v>
      </c>
      <c r="K32" s="20" t="n">
        <f aca="false">D32*Inputs!$C$25*Inputs!$C$26/Inputs!$C$27</f>
        <v>0</v>
      </c>
      <c r="L32" s="40" t="n">
        <f aca="false">1/(1+Uptier!$C$14/12)^B32</f>
        <v>0.982240116454388</v>
      </c>
      <c r="M32" s="40" t="n">
        <f aca="false">1/(1+Simplified_Waterfall!$C$8/12)^B32</f>
        <v>0.986308875268222</v>
      </c>
      <c r="N32" s="40" t="n">
        <f aca="false">1/(1+Inputs!$C$26/Inputs!$C$27)^(B32/(12/Inputs!$C$27))</f>
        <v>0.988200688526645</v>
      </c>
      <c r="O32" s="21" t="n">
        <f aca="false">E32*L32</f>
        <v>1.7680322096179</v>
      </c>
      <c r="P32" s="21" t="n">
        <f aca="false">F32*M32</f>
        <v>3.88852274074497</v>
      </c>
      <c r="Q32" s="21" t="n">
        <f aca="false">(H32+I32)*M32</f>
        <v>2.29146264256846</v>
      </c>
      <c r="R32" s="21" t="n">
        <f aca="false">K32*N32</f>
        <v>0</v>
      </c>
      <c r="S32" s="18" t="n">
        <f aca="false">INDEX(Inputs!$C$84:$G$84,C32)</f>
        <v>150</v>
      </c>
      <c r="T32" s="20" t="n">
        <f aca="false">T31+S32/12-(Inputs!$C$11+Inputs!$C$12+Inputs!$C$13)/12-E32-F32-H32-I32-K32</f>
        <v>180.2000625</v>
      </c>
      <c r="U32" s="18" t="n">
        <f aca="false">INDEX(Inputs!$C$85:$G$85,C32)</f>
        <v>138</v>
      </c>
      <c r="V32" s="20" t="n">
        <f aca="false">V31+U32/12-(Inputs!$C$11+Inputs!$C$12+Inputs!$C$13)/12-E32-F32-H32-I32-K32</f>
        <v>178.2000625</v>
      </c>
      <c r="W32" s="18" t="n">
        <f aca="false">INDEX(Inputs!$C$86:$G$86,C32)</f>
        <v>120</v>
      </c>
      <c r="X32" s="20" t="n">
        <f aca="false">X31+W32/12-(Inputs!$C$11+Inputs!$C$12+Inputs!$C$13)/12-E32-F32-H32-I32-K32</f>
        <v>175.2000625</v>
      </c>
    </row>
    <row r="33" customFormat="false" ht="15" hidden="false" customHeight="false" outlineLevel="0" collapsed="false">
      <c r="B33" s="39" t="n">
        <v>3</v>
      </c>
      <c r="C33" s="29" t="n">
        <f aca="false">MIN(INT((B33-1)/12)+1,5)</f>
        <v>1</v>
      </c>
      <c r="D33" s="29" t="n">
        <f aca="false">IF(AND(B33&gt;=Inputs!$C$28,MOD(B33-Inputs!$C$28,(12/Inputs!$C$27))=0),1,0)</f>
        <v>1</v>
      </c>
      <c r="E33" s="21" t="n">
        <f aca="false">Inputs!$C$58*Uptier!$C$14/12</f>
        <v>1.8</v>
      </c>
      <c r="F33" s="21" t="n">
        <f aca="false">Uptier!$C$16*Simplified_Waterfall!$C$8/12</f>
        <v>3.9425</v>
      </c>
      <c r="G33" s="20" t="n">
        <f aca="false">J32</f>
        <v>299.5</v>
      </c>
      <c r="H33" s="21" t="n">
        <f aca="false">G33*Simplified_Waterfall!$C$8/12</f>
        <v>2.07154166666667</v>
      </c>
      <c r="I33" s="21" t="n">
        <f aca="false">Uptier!$C$17*Inputs!$C$23/12</f>
        <v>0.25</v>
      </c>
      <c r="J33" s="20" t="n">
        <f aca="false">G33-I33</f>
        <v>299.25</v>
      </c>
      <c r="K33" s="20" t="n">
        <f aca="false">D33*Inputs!$C$25*Inputs!$C$26/Inputs!$C$27</f>
        <v>14.5</v>
      </c>
      <c r="L33" s="40" t="n">
        <f aca="false">1/(1+Uptier!$C$14/12)^B33</f>
        <v>0.973478807189682</v>
      </c>
      <c r="M33" s="40" t="n">
        <f aca="false">1/(1+Simplified_Waterfall!$C$8/12)^B33</f>
        <v>0.979533766715109</v>
      </c>
      <c r="N33" s="40" t="n">
        <f aca="false">1/(1+Inputs!$C$26/Inputs!$C$27)^(B33/(12/Inputs!$C$27))</f>
        <v>0.982353344825203</v>
      </c>
      <c r="O33" s="21" t="n">
        <f aca="false">E33*L33</f>
        <v>1.75226185294143</v>
      </c>
      <c r="P33" s="21" t="n">
        <f aca="false">F33*M33</f>
        <v>3.86181187527432</v>
      </c>
      <c r="Q33" s="21" t="n">
        <f aca="false">(H33+I33)*M33</f>
        <v>2.27402845333607</v>
      </c>
      <c r="R33" s="21" t="n">
        <f aca="false">K33*N33</f>
        <v>14.2441234999654</v>
      </c>
      <c r="S33" s="18" t="n">
        <f aca="false">INDEX(Inputs!$C$84:$G$84,C33)</f>
        <v>150</v>
      </c>
      <c r="T33" s="20" t="n">
        <f aca="false">T32+S33/12-(Inputs!$C$11+Inputs!$C$12+Inputs!$C$13)/12-E33-F33-H33-I33-K33</f>
        <v>166.3026875</v>
      </c>
      <c r="U33" s="18" t="n">
        <f aca="false">INDEX(Inputs!$C$85:$G$85,C33)</f>
        <v>138</v>
      </c>
      <c r="V33" s="20" t="n">
        <f aca="false">V32+U33/12-(Inputs!$C$11+Inputs!$C$12+Inputs!$C$13)/12-E33-F33-H33-I33-K33</f>
        <v>163.3026875</v>
      </c>
      <c r="W33" s="18" t="n">
        <f aca="false">INDEX(Inputs!$C$86:$G$86,C33)</f>
        <v>120</v>
      </c>
      <c r="X33" s="20" t="n">
        <f aca="false">X32+W33/12-(Inputs!$C$11+Inputs!$C$12+Inputs!$C$13)/12-E33-F33-H33-I33-K33</f>
        <v>158.8026875</v>
      </c>
    </row>
    <row r="34" customFormat="false" ht="15" hidden="false" customHeight="false" outlineLevel="0" collapsed="false">
      <c r="B34" s="39" t="n">
        <v>4</v>
      </c>
      <c r="C34" s="29" t="n">
        <f aca="false">MIN(INT((B34-1)/12)+1,5)</f>
        <v>1</v>
      </c>
      <c r="D34" s="29" t="n">
        <f aca="false">IF(AND(B34&gt;=Inputs!$C$28,MOD(B34-Inputs!$C$28,(12/Inputs!$C$27))=0),1,0)</f>
        <v>0</v>
      </c>
      <c r="E34" s="21" t="n">
        <f aca="false">Inputs!$C$58*Uptier!$C$14/12</f>
        <v>1.8</v>
      </c>
      <c r="F34" s="21" t="n">
        <f aca="false">Uptier!$C$16*Simplified_Waterfall!$C$8/12</f>
        <v>3.9425</v>
      </c>
      <c r="G34" s="20" t="n">
        <f aca="false">J33</f>
        <v>299.25</v>
      </c>
      <c r="H34" s="21" t="n">
        <f aca="false">G34*Simplified_Waterfall!$C$8/12</f>
        <v>2.0698125</v>
      </c>
      <c r="I34" s="21" t="n">
        <f aca="false">Uptier!$C$17*Inputs!$C$23/12</f>
        <v>0.25</v>
      </c>
      <c r="J34" s="20" t="n">
        <f aca="false">G34-I34</f>
        <v>299</v>
      </c>
      <c r="K34" s="20" t="n">
        <f aca="false">D34*Inputs!$C$25*Inputs!$C$26/Inputs!$C$27</f>
        <v>0</v>
      </c>
      <c r="L34" s="40" t="n">
        <f aca="false">1/(1+Uptier!$C$14/12)^B34</f>
        <v>0.96479564637233</v>
      </c>
      <c r="M34" s="40" t="n">
        <f aca="false">1/(1+Simplified_Waterfall!$C$8/12)^B34</f>
        <v>0.972805197432865</v>
      </c>
      <c r="N34" s="40" t="n">
        <f aca="false">1/(1+Inputs!$C$26/Inputs!$C$27)^(B34/(12/Inputs!$C$27))</f>
        <v>0.976540600804535</v>
      </c>
      <c r="O34" s="21" t="n">
        <f aca="false">E34*L34</f>
        <v>1.73663216347019</v>
      </c>
      <c r="P34" s="21" t="n">
        <f aca="false">F34*M34</f>
        <v>3.83528449087907</v>
      </c>
      <c r="Q34" s="21" t="n">
        <f aca="false">(H34+I34)*M34</f>
        <v>2.25672565706973</v>
      </c>
      <c r="R34" s="21" t="n">
        <f aca="false">K34*N34</f>
        <v>0</v>
      </c>
      <c r="S34" s="18" t="n">
        <f aca="false">INDEX(Inputs!$C$84:$G$84,C34)</f>
        <v>150</v>
      </c>
      <c r="T34" s="20" t="n">
        <f aca="false">T33+S34/12-(Inputs!$C$11+Inputs!$C$12+Inputs!$C$13)/12-E34-F34-H34-I34-K34</f>
        <v>166.907041666667</v>
      </c>
      <c r="U34" s="18" t="n">
        <f aca="false">INDEX(Inputs!$C$85:$G$85,C34)</f>
        <v>138</v>
      </c>
      <c r="V34" s="20" t="n">
        <f aca="false">V33+U34/12-(Inputs!$C$11+Inputs!$C$12+Inputs!$C$13)/12-E34-F34-H34-I34-K34</f>
        <v>162.907041666667</v>
      </c>
      <c r="W34" s="18" t="n">
        <f aca="false">INDEX(Inputs!$C$86:$G$86,C34)</f>
        <v>120</v>
      </c>
      <c r="X34" s="20" t="n">
        <f aca="false">X33+W34/12-(Inputs!$C$11+Inputs!$C$12+Inputs!$C$13)/12-E34-F34-H34-I34-K34</f>
        <v>156.907041666667</v>
      </c>
    </row>
    <row r="35" customFormat="false" ht="15" hidden="false" customHeight="false" outlineLevel="0" collapsed="false">
      <c r="B35" s="39" t="n">
        <v>5</v>
      </c>
      <c r="C35" s="29" t="n">
        <f aca="false">MIN(INT((B35-1)/12)+1,5)</f>
        <v>1</v>
      </c>
      <c r="D35" s="29" t="n">
        <f aca="false">IF(AND(B35&gt;=Inputs!$C$28,MOD(B35-Inputs!$C$28,(12/Inputs!$C$27))=0),1,0)</f>
        <v>0</v>
      </c>
      <c r="E35" s="21" t="n">
        <f aca="false">Inputs!$C$58*Uptier!$C$14/12</f>
        <v>1.8</v>
      </c>
      <c r="F35" s="21" t="n">
        <f aca="false">Uptier!$C$16*Simplified_Waterfall!$C$8/12</f>
        <v>3.9425</v>
      </c>
      <c r="G35" s="20" t="n">
        <f aca="false">J34</f>
        <v>299</v>
      </c>
      <c r="H35" s="21" t="n">
        <f aca="false">G35*Simplified_Waterfall!$C$8/12</f>
        <v>2.06808333333333</v>
      </c>
      <c r="I35" s="21" t="n">
        <f aca="false">Uptier!$C$17*Inputs!$C$23/12</f>
        <v>0.25</v>
      </c>
      <c r="J35" s="20" t="n">
        <f aca="false">G35-I35</f>
        <v>298.75</v>
      </c>
      <c r="K35" s="20" t="n">
        <f aca="false">D35*Inputs!$C$25*Inputs!$C$26/Inputs!$C$27</f>
        <v>0</v>
      </c>
      <c r="L35" s="40" t="n">
        <f aca="false">1/(1+Uptier!$C$14/12)^B35</f>
        <v>0.956189936939872</v>
      </c>
      <c r="M35" s="40" t="n">
        <f aca="false">1/(1+Simplified_Waterfall!$C$8/12)^B35</f>
        <v>0.966122847736024</v>
      </c>
      <c r="N35" s="40" t="n">
        <f aca="false">1/(1+Inputs!$C$26/Inputs!$C$27)^(B35/(12/Inputs!$C$27))</f>
        <v>0.970762251732718</v>
      </c>
      <c r="O35" s="21" t="n">
        <f aca="false">E35*L35</f>
        <v>1.72114188649177</v>
      </c>
      <c r="P35" s="21" t="n">
        <f aca="false">F35*M35</f>
        <v>3.80893932719928</v>
      </c>
      <c r="Q35" s="21" t="n">
        <f aca="false">(H35+I35)*M35</f>
        <v>2.23955327128942</v>
      </c>
      <c r="R35" s="21" t="n">
        <f aca="false">K35*N35</f>
        <v>0</v>
      </c>
      <c r="S35" s="18" t="n">
        <f aca="false">INDEX(Inputs!$C$84:$G$84,C35)</f>
        <v>150</v>
      </c>
      <c r="T35" s="20" t="n">
        <f aca="false">T34+S35/12-(Inputs!$C$11+Inputs!$C$12+Inputs!$C$13)/12-E35-F35-H35-I35-K35</f>
        <v>167.513125</v>
      </c>
      <c r="U35" s="18" t="n">
        <f aca="false">INDEX(Inputs!$C$85:$G$85,C35)</f>
        <v>138</v>
      </c>
      <c r="V35" s="20" t="n">
        <f aca="false">V34+U35/12-(Inputs!$C$11+Inputs!$C$12+Inputs!$C$13)/12-E35-F35-H35-I35-K35</f>
        <v>162.513125</v>
      </c>
      <c r="W35" s="18" t="n">
        <f aca="false">INDEX(Inputs!$C$86:$G$86,C35)</f>
        <v>120</v>
      </c>
      <c r="X35" s="20" t="n">
        <f aca="false">X34+W35/12-(Inputs!$C$11+Inputs!$C$12+Inputs!$C$13)/12-E35-F35-H35-I35-K35</f>
        <v>155.013125</v>
      </c>
    </row>
    <row r="36" customFormat="false" ht="15" hidden="false" customHeight="false" outlineLevel="0" collapsed="false">
      <c r="B36" s="39" t="n">
        <v>6</v>
      </c>
      <c r="C36" s="29" t="n">
        <f aca="false">MIN(INT((B36-1)/12)+1,5)</f>
        <v>1</v>
      </c>
      <c r="D36" s="29" t="n">
        <f aca="false">IF(AND(B36&gt;=Inputs!$C$28,MOD(B36-Inputs!$C$28,(12/Inputs!$C$27))=0),1,0)</f>
        <v>0</v>
      </c>
      <c r="E36" s="21" t="n">
        <f aca="false">Inputs!$C$58*Uptier!$C$14/12</f>
        <v>1.8</v>
      </c>
      <c r="F36" s="21" t="n">
        <f aca="false">Uptier!$C$16*Simplified_Waterfall!$C$8/12</f>
        <v>3.9425</v>
      </c>
      <c r="G36" s="20" t="n">
        <f aca="false">J35</f>
        <v>298.75</v>
      </c>
      <c r="H36" s="21" t="n">
        <f aca="false">G36*Simplified_Waterfall!$C$8/12</f>
        <v>2.06635416666667</v>
      </c>
      <c r="I36" s="21" t="n">
        <f aca="false">Uptier!$C$17*Inputs!$C$23/12</f>
        <v>0.25</v>
      </c>
      <c r="J36" s="20" t="n">
        <f aca="false">G36-I36</f>
        <v>298.5</v>
      </c>
      <c r="K36" s="20" t="n">
        <f aca="false">D36*Inputs!$C$25*Inputs!$C$26/Inputs!$C$27</f>
        <v>0</v>
      </c>
      <c r="L36" s="40" t="n">
        <f aca="false">1/(1+Uptier!$C$14/12)^B36</f>
        <v>0.947660988047445</v>
      </c>
      <c r="M36" s="40" t="n">
        <f aca="false">1/(1+Simplified_Waterfall!$C$8/12)^B36</f>
        <v>0.95948640013509</v>
      </c>
      <c r="N36" s="40" t="n">
        <f aca="false">1/(1+Inputs!$C$26/Inputs!$C$27)^(B36/(12/Inputs!$C$27))</f>
        <v>0.965018094089264</v>
      </c>
      <c r="O36" s="21" t="n">
        <f aca="false">E36*L36</f>
        <v>1.7057897784854</v>
      </c>
      <c r="P36" s="21" t="n">
        <f aca="false">F36*M36</f>
        <v>3.78277513253259</v>
      </c>
      <c r="Q36" s="21" t="n">
        <f aca="false">(H36+I36)*M36</f>
        <v>2.22251032081292</v>
      </c>
      <c r="R36" s="21" t="n">
        <f aca="false">K36*N36</f>
        <v>0</v>
      </c>
      <c r="S36" s="18" t="n">
        <f aca="false">INDEX(Inputs!$C$84:$G$84,C36)</f>
        <v>150</v>
      </c>
      <c r="T36" s="20" t="n">
        <f aca="false">T35+S36/12-(Inputs!$C$11+Inputs!$C$12+Inputs!$C$13)/12-E36-F36-H36-I36-K36</f>
        <v>168.1209375</v>
      </c>
      <c r="U36" s="18" t="n">
        <f aca="false">INDEX(Inputs!$C$85:$G$85,C36)</f>
        <v>138</v>
      </c>
      <c r="V36" s="20" t="n">
        <f aca="false">V35+U36/12-(Inputs!$C$11+Inputs!$C$12+Inputs!$C$13)/12-E36-F36-H36-I36-K36</f>
        <v>162.1209375</v>
      </c>
      <c r="W36" s="18" t="n">
        <f aca="false">INDEX(Inputs!$C$86:$G$86,C36)</f>
        <v>120</v>
      </c>
      <c r="X36" s="20" t="n">
        <f aca="false">X35+W36/12-(Inputs!$C$11+Inputs!$C$12+Inputs!$C$13)/12-E36-F36-H36-I36-K36</f>
        <v>153.1209375</v>
      </c>
    </row>
    <row r="37" customFormat="false" ht="15" hidden="false" customHeight="false" outlineLevel="0" collapsed="false">
      <c r="B37" s="39" t="n">
        <v>7</v>
      </c>
      <c r="C37" s="29" t="n">
        <f aca="false">MIN(INT((B37-1)/12)+1,5)</f>
        <v>1</v>
      </c>
      <c r="D37" s="29" t="n">
        <f aca="false">IF(AND(B37&gt;=Inputs!$C$28,MOD(B37-Inputs!$C$28,(12/Inputs!$C$27))=0),1,0)</f>
        <v>0</v>
      </c>
      <c r="E37" s="21" t="n">
        <f aca="false">Inputs!$C$58*Uptier!$C$14/12</f>
        <v>1.8</v>
      </c>
      <c r="F37" s="21" t="n">
        <f aca="false">Uptier!$C$16*Simplified_Waterfall!$C$8/12</f>
        <v>3.9425</v>
      </c>
      <c r="G37" s="20" t="n">
        <f aca="false">J36</f>
        <v>298.5</v>
      </c>
      <c r="H37" s="21" t="n">
        <f aca="false">G37*Simplified_Waterfall!$C$8/12</f>
        <v>2.064625</v>
      </c>
      <c r="I37" s="21" t="n">
        <f aca="false">Uptier!$C$17*Inputs!$C$23/12</f>
        <v>0.25</v>
      </c>
      <c r="J37" s="20" t="n">
        <f aca="false">G37-I37</f>
        <v>298.25</v>
      </c>
      <c r="K37" s="20" t="n">
        <f aca="false">D37*Inputs!$C$25*Inputs!$C$26/Inputs!$C$27</f>
        <v>0</v>
      </c>
      <c r="L37" s="40" t="n">
        <f aca="false">1/(1+Uptier!$C$14/12)^B37</f>
        <v>0.939208115012334</v>
      </c>
      <c r="M37" s="40" t="n">
        <f aca="false">1/(1+Simplified_Waterfall!$C$8/12)^B37</f>
        <v>0.95289553932145</v>
      </c>
      <c r="N37" s="40" t="n">
        <f aca="false">1/(1+Inputs!$C$26/Inputs!$C$27)^(B37/(12/Inputs!$C$27))</f>
        <v>0.959307925557948</v>
      </c>
      <c r="O37" s="21" t="n">
        <f aca="false">E37*L37</f>
        <v>1.6905746070222</v>
      </c>
      <c r="P37" s="21" t="n">
        <f aca="false">F37*M37</f>
        <v>3.75679066377482</v>
      </c>
      <c r="Q37" s="21" t="n">
        <f aca="false">(H37+I37)*M37</f>
        <v>2.20559583770191</v>
      </c>
      <c r="R37" s="21" t="n">
        <f aca="false">K37*N37</f>
        <v>0</v>
      </c>
      <c r="S37" s="18" t="n">
        <f aca="false">INDEX(Inputs!$C$84:$G$84,C37)</f>
        <v>150</v>
      </c>
      <c r="T37" s="20" t="n">
        <f aca="false">T36+S37/12-(Inputs!$C$11+Inputs!$C$12+Inputs!$C$13)/12-E37-F37-H37-I37-K37</f>
        <v>168.730479166667</v>
      </c>
      <c r="U37" s="18" t="n">
        <f aca="false">INDEX(Inputs!$C$85:$G$85,C37)</f>
        <v>138</v>
      </c>
      <c r="V37" s="20" t="n">
        <f aca="false">V36+U37/12-(Inputs!$C$11+Inputs!$C$12+Inputs!$C$13)/12-E37-F37-H37-I37-K37</f>
        <v>161.730479166667</v>
      </c>
      <c r="W37" s="18" t="n">
        <f aca="false">INDEX(Inputs!$C$86:$G$86,C37)</f>
        <v>120</v>
      </c>
      <c r="X37" s="20" t="n">
        <f aca="false">X36+W37/12-(Inputs!$C$11+Inputs!$C$12+Inputs!$C$13)/12-E37-F37-H37-I37-K37</f>
        <v>151.230479166667</v>
      </c>
    </row>
    <row r="38" customFormat="false" ht="15" hidden="false" customHeight="false" outlineLevel="0" collapsed="false">
      <c r="B38" s="39" t="n">
        <v>8</v>
      </c>
      <c r="C38" s="29" t="n">
        <f aca="false">MIN(INT((B38-1)/12)+1,5)</f>
        <v>1</v>
      </c>
      <c r="D38" s="29" t="n">
        <f aca="false">IF(AND(B38&gt;=Inputs!$C$28,MOD(B38-Inputs!$C$28,(12/Inputs!$C$27))=0),1,0)</f>
        <v>0</v>
      </c>
      <c r="E38" s="21" t="n">
        <f aca="false">Inputs!$C$58*Uptier!$C$14/12</f>
        <v>1.8</v>
      </c>
      <c r="F38" s="21" t="n">
        <f aca="false">Uptier!$C$16*Simplified_Waterfall!$C$8/12</f>
        <v>3.9425</v>
      </c>
      <c r="G38" s="20" t="n">
        <f aca="false">J37</f>
        <v>298.25</v>
      </c>
      <c r="H38" s="21" t="n">
        <f aca="false">G38*Simplified_Waterfall!$C$8/12</f>
        <v>2.06289583333333</v>
      </c>
      <c r="I38" s="21" t="n">
        <f aca="false">Uptier!$C$17*Inputs!$C$23/12</f>
        <v>0.25</v>
      </c>
      <c r="J38" s="20" t="n">
        <f aca="false">G38-I38</f>
        <v>298</v>
      </c>
      <c r="K38" s="20" t="n">
        <f aca="false">D38*Inputs!$C$25*Inputs!$C$26/Inputs!$C$27</f>
        <v>0</v>
      </c>
      <c r="L38" s="40" t="n">
        <f aca="false">1/(1+Uptier!$C$14/12)^B38</f>
        <v>0.930830639259003</v>
      </c>
      <c r="M38" s="40" t="n">
        <f aca="false">1/(1+Simplified_Waterfall!$C$8/12)^B38</f>
        <v>0.946349952152396</v>
      </c>
      <c r="N38" s="40" t="n">
        <f aca="false">1/(1+Inputs!$C$26/Inputs!$C$27)^(B38/(12/Inputs!$C$27))</f>
        <v>0.953631545019681</v>
      </c>
      <c r="O38" s="21" t="n">
        <f aca="false">E38*L38</f>
        <v>1.67549515066621</v>
      </c>
      <c r="P38" s="21" t="n">
        <f aca="false">F38*M38</f>
        <v>3.73098468636082</v>
      </c>
      <c r="Q38" s="21" t="n">
        <f aca="false">(H38+I38)*M38</f>
        <v>2.18880886120848</v>
      </c>
      <c r="R38" s="21" t="n">
        <f aca="false">K38*N38</f>
        <v>0</v>
      </c>
      <c r="S38" s="18" t="n">
        <f aca="false">INDEX(Inputs!$C$84:$G$84,C38)</f>
        <v>150</v>
      </c>
      <c r="T38" s="20" t="n">
        <f aca="false">T37+S38/12-(Inputs!$C$11+Inputs!$C$12+Inputs!$C$13)/12-E38-F38-H38-I38-K38</f>
        <v>169.34175</v>
      </c>
      <c r="U38" s="18" t="n">
        <f aca="false">INDEX(Inputs!$C$85:$G$85,C38)</f>
        <v>138</v>
      </c>
      <c r="V38" s="20" t="n">
        <f aca="false">V37+U38/12-(Inputs!$C$11+Inputs!$C$12+Inputs!$C$13)/12-E38-F38-H38-I38-K38</f>
        <v>161.34175</v>
      </c>
      <c r="W38" s="18" t="n">
        <f aca="false">INDEX(Inputs!$C$86:$G$86,C38)</f>
        <v>120</v>
      </c>
      <c r="X38" s="20" t="n">
        <f aca="false">X37+W38/12-(Inputs!$C$11+Inputs!$C$12+Inputs!$C$13)/12-E38-F38-H38-I38-K38</f>
        <v>149.34175</v>
      </c>
    </row>
    <row r="39" customFormat="false" ht="15" hidden="false" customHeight="false" outlineLevel="0" collapsed="false">
      <c r="B39" s="39" t="n">
        <v>9</v>
      </c>
      <c r="C39" s="29" t="n">
        <f aca="false">MIN(INT((B39-1)/12)+1,5)</f>
        <v>1</v>
      </c>
      <c r="D39" s="29" t="n">
        <f aca="false">IF(AND(B39&gt;=Inputs!$C$28,MOD(B39-Inputs!$C$28,(12/Inputs!$C$27))=0),1,0)</f>
        <v>1</v>
      </c>
      <c r="E39" s="21" t="n">
        <f aca="false">Inputs!$C$58*Uptier!$C$14/12</f>
        <v>1.8</v>
      </c>
      <c r="F39" s="21" t="n">
        <f aca="false">Uptier!$C$16*Simplified_Waterfall!$C$8/12</f>
        <v>3.9425</v>
      </c>
      <c r="G39" s="20" t="n">
        <f aca="false">J38</f>
        <v>298</v>
      </c>
      <c r="H39" s="21" t="n">
        <f aca="false">G39*Simplified_Waterfall!$C$8/12</f>
        <v>2.06116666666667</v>
      </c>
      <c r="I39" s="21" t="n">
        <f aca="false">Uptier!$C$17*Inputs!$C$23/12</f>
        <v>0.25</v>
      </c>
      <c r="J39" s="20" t="n">
        <f aca="false">G39-I39</f>
        <v>297.75</v>
      </c>
      <c r="K39" s="20" t="n">
        <f aca="false">D39*Inputs!$C$25*Inputs!$C$26/Inputs!$C$27</f>
        <v>14.5</v>
      </c>
      <c r="L39" s="40" t="n">
        <f aca="false">1/(1+Uptier!$C$14/12)^B39</f>
        <v>0.922527888264622</v>
      </c>
      <c r="M39" s="40" t="n">
        <f aca="false">1/(1+Simplified_Waterfall!$C$8/12)^B39</f>
        <v>0.939849327636245</v>
      </c>
      <c r="N39" s="40" t="n">
        <f aca="false">1/(1+Inputs!$C$26/Inputs!$C$27)^(B39/(12/Inputs!$C$27))</f>
        <v>0.947988752545431</v>
      </c>
      <c r="O39" s="21" t="n">
        <f aca="false">E39*L39</f>
        <v>1.66055019887632</v>
      </c>
      <c r="P39" s="21" t="n">
        <f aca="false">F39*M39</f>
        <v>3.7053559742059</v>
      </c>
      <c r="Q39" s="21" t="n">
        <f aca="false">(H39+I39)*M39</f>
        <v>2.17214843772197</v>
      </c>
      <c r="R39" s="21" t="n">
        <f aca="false">K39*N39</f>
        <v>13.7458369119088</v>
      </c>
      <c r="S39" s="18" t="n">
        <f aca="false">INDEX(Inputs!$C$84:$G$84,C39)</f>
        <v>150</v>
      </c>
      <c r="T39" s="20" t="n">
        <f aca="false">T38+S39/12-(Inputs!$C$11+Inputs!$C$12+Inputs!$C$13)/12-E39-F39-H39-I39-K39</f>
        <v>155.45475</v>
      </c>
      <c r="U39" s="18" t="n">
        <f aca="false">INDEX(Inputs!$C$85:$G$85,C39)</f>
        <v>138</v>
      </c>
      <c r="V39" s="20" t="n">
        <f aca="false">V38+U39/12-(Inputs!$C$11+Inputs!$C$12+Inputs!$C$13)/12-E39-F39-H39-I39-K39</f>
        <v>146.45475</v>
      </c>
      <c r="W39" s="18" t="n">
        <f aca="false">INDEX(Inputs!$C$86:$G$86,C39)</f>
        <v>120</v>
      </c>
      <c r="X39" s="20" t="n">
        <f aca="false">X38+W39/12-(Inputs!$C$11+Inputs!$C$12+Inputs!$C$13)/12-E39-F39-H39-I39-K39</f>
        <v>132.95475</v>
      </c>
    </row>
    <row r="40" customFormat="false" ht="15" hidden="false" customHeight="false" outlineLevel="0" collapsed="false">
      <c r="B40" s="39" t="n">
        <v>10</v>
      </c>
      <c r="C40" s="29" t="n">
        <f aca="false">MIN(INT((B40-1)/12)+1,5)</f>
        <v>1</v>
      </c>
      <c r="D40" s="29" t="n">
        <f aca="false">IF(AND(B40&gt;=Inputs!$C$28,MOD(B40-Inputs!$C$28,(12/Inputs!$C$27))=0),1,0)</f>
        <v>0</v>
      </c>
      <c r="E40" s="21" t="n">
        <f aca="false">Inputs!$C$58*Uptier!$C$14/12</f>
        <v>1.8</v>
      </c>
      <c r="F40" s="21" t="n">
        <f aca="false">Uptier!$C$16*Simplified_Waterfall!$C$8/12</f>
        <v>3.9425</v>
      </c>
      <c r="G40" s="20" t="n">
        <f aca="false">J39</f>
        <v>297.75</v>
      </c>
      <c r="H40" s="21" t="n">
        <f aca="false">G40*Simplified_Waterfall!$C$8/12</f>
        <v>2.0594375</v>
      </c>
      <c r="I40" s="21" t="n">
        <f aca="false">Uptier!$C$17*Inputs!$C$23/12</f>
        <v>0.25</v>
      </c>
      <c r="J40" s="20" t="n">
        <f aca="false">G40-I40</f>
        <v>297.5</v>
      </c>
      <c r="K40" s="20" t="n">
        <f aca="false">D40*Inputs!$C$25*Inputs!$C$26/Inputs!$C$27</f>
        <v>0</v>
      </c>
      <c r="L40" s="40" t="n">
        <f aca="false">1/(1+Uptier!$C$14/12)^B40</f>
        <v>0.914299195505076</v>
      </c>
      <c r="M40" s="40" t="n">
        <f aca="false">1/(1+Simplified_Waterfall!$C$8/12)^B40</f>
        <v>0.933393356917565</v>
      </c>
      <c r="N40" s="40" t="n">
        <f aca="false">1/(1+Inputs!$C$26/Inputs!$C$27)^(B40/(12/Inputs!$C$27))</f>
        <v>0.942379349389177</v>
      </c>
      <c r="O40" s="21" t="n">
        <f aca="false">E40*L40</f>
        <v>1.64573855190914</v>
      </c>
      <c r="P40" s="21" t="n">
        <f aca="false">F40*M40</f>
        <v>3.6799033096475</v>
      </c>
      <c r="Q40" s="21" t="n">
        <f aca="false">(H40+I40)*M40</f>
        <v>2.15561362071631</v>
      </c>
      <c r="R40" s="21" t="n">
        <f aca="false">K40*N40</f>
        <v>0</v>
      </c>
      <c r="S40" s="18" t="n">
        <f aca="false">INDEX(Inputs!$C$84:$G$84,C40)</f>
        <v>150</v>
      </c>
      <c r="T40" s="20" t="n">
        <f aca="false">T39+S40/12-(Inputs!$C$11+Inputs!$C$12+Inputs!$C$13)/12-E40-F40-H40-I40-K40</f>
        <v>156.069479166667</v>
      </c>
      <c r="U40" s="18" t="n">
        <f aca="false">INDEX(Inputs!$C$85:$G$85,C40)</f>
        <v>138</v>
      </c>
      <c r="V40" s="20" t="n">
        <f aca="false">V39+U40/12-(Inputs!$C$11+Inputs!$C$12+Inputs!$C$13)/12-E40-F40-H40-I40-K40</f>
        <v>146.069479166667</v>
      </c>
      <c r="W40" s="18" t="n">
        <f aca="false">INDEX(Inputs!$C$86:$G$86,C40)</f>
        <v>120</v>
      </c>
      <c r="X40" s="20" t="n">
        <f aca="false">X39+W40/12-(Inputs!$C$11+Inputs!$C$12+Inputs!$C$13)/12-E40-F40-H40-I40-K40</f>
        <v>131.069479166667</v>
      </c>
    </row>
    <row r="41" customFormat="false" ht="15" hidden="false" customHeight="false" outlineLevel="0" collapsed="false">
      <c r="B41" s="39" t="n">
        <v>11</v>
      </c>
      <c r="C41" s="29" t="n">
        <f aca="false">MIN(INT((B41-1)/12)+1,5)</f>
        <v>1</v>
      </c>
      <c r="D41" s="29" t="n">
        <f aca="false">IF(AND(B41&gt;=Inputs!$C$28,MOD(B41-Inputs!$C$28,(12/Inputs!$C$27))=0),1,0)</f>
        <v>0</v>
      </c>
      <c r="E41" s="21" t="n">
        <f aca="false">Inputs!$C$58*Uptier!$C$14/12</f>
        <v>1.8</v>
      </c>
      <c r="F41" s="21" t="n">
        <f aca="false">Uptier!$C$16*Simplified_Waterfall!$C$8/12</f>
        <v>3.9425</v>
      </c>
      <c r="G41" s="20" t="n">
        <f aca="false">J40</f>
        <v>297.5</v>
      </c>
      <c r="H41" s="21" t="n">
        <f aca="false">G41*Simplified_Waterfall!$C$8/12</f>
        <v>2.05770833333333</v>
      </c>
      <c r="I41" s="21" t="n">
        <f aca="false">Uptier!$C$17*Inputs!$C$23/12</f>
        <v>0.25</v>
      </c>
      <c r="J41" s="20" t="n">
        <f aca="false">G41-I41</f>
        <v>297.25</v>
      </c>
      <c r="K41" s="20" t="n">
        <f aca="false">D41*Inputs!$C$25*Inputs!$C$26/Inputs!$C$27</f>
        <v>0</v>
      </c>
      <c r="L41" s="40" t="n">
        <f aca="false">1/(1+Uptier!$C$14/12)^B41</f>
        <v>0.906143900401463</v>
      </c>
      <c r="M41" s="40" t="n">
        <f aca="false">1/(1+Simplified_Waterfall!$C$8/12)^B41</f>
        <v>0.9269817332625</v>
      </c>
      <c r="N41" s="40" t="n">
        <f aca="false">1/(1+Inputs!$C$26/Inputs!$C$27)^(B41/(12/Inputs!$C$27))</f>
        <v>0.93680313798091</v>
      </c>
      <c r="O41" s="21" t="n">
        <f aca="false">E41*L41</f>
        <v>1.63105902072263</v>
      </c>
      <c r="P41" s="21" t="n">
        <f aca="false">F41*M41</f>
        <v>3.6546254833874</v>
      </c>
      <c r="Q41" s="21" t="n">
        <f aca="false">(H41+I41)*M41</f>
        <v>2.13920347069765</v>
      </c>
      <c r="R41" s="21" t="n">
        <f aca="false">K41*N41</f>
        <v>0</v>
      </c>
      <c r="S41" s="18" t="n">
        <f aca="false">INDEX(Inputs!$C$84:$G$84,C41)</f>
        <v>150</v>
      </c>
      <c r="T41" s="20" t="n">
        <f aca="false">T40+S41/12-(Inputs!$C$11+Inputs!$C$12+Inputs!$C$13)/12-E41-F41-H41-I41-K41</f>
        <v>156.6859375</v>
      </c>
      <c r="U41" s="18" t="n">
        <f aca="false">INDEX(Inputs!$C$85:$G$85,C41)</f>
        <v>138</v>
      </c>
      <c r="V41" s="20" t="n">
        <f aca="false">V40+U41/12-(Inputs!$C$11+Inputs!$C$12+Inputs!$C$13)/12-E41-F41-H41-I41-K41</f>
        <v>145.6859375</v>
      </c>
      <c r="W41" s="18" t="n">
        <f aca="false">INDEX(Inputs!$C$86:$G$86,C41)</f>
        <v>120</v>
      </c>
      <c r="X41" s="20" t="n">
        <f aca="false">X40+W41/12-(Inputs!$C$11+Inputs!$C$12+Inputs!$C$13)/12-E41-F41-H41-I41-K41</f>
        <v>129.1859375</v>
      </c>
    </row>
    <row r="42" customFormat="false" ht="15" hidden="false" customHeight="false" outlineLevel="0" collapsed="false">
      <c r="B42" s="39" t="n">
        <v>12</v>
      </c>
      <c r="C42" s="29" t="n">
        <f aca="false">MIN(INT((B42-1)/12)+1,5)</f>
        <v>1</v>
      </c>
      <c r="D42" s="29" t="n">
        <f aca="false">IF(AND(B42&gt;=Inputs!$C$28,MOD(B42-Inputs!$C$28,(12/Inputs!$C$27))=0),1,0)</f>
        <v>0</v>
      </c>
      <c r="E42" s="21" t="n">
        <f aca="false">Inputs!$C$58*Uptier!$C$14/12</f>
        <v>1.8</v>
      </c>
      <c r="F42" s="21" t="n">
        <f aca="false">Uptier!$C$16*Simplified_Waterfall!$C$8/12</f>
        <v>3.9425</v>
      </c>
      <c r="G42" s="20" t="n">
        <f aca="false">J41</f>
        <v>297.25</v>
      </c>
      <c r="H42" s="21" t="n">
        <f aca="false">G42*Simplified_Waterfall!$C$8/12</f>
        <v>2.05597916666667</v>
      </c>
      <c r="I42" s="21" t="n">
        <f aca="false">Uptier!$C$17*Inputs!$C$23/12</f>
        <v>0.25</v>
      </c>
      <c r="J42" s="20" t="n">
        <f aca="false">G42-I42</f>
        <v>297</v>
      </c>
      <c r="K42" s="20" t="n">
        <f aca="false">D42*Inputs!$C$25*Inputs!$C$26/Inputs!$C$27</f>
        <v>0</v>
      </c>
      <c r="L42" s="40" t="n">
        <f aca="false">1/(1+Uptier!$C$14/12)^B42</f>
        <v>0.89806134826706</v>
      </c>
      <c r="M42" s="40" t="n">
        <f aca="false">1/(1+Simplified_Waterfall!$C$8/12)^B42</f>
        <v>0.920614152044194</v>
      </c>
      <c r="N42" s="40" t="n">
        <f aca="false">1/(1+Inputs!$C$26/Inputs!$C$27)^(B42/(12/Inputs!$C$27))</f>
        <v>0.931259921919676</v>
      </c>
      <c r="O42" s="21" t="n">
        <f aca="false">E42*L42</f>
        <v>1.61651042688071</v>
      </c>
      <c r="P42" s="21" t="n">
        <f aca="false">F42*M42</f>
        <v>3.62952129443423</v>
      </c>
      <c r="Q42" s="21" t="n">
        <f aca="false">(H42+I42)*M42</f>
        <v>2.12291705515241</v>
      </c>
      <c r="R42" s="21" t="n">
        <f aca="false">K42*N42</f>
        <v>0</v>
      </c>
      <c r="S42" s="18" t="n">
        <f aca="false">INDEX(Inputs!$C$84:$G$84,C42)</f>
        <v>150</v>
      </c>
      <c r="T42" s="20" t="n">
        <f aca="false">T41+S42/12-(Inputs!$C$11+Inputs!$C$12+Inputs!$C$13)/12-E42-F42-H42-I42-K42</f>
        <v>157.304125</v>
      </c>
      <c r="U42" s="18" t="n">
        <f aca="false">INDEX(Inputs!$C$85:$G$85,C42)</f>
        <v>138</v>
      </c>
      <c r="V42" s="20" t="n">
        <f aca="false">V41+U42/12-(Inputs!$C$11+Inputs!$C$12+Inputs!$C$13)/12-E42-F42-H42-I42-K42</f>
        <v>145.304125</v>
      </c>
      <c r="W42" s="18" t="n">
        <f aca="false">INDEX(Inputs!$C$86:$G$86,C42)</f>
        <v>120</v>
      </c>
      <c r="X42" s="20" t="n">
        <f aca="false">X41+W42/12-(Inputs!$C$11+Inputs!$C$12+Inputs!$C$13)/12-E42-F42-H42-I42-K42</f>
        <v>127.304125</v>
      </c>
    </row>
    <row r="43" customFormat="false" ht="15" hidden="false" customHeight="false" outlineLevel="0" collapsed="false">
      <c r="B43" s="39" t="n">
        <v>13</v>
      </c>
      <c r="C43" s="29" t="n">
        <f aca="false">MIN(INT((B43-1)/12)+1,5)</f>
        <v>2</v>
      </c>
      <c r="D43" s="29" t="n">
        <f aca="false">IF(AND(B43&gt;=Inputs!$C$28,MOD(B43-Inputs!$C$28,(12/Inputs!$C$27))=0),1,0)</f>
        <v>0</v>
      </c>
      <c r="E43" s="21" t="n">
        <f aca="false">Inputs!$C$58*Uptier!$C$14/12</f>
        <v>1.8</v>
      </c>
      <c r="F43" s="21" t="n">
        <f aca="false">Uptier!$C$16*Simplified_Waterfall!$C$8/12</f>
        <v>3.9425</v>
      </c>
      <c r="G43" s="20" t="n">
        <f aca="false">J42</f>
        <v>297</v>
      </c>
      <c r="H43" s="21" t="n">
        <f aca="false">G43*Simplified_Waterfall!$C$8/12</f>
        <v>2.05425</v>
      </c>
      <c r="I43" s="21" t="n">
        <f aca="false">Uptier!$C$17*Inputs!$C$23/12</f>
        <v>0.25</v>
      </c>
      <c r="J43" s="20" t="n">
        <f aca="false">G43-I43</f>
        <v>296.75</v>
      </c>
      <c r="K43" s="20" t="n">
        <f aca="false">D43*Inputs!$C$25*Inputs!$C$26/Inputs!$C$27</f>
        <v>0</v>
      </c>
      <c r="L43" s="40" t="n">
        <f aca="false">1/(1+Uptier!$C$14/12)^B43</f>
        <v>0.890050890254767</v>
      </c>
      <c r="M43" s="40" t="n">
        <f aca="false">1/(1+Simplified_Waterfall!$C$8/12)^B43</f>
        <v>0.914290310728323</v>
      </c>
      <c r="N43" s="40" t="n">
        <f aca="false">1/(1+Inputs!$C$26/Inputs!$C$27)^(B43/(12/Inputs!$C$27))</f>
        <v>0.925749505966657</v>
      </c>
      <c r="O43" s="21" t="n">
        <f aca="false">E43*L43</f>
        <v>1.60209160245858</v>
      </c>
      <c r="P43" s="21" t="n">
        <f aca="false">F43*M43</f>
        <v>3.60458955004641</v>
      </c>
      <c r="Q43" s="21" t="n">
        <f aca="false">(H43+I43)*M43</f>
        <v>2.10675344849574</v>
      </c>
      <c r="R43" s="21" t="n">
        <f aca="false">K43*N43</f>
        <v>0</v>
      </c>
      <c r="S43" s="18" t="n">
        <f aca="false">INDEX(Inputs!$C$84:$G$84,C43)</f>
        <v>172</v>
      </c>
      <c r="T43" s="20" t="n">
        <f aca="false">T42+S43/12-(Inputs!$C$11+Inputs!$C$12+Inputs!$C$13)/12-E43-F43-H43-I43-K43</f>
        <v>159.757375</v>
      </c>
      <c r="U43" s="18" t="n">
        <f aca="false">INDEX(Inputs!$C$85:$G$85,C43)</f>
        <v>146</v>
      </c>
      <c r="V43" s="20" t="n">
        <f aca="false">V42+U43/12-(Inputs!$C$11+Inputs!$C$12+Inputs!$C$13)/12-E43-F43-H43-I43-K43</f>
        <v>145.590708333333</v>
      </c>
      <c r="W43" s="18" t="n">
        <f aca="false">INDEX(Inputs!$C$86:$G$86,C43)</f>
        <v>124</v>
      </c>
      <c r="X43" s="20" t="n">
        <f aca="false">X42+W43/12-(Inputs!$C$11+Inputs!$C$12+Inputs!$C$13)/12-E43-F43-H43-I43-K43</f>
        <v>125.757375</v>
      </c>
    </row>
    <row r="44" customFormat="false" ht="15" hidden="false" customHeight="false" outlineLevel="0" collapsed="false">
      <c r="B44" s="39" t="n">
        <v>14</v>
      </c>
      <c r="C44" s="29" t="n">
        <f aca="false">MIN(INT((B44-1)/12)+1,5)</f>
        <v>2</v>
      </c>
      <c r="D44" s="29" t="n">
        <f aca="false">IF(AND(B44&gt;=Inputs!$C$28,MOD(B44-Inputs!$C$28,(12/Inputs!$C$27))=0),1,0)</f>
        <v>0</v>
      </c>
      <c r="E44" s="21" t="n">
        <f aca="false">Inputs!$C$58*Uptier!$C$14/12</f>
        <v>1.8</v>
      </c>
      <c r="F44" s="21" t="n">
        <f aca="false">Uptier!$C$16*Simplified_Waterfall!$C$8/12</f>
        <v>3.9425</v>
      </c>
      <c r="G44" s="20" t="n">
        <f aca="false">J43</f>
        <v>296.75</v>
      </c>
      <c r="H44" s="21" t="n">
        <f aca="false">G44*Simplified_Waterfall!$C$8/12</f>
        <v>2.05252083333333</v>
      </c>
      <c r="I44" s="21" t="n">
        <f aca="false">Uptier!$C$17*Inputs!$C$23/12</f>
        <v>0.25</v>
      </c>
      <c r="J44" s="20" t="n">
        <f aca="false">G44-I44</f>
        <v>296.5</v>
      </c>
      <c r="K44" s="20" t="n">
        <f aca="false">D44*Inputs!$C$25*Inputs!$C$26/Inputs!$C$27</f>
        <v>0</v>
      </c>
      <c r="L44" s="40" t="n">
        <f aca="false">1/(1+Uptier!$C$14/12)^B44</f>
        <v>0.882111883305022</v>
      </c>
      <c r="M44" s="40" t="n">
        <f aca="false">1/(1+Simplified_Waterfall!$C$8/12)^B44</f>
        <v>0.908009908858717</v>
      </c>
      <c r="N44" s="40" t="n">
        <f aca="false">1/(1+Inputs!$C$26/Inputs!$C$27)^(B44/(12/Inputs!$C$27))</f>
        <v>0.920271696038293</v>
      </c>
      <c r="O44" s="21" t="n">
        <f aca="false">E44*L44</f>
        <v>1.58780138994904</v>
      </c>
      <c r="P44" s="21" t="n">
        <f aca="false">F44*M44</f>
        <v>3.57982906567549</v>
      </c>
      <c r="Q44" s="21" t="n">
        <f aca="false">(H44+I44)*M44</f>
        <v>2.0907117320203</v>
      </c>
      <c r="R44" s="21" t="n">
        <f aca="false">K44*N44</f>
        <v>0</v>
      </c>
      <c r="S44" s="18" t="n">
        <f aca="false">INDEX(Inputs!$C$84:$G$84,C44)</f>
        <v>172</v>
      </c>
      <c r="T44" s="20" t="n">
        <f aca="false">T43+S44/12-(Inputs!$C$11+Inputs!$C$12+Inputs!$C$13)/12-E44-F44-H44-I44-K44</f>
        <v>162.212354166666</v>
      </c>
      <c r="U44" s="18" t="n">
        <f aca="false">INDEX(Inputs!$C$85:$G$85,C44)</f>
        <v>146</v>
      </c>
      <c r="V44" s="20" t="n">
        <f aca="false">V43+U44/12-(Inputs!$C$11+Inputs!$C$12+Inputs!$C$13)/12-E44-F44-H44-I44-K44</f>
        <v>145.879020833333</v>
      </c>
      <c r="W44" s="18" t="n">
        <f aca="false">INDEX(Inputs!$C$86:$G$86,C44)</f>
        <v>124</v>
      </c>
      <c r="X44" s="20" t="n">
        <f aca="false">X43+W44/12-(Inputs!$C$11+Inputs!$C$12+Inputs!$C$13)/12-E44-F44-H44-I44-K44</f>
        <v>124.212354166666</v>
      </c>
    </row>
    <row r="45" customFormat="false" ht="15" hidden="false" customHeight="false" outlineLevel="0" collapsed="false">
      <c r="B45" s="39" t="n">
        <v>15</v>
      </c>
      <c r="C45" s="29" t="n">
        <f aca="false">MIN(INT((B45-1)/12)+1,5)</f>
        <v>2</v>
      </c>
      <c r="D45" s="29" t="n">
        <f aca="false">IF(AND(B45&gt;=Inputs!$C$28,MOD(B45-Inputs!$C$28,(12/Inputs!$C$27))=0),1,0)</f>
        <v>1</v>
      </c>
      <c r="E45" s="21" t="n">
        <f aca="false">Inputs!$C$58*Uptier!$C$14/12</f>
        <v>1.8</v>
      </c>
      <c r="F45" s="21" t="n">
        <f aca="false">Uptier!$C$16*Simplified_Waterfall!$C$8/12</f>
        <v>3.9425</v>
      </c>
      <c r="G45" s="20" t="n">
        <f aca="false">J44</f>
        <v>296.5</v>
      </c>
      <c r="H45" s="21" t="n">
        <f aca="false">G45*Simplified_Waterfall!$C$8/12</f>
        <v>2.05079166666667</v>
      </c>
      <c r="I45" s="21" t="n">
        <f aca="false">Uptier!$C$17*Inputs!$C$23/12</f>
        <v>0.25</v>
      </c>
      <c r="J45" s="20" t="n">
        <f aca="false">G45-I45</f>
        <v>296.25</v>
      </c>
      <c r="K45" s="20" t="n">
        <f aca="false">D45*Inputs!$C$25*Inputs!$C$26/Inputs!$C$27</f>
        <v>14.5</v>
      </c>
      <c r="L45" s="40" t="n">
        <f aca="false">1/(1+Uptier!$C$14/12)^B45</f>
        <v>0.874243690094174</v>
      </c>
      <c r="M45" s="40" t="n">
        <f aca="false">1/(1+Simplified_Waterfall!$C$8/12)^B45</f>
        <v>0.901772648043086</v>
      </c>
      <c r="N45" s="40" t="n">
        <f aca="false">1/(1+Inputs!$C$26/Inputs!$C$27)^(B45/(12/Inputs!$C$27))</f>
        <v>0.914826299199451</v>
      </c>
      <c r="O45" s="21" t="n">
        <f aca="false">E45*L45</f>
        <v>1.57363864216951</v>
      </c>
      <c r="P45" s="21" t="n">
        <f aca="false">F45*M45</f>
        <v>3.55523866490986</v>
      </c>
      <c r="Q45" s="21" t="n">
        <f aca="false">(H45+I45)*M45</f>
        <v>2.07479099384546</v>
      </c>
      <c r="R45" s="21" t="n">
        <f aca="false">K45*N45</f>
        <v>13.264981338392</v>
      </c>
      <c r="S45" s="18" t="n">
        <f aca="false">INDEX(Inputs!$C$84:$G$84,C45)</f>
        <v>172</v>
      </c>
      <c r="T45" s="20" t="n">
        <f aca="false">T44+S45/12-(Inputs!$C$11+Inputs!$C$12+Inputs!$C$13)/12-E45-F45-H45-I45-K45</f>
        <v>150.1690625</v>
      </c>
      <c r="U45" s="18" t="n">
        <f aca="false">INDEX(Inputs!$C$85:$G$85,C45)</f>
        <v>146</v>
      </c>
      <c r="V45" s="20" t="n">
        <f aca="false">V44+U45/12-(Inputs!$C$11+Inputs!$C$12+Inputs!$C$13)/12-E45-F45-H45-I45-K45</f>
        <v>131.6690625</v>
      </c>
      <c r="W45" s="18" t="n">
        <f aca="false">INDEX(Inputs!$C$86:$G$86,C45)</f>
        <v>124</v>
      </c>
      <c r="X45" s="20" t="n">
        <f aca="false">X44+W45/12-(Inputs!$C$11+Inputs!$C$12+Inputs!$C$13)/12-E45-F45-H45-I45-K45</f>
        <v>108.1690625</v>
      </c>
    </row>
    <row r="46" customFormat="false" ht="15" hidden="false" customHeight="false" outlineLevel="0" collapsed="false">
      <c r="B46" s="39" t="n">
        <v>16</v>
      </c>
      <c r="C46" s="29" t="n">
        <f aca="false">MIN(INT((B46-1)/12)+1,5)</f>
        <v>2</v>
      </c>
      <c r="D46" s="29" t="n">
        <f aca="false">IF(AND(B46&gt;=Inputs!$C$28,MOD(B46-Inputs!$C$28,(12/Inputs!$C$27))=0),1,0)</f>
        <v>0</v>
      </c>
      <c r="E46" s="21" t="n">
        <f aca="false">Inputs!$C$58*Uptier!$C$14/12</f>
        <v>1.8</v>
      </c>
      <c r="F46" s="21" t="n">
        <f aca="false">Uptier!$C$16*Simplified_Waterfall!$C$8/12</f>
        <v>3.9425</v>
      </c>
      <c r="G46" s="20" t="n">
        <f aca="false">J45</f>
        <v>296.25</v>
      </c>
      <c r="H46" s="21" t="n">
        <f aca="false">G46*Simplified_Waterfall!$C$8/12</f>
        <v>2.0490625</v>
      </c>
      <c r="I46" s="21" t="n">
        <f aca="false">Uptier!$C$17*Inputs!$C$23/12</f>
        <v>0.25</v>
      </c>
      <c r="J46" s="20" t="n">
        <f aca="false">G46-I46</f>
        <v>296</v>
      </c>
      <c r="K46" s="20" t="n">
        <f aca="false">D46*Inputs!$C$25*Inputs!$C$26/Inputs!$C$27</f>
        <v>0</v>
      </c>
      <c r="L46" s="40" t="n">
        <f aca="false">1/(1+Uptier!$C$14/12)^B46</f>
        <v>0.866445678983324</v>
      </c>
      <c r="M46" s="40" t="n">
        <f aca="false">1/(1+Simplified_Waterfall!$C$8/12)^B46</f>
        <v>0.895578231938842</v>
      </c>
      <c r="N46" s="40" t="n">
        <f aca="false">1/(1+Inputs!$C$26/Inputs!$C$27)^(B46/(12/Inputs!$C$27))</f>
        <v>0.909413123656624</v>
      </c>
      <c r="O46" s="21" t="n">
        <f aca="false">E46*L46</f>
        <v>1.55960222216998</v>
      </c>
      <c r="P46" s="21" t="n">
        <f aca="false">F46*M46</f>
        <v>3.53081717941888</v>
      </c>
      <c r="Q46" s="21" t="n">
        <f aca="false">(H46+I46)*M46</f>
        <v>2.05899032886689</v>
      </c>
      <c r="R46" s="21" t="n">
        <f aca="false">K46*N46</f>
        <v>0</v>
      </c>
      <c r="S46" s="18" t="n">
        <f aca="false">INDEX(Inputs!$C$84:$G$84,C46)</f>
        <v>172</v>
      </c>
      <c r="T46" s="20" t="n">
        <f aca="false">T45+S46/12-(Inputs!$C$11+Inputs!$C$12+Inputs!$C$13)/12-E46-F46-H46-I46-K46</f>
        <v>152.6275</v>
      </c>
      <c r="U46" s="18" t="n">
        <f aca="false">INDEX(Inputs!$C$85:$G$85,C46)</f>
        <v>146</v>
      </c>
      <c r="V46" s="20" t="n">
        <f aca="false">V45+U46/12-(Inputs!$C$11+Inputs!$C$12+Inputs!$C$13)/12-E46-F46-H46-I46-K46</f>
        <v>131.960833333333</v>
      </c>
      <c r="W46" s="18" t="n">
        <f aca="false">INDEX(Inputs!$C$86:$G$86,C46)</f>
        <v>124</v>
      </c>
      <c r="X46" s="20" t="n">
        <f aca="false">X45+W46/12-(Inputs!$C$11+Inputs!$C$12+Inputs!$C$13)/12-E46-F46-H46-I46-K46</f>
        <v>106.6275</v>
      </c>
    </row>
    <row r="47" customFormat="false" ht="15" hidden="false" customHeight="false" outlineLevel="0" collapsed="false">
      <c r="B47" s="39" t="n">
        <v>17</v>
      </c>
      <c r="C47" s="29" t="n">
        <f aca="false">MIN(INT((B47-1)/12)+1,5)</f>
        <v>2</v>
      </c>
      <c r="D47" s="29" t="n">
        <f aca="false">IF(AND(B47&gt;=Inputs!$C$28,MOD(B47-Inputs!$C$28,(12/Inputs!$C$27))=0),1,0)</f>
        <v>0</v>
      </c>
      <c r="E47" s="21" t="n">
        <f aca="false">Inputs!$C$58*Uptier!$C$14/12</f>
        <v>1.8</v>
      </c>
      <c r="F47" s="21" t="n">
        <f aca="false">Uptier!$C$16*Simplified_Waterfall!$C$8/12</f>
        <v>3.9425</v>
      </c>
      <c r="G47" s="20" t="n">
        <f aca="false">J46</f>
        <v>296</v>
      </c>
      <c r="H47" s="21" t="n">
        <f aca="false">G47*Simplified_Waterfall!$C$8/12</f>
        <v>2.04733333333333</v>
      </c>
      <c r="I47" s="21" t="n">
        <f aca="false">Uptier!$C$17*Inputs!$C$23/12</f>
        <v>0.25</v>
      </c>
      <c r="J47" s="20" t="n">
        <f aca="false">G47-I47</f>
        <v>295.75</v>
      </c>
      <c r="K47" s="20" t="n">
        <f aca="false">D47*Inputs!$C$25*Inputs!$C$26/Inputs!$C$27</f>
        <v>0</v>
      </c>
      <c r="L47" s="40" t="n">
        <f aca="false">1/(1+Uptier!$C$14/12)^B47</f>
        <v>0.858717223967616</v>
      </c>
      <c r="M47" s="40" t="n">
        <f aca="false">1/(1+Simplified_Waterfall!$C$8/12)^B47</f>
        <v>0.889426366239022</v>
      </c>
      <c r="N47" s="40" t="n">
        <f aca="false">1/(1+Inputs!$C$26/Inputs!$C$27)^(B47/(12/Inputs!$C$27))</f>
        <v>0.90403197875118</v>
      </c>
      <c r="O47" s="21" t="n">
        <f aca="false">E47*L47</f>
        <v>1.54569100314171</v>
      </c>
      <c r="P47" s="21" t="n">
        <f aca="false">F47*M47</f>
        <v>3.50656344889734</v>
      </c>
      <c r="Q47" s="21" t="n">
        <f aca="false">(H47+I47)*M47</f>
        <v>2.04330883870645</v>
      </c>
      <c r="R47" s="21" t="n">
        <f aca="false">K47*N47</f>
        <v>0</v>
      </c>
      <c r="S47" s="18" t="n">
        <f aca="false">INDEX(Inputs!$C$84:$G$84,C47)</f>
        <v>172</v>
      </c>
      <c r="T47" s="20" t="n">
        <f aca="false">T46+S47/12-(Inputs!$C$11+Inputs!$C$12+Inputs!$C$13)/12-E47-F47-H47-I47-K47</f>
        <v>155.087666666666</v>
      </c>
      <c r="U47" s="18" t="n">
        <f aca="false">INDEX(Inputs!$C$85:$G$85,C47)</f>
        <v>146</v>
      </c>
      <c r="V47" s="20" t="n">
        <f aca="false">V46+U47/12-(Inputs!$C$11+Inputs!$C$12+Inputs!$C$13)/12-E47-F47-H47-I47-K47</f>
        <v>132.254333333333</v>
      </c>
      <c r="W47" s="18" t="n">
        <f aca="false">INDEX(Inputs!$C$86:$G$86,C47)</f>
        <v>124</v>
      </c>
      <c r="X47" s="20" t="n">
        <f aca="false">X46+W47/12-(Inputs!$C$11+Inputs!$C$12+Inputs!$C$13)/12-E47-F47-H47-I47-K47</f>
        <v>105.087666666666</v>
      </c>
    </row>
    <row r="48" customFormat="false" ht="15" hidden="false" customHeight="false" outlineLevel="0" collapsed="false">
      <c r="B48" s="39" t="n">
        <v>18</v>
      </c>
      <c r="C48" s="29" t="n">
        <f aca="false">MIN(INT((B48-1)/12)+1,5)</f>
        <v>2</v>
      </c>
      <c r="D48" s="29" t="n">
        <f aca="false">IF(AND(B48&gt;=Inputs!$C$28,MOD(B48-Inputs!$C$28,(12/Inputs!$C$27))=0),1,0)</f>
        <v>0</v>
      </c>
      <c r="E48" s="21" t="n">
        <f aca="false">Inputs!$C$58*Uptier!$C$14/12</f>
        <v>1.8</v>
      </c>
      <c r="F48" s="21" t="n">
        <f aca="false">Uptier!$C$16*Simplified_Waterfall!$C$8/12</f>
        <v>3.9425</v>
      </c>
      <c r="G48" s="20" t="n">
        <f aca="false">J47</f>
        <v>295.75</v>
      </c>
      <c r="H48" s="21" t="n">
        <f aca="false">G48*Simplified_Waterfall!$C$8/12</f>
        <v>2.04560416666667</v>
      </c>
      <c r="I48" s="21" t="n">
        <f aca="false">Uptier!$C$17*Inputs!$C$23/12</f>
        <v>0.25</v>
      </c>
      <c r="J48" s="20" t="n">
        <f aca="false">G48-I48</f>
        <v>295.5</v>
      </c>
      <c r="K48" s="20" t="n">
        <f aca="false">D48*Inputs!$C$25*Inputs!$C$26/Inputs!$C$27</f>
        <v>0</v>
      </c>
      <c r="L48" s="40" t="n">
        <f aca="false">1/(1+Uptier!$C$14/12)^B48</f>
        <v>0.851057704625982</v>
      </c>
      <c r="M48" s="40" t="n">
        <f aca="false">1/(1+Simplified_Waterfall!$C$8/12)^B48</f>
        <v>0.883316758658302</v>
      </c>
      <c r="N48" s="40" t="n">
        <f aca="false">1/(1+Inputs!$C$26/Inputs!$C$27)^(B48/(12/Inputs!$C$27))</f>
        <v>0.898682674952643</v>
      </c>
      <c r="O48" s="21" t="n">
        <f aca="false">E48*L48</f>
        <v>1.53190386832677</v>
      </c>
      <c r="P48" s="21" t="n">
        <f aca="false">F48*M48</f>
        <v>3.48247632101036</v>
      </c>
      <c r="Q48" s="21" t="n">
        <f aca="false">(H48+I48)*M48</f>
        <v>2.02774563166249</v>
      </c>
      <c r="R48" s="21" t="n">
        <f aca="false">K48*N48</f>
        <v>0</v>
      </c>
      <c r="S48" s="18" t="n">
        <f aca="false">INDEX(Inputs!$C$84:$G$84,C48)</f>
        <v>172</v>
      </c>
      <c r="T48" s="20" t="n">
        <f aca="false">T47+S48/12-(Inputs!$C$11+Inputs!$C$12+Inputs!$C$13)/12-E48-F48-H48-I48-K48</f>
        <v>157.5495625</v>
      </c>
      <c r="U48" s="18" t="n">
        <f aca="false">INDEX(Inputs!$C$85:$G$85,C48)</f>
        <v>146</v>
      </c>
      <c r="V48" s="20" t="n">
        <f aca="false">V47+U48/12-(Inputs!$C$11+Inputs!$C$12+Inputs!$C$13)/12-E48-F48-H48-I48-K48</f>
        <v>132.5495625</v>
      </c>
      <c r="W48" s="18" t="n">
        <f aca="false">INDEX(Inputs!$C$86:$G$86,C48)</f>
        <v>124</v>
      </c>
      <c r="X48" s="20" t="n">
        <f aca="false">X47+W48/12-(Inputs!$C$11+Inputs!$C$12+Inputs!$C$13)/12-E48-F48-H48-I48-K48</f>
        <v>103.5495625</v>
      </c>
    </row>
    <row r="49" customFormat="false" ht="15" hidden="false" customHeight="false" outlineLevel="0" collapsed="false">
      <c r="B49" s="39" t="n">
        <v>19</v>
      </c>
      <c r="C49" s="29" t="n">
        <f aca="false">MIN(INT((B49-1)/12)+1,5)</f>
        <v>2</v>
      </c>
      <c r="D49" s="29" t="n">
        <f aca="false">IF(AND(B49&gt;=Inputs!$C$28,MOD(B49-Inputs!$C$28,(12/Inputs!$C$27))=0),1,0)</f>
        <v>0</v>
      </c>
      <c r="E49" s="21" t="n">
        <f aca="false">Inputs!$C$58*Uptier!$C$14/12</f>
        <v>1.8</v>
      </c>
      <c r="F49" s="21" t="n">
        <f aca="false">Uptier!$C$16*Simplified_Waterfall!$C$8/12</f>
        <v>3.9425</v>
      </c>
      <c r="G49" s="20" t="n">
        <f aca="false">J48</f>
        <v>295.5</v>
      </c>
      <c r="H49" s="21" t="n">
        <f aca="false">G49*Simplified_Waterfall!$C$8/12</f>
        <v>2.043875</v>
      </c>
      <c r="I49" s="21" t="n">
        <f aca="false">Uptier!$C$17*Inputs!$C$23/12</f>
        <v>0.25</v>
      </c>
      <c r="J49" s="20" t="n">
        <f aca="false">G49-I49</f>
        <v>295.25</v>
      </c>
      <c r="K49" s="20" t="n">
        <f aca="false">D49*Inputs!$C$25*Inputs!$C$26/Inputs!$C$27</f>
        <v>0</v>
      </c>
      <c r="L49" s="40" t="n">
        <f aca="false">1/(1+Uptier!$C$14/12)^B49</f>
        <v>0.84346650607134</v>
      </c>
      <c r="M49" s="40" t="n">
        <f aca="false">1/(1+Simplified_Waterfall!$C$8/12)^B49</f>
        <v>0.877249118919111</v>
      </c>
      <c r="N49" s="40" t="n">
        <f aca="false">1/(1+Inputs!$C$26/Inputs!$C$27)^(B49/(12/Inputs!$C$27))</f>
        <v>0.893365023852021</v>
      </c>
      <c r="O49" s="21" t="n">
        <f aca="false">E49*L49</f>
        <v>1.51823971092841</v>
      </c>
      <c r="P49" s="21" t="n">
        <f aca="false">F49*M49</f>
        <v>3.4585546513386</v>
      </c>
      <c r="Q49" s="21" t="n">
        <f aca="false">(H49+I49)*M49</f>
        <v>2.01229982266058</v>
      </c>
      <c r="R49" s="21" t="n">
        <f aca="false">K49*N49</f>
        <v>0</v>
      </c>
      <c r="S49" s="18" t="n">
        <f aca="false">INDEX(Inputs!$C$84:$G$84,C49)</f>
        <v>172</v>
      </c>
      <c r="T49" s="20" t="n">
        <f aca="false">T48+S49/12-(Inputs!$C$11+Inputs!$C$12+Inputs!$C$13)/12-E49-F49-H49-I49-K49</f>
        <v>160.0131875</v>
      </c>
      <c r="U49" s="18" t="n">
        <f aca="false">INDEX(Inputs!$C$85:$G$85,C49)</f>
        <v>146</v>
      </c>
      <c r="V49" s="20" t="n">
        <f aca="false">V48+U49/12-(Inputs!$C$11+Inputs!$C$12+Inputs!$C$13)/12-E49-F49-H49-I49-K49</f>
        <v>132.846520833333</v>
      </c>
      <c r="W49" s="18" t="n">
        <f aca="false">INDEX(Inputs!$C$86:$G$86,C49)</f>
        <v>124</v>
      </c>
      <c r="X49" s="20" t="n">
        <f aca="false">X48+W49/12-(Inputs!$C$11+Inputs!$C$12+Inputs!$C$13)/12-E49-F49-H49-I49-K49</f>
        <v>102.0131875</v>
      </c>
    </row>
    <row r="50" customFormat="false" ht="15" hidden="false" customHeight="false" outlineLevel="0" collapsed="false">
      <c r="B50" s="39" t="n">
        <v>20</v>
      </c>
      <c r="C50" s="29" t="n">
        <f aca="false">MIN(INT((B50-1)/12)+1,5)</f>
        <v>2</v>
      </c>
      <c r="D50" s="29" t="n">
        <f aca="false">IF(AND(B50&gt;=Inputs!$C$28,MOD(B50-Inputs!$C$28,(12/Inputs!$C$27))=0),1,0)</f>
        <v>0</v>
      </c>
      <c r="E50" s="21" t="n">
        <f aca="false">Inputs!$C$58*Uptier!$C$14/12</f>
        <v>1.8</v>
      </c>
      <c r="F50" s="21" t="n">
        <f aca="false">Uptier!$C$16*Simplified_Waterfall!$C$8/12</f>
        <v>3.9425</v>
      </c>
      <c r="G50" s="20" t="n">
        <f aca="false">J49</f>
        <v>295.25</v>
      </c>
      <c r="H50" s="21" t="n">
        <f aca="false">G50*Simplified_Waterfall!$C$8/12</f>
        <v>2.04214583333333</v>
      </c>
      <c r="I50" s="21" t="n">
        <f aca="false">Uptier!$C$17*Inputs!$C$23/12</f>
        <v>0.25</v>
      </c>
      <c r="J50" s="20" t="n">
        <f aca="false">G50-I50</f>
        <v>295</v>
      </c>
      <c r="K50" s="20" t="n">
        <f aca="false">D50*Inputs!$C$25*Inputs!$C$26/Inputs!$C$27</f>
        <v>0</v>
      </c>
      <c r="L50" s="40" t="n">
        <f aca="false">1/(1+Uptier!$C$14/12)^B50</f>
        <v>0.835943018901229</v>
      </c>
      <c r="M50" s="40" t="n">
        <f aca="false">1/(1+Simplified_Waterfall!$C$8/12)^B50</f>
        <v>0.871223158737841</v>
      </c>
      <c r="N50" s="40" t="n">
        <f aca="false">1/(1+Inputs!$C$26/Inputs!$C$27)^(B50/(12/Inputs!$C$27))</f>
        <v>0.888078838155168</v>
      </c>
      <c r="O50" s="21" t="n">
        <f aca="false">E50*L50</f>
        <v>1.50469743402221</v>
      </c>
      <c r="P50" s="21" t="n">
        <f aca="false">F50*M50</f>
        <v>3.43479730332394</v>
      </c>
      <c r="Q50" s="21" t="n">
        <f aca="false">(H50+I50)*M50</f>
        <v>1.99697053320445</v>
      </c>
      <c r="R50" s="21" t="n">
        <f aca="false">K50*N50</f>
        <v>0</v>
      </c>
      <c r="S50" s="18" t="n">
        <f aca="false">INDEX(Inputs!$C$84:$G$84,C50)</f>
        <v>172</v>
      </c>
      <c r="T50" s="20" t="n">
        <f aca="false">T49+S50/12-(Inputs!$C$11+Inputs!$C$12+Inputs!$C$13)/12-E50-F50-H50-I50-K50</f>
        <v>162.478541666666</v>
      </c>
      <c r="U50" s="18" t="n">
        <f aca="false">INDEX(Inputs!$C$85:$G$85,C50)</f>
        <v>146</v>
      </c>
      <c r="V50" s="20" t="n">
        <f aca="false">V49+U50/12-(Inputs!$C$11+Inputs!$C$12+Inputs!$C$13)/12-E50-F50-H50-I50-K50</f>
        <v>133.145208333333</v>
      </c>
      <c r="W50" s="18" t="n">
        <f aca="false">INDEX(Inputs!$C$86:$G$86,C50)</f>
        <v>124</v>
      </c>
      <c r="X50" s="20" t="n">
        <f aca="false">X49+W50/12-(Inputs!$C$11+Inputs!$C$12+Inputs!$C$13)/12-E50-F50-H50-I50-K50</f>
        <v>100.478541666666</v>
      </c>
    </row>
    <row r="51" customFormat="false" ht="15" hidden="false" customHeight="false" outlineLevel="0" collapsed="false">
      <c r="B51" s="39" t="n">
        <v>21</v>
      </c>
      <c r="C51" s="29" t="n">
        <f aca="false">MIN(INT((B51-1)/12)+1,5)</f>
        <v>2</v>
      </c>
      <c r="D51" s="29" t="n">
        <f aca="false">IF(AND(B51&gt;=Inputs!$C$28,MOD(B51-Inputs!$C$28,(12/Inputs!$C$27))=0),1,0)</f>
        <v>1</v>
      </c>
      <c r="E51" s="21" t="n">
        <f aca="false">Inputs!$C$58*Uptier!$C$14/12</f>
        <v>1.8</v>
      </c>
      <c r="F51" s="21" t="n">
        <f aca="false">Uptier!$C$16*Simplified_Waterfall!$C$8/12</f>
        <v>3.9425</v>
      </c>
      <c r="G51" s="20" t="n">
        <f aca="false">J50</f>
        <v>295</v>
      </c>
      <c r="H51" s="21" t="n">
        <f aca="false">G51*Simplified_Waterfall!$C$8/12</f>
        <v>2.04041666666667</v>
      </c>
      <c r="I51" s="21" t="n">
        <f aca="false">Uptier!$C$17*Inputs!$C$23/12</f>
        <v>0.25</v>
      </c>
      <c r="J51" s="20" t="n">
        <f aca="false">G51-I51</f>
        <v>294.75</v>
      </c>
      <c r="K51" s="20" t="n">
        <f aca="false">D51*Inputs!$C$25*Inputs!$C$26/Inputs!$C$27</f>
        <v>14.5</v>
      </c>
      <c r="L51" s="40" t="n">
        <f aca="false">1/(1+Uptier!$C$14/12)^B51</f>
        <v>0.828486639148889</v>
      </c>
      <c r="M51" s="40" t="n">
        <f aca="false">1/(1+Simplified_Waterfall!$C$8/12)^B51</f>
        <v>0.865238591811148</v>
      </c>
      <c r="N51" s="40" t="n">
        <f aca="false">1/(1+Inputs!$C$26/Inputs!$C$27)^(B51/(12/Inputs!$C$27))</f>
        <v>0.882823931676189</v>
      </c>
      <c r="O51" s="21" t="n">
        <f aca="false">E51*L51</f>
        <v>1.491275950468</v>
      </c>
      <c r="P51" s="21" t="n">
        <f aca="false">F51*M51</f>
        <v>3.41120314821545</v>
      </c>
      <c r="Q51" s="21" t="n">
        <f aca="false">(H51+I51)*M51</f>
        <v>1.98175689132745</v>
      </c>
      <c r="R51" s="21" t="n">
        <f aca="false">K51*N51</f>
        <v>12.8009470093047</v>
      </c>
      <c r="S51" s="18" t="n">
        <f aca="false">INDEX(Inputs!$C$84:$G$84,C51)</f>
        <v>172</v>
      </c>
      <c r="T51" s="20" t="n">
        <f aca="false">T50+S51/12-(Inputs!$C$11+Inputs!$C$12+Inputs!$C$13)/12-E51-F51-H51-I51-K51</f>
        <v>150.445625</v>
      </c>
      <c r="U51" s="18" t="n">
        <f aca="false">INDEX(Inputs!$C$85:$G$85,C51)</f>
        <v>146</v>
      </c>
      <c r="V51" s="20" t="n">
        <f aca="false">V50+U51/12-(Inputs!$C$11+Inputs!$C$12+Inputs!$C$13)/12-E51-F51-H51-I51-K51</f>
        <v>118.945625</v>
      </c>
      <c r="W51" s="18" t="n">
        <f aca="false">INDEX(Inputs!$C$86:$G$86,C51)</f>
        <v>124</v>
      </c>
      <c r="X51" s="20" t="n">
        <f aca="false">X50+W51/12-(Inputs!$C$11+Inputs!$C$12+Inputs!$C$13)/12-E51-F51-H51-I51-K51</f>
        <v>84.4456249999998</v>
      </c>
    </row>
    <row r="52" customFormat="false" ht="15" hidden="false" customHeight="false" outlineLevel="0" collapsed="false">
      <c r="B52" s="39" t="n">
        <v>22</v>
      </c>
      <c r="C52" s="29" t="n">
        <f aca="false">MIN(INT((B52-1)/12)+1,5)</f>
        <v>2</v>
      </c>
      <c r="D52" s="29" t="n">
        <f aca="false">IF(AND(B52&gt;=Inputs!$C$28,MOD(B52-Inputs!$C$28,(12/Inputs!$C$27))=0),1,0)</f>
        <v>0</v>
      </c>
      <c r="E52" s="21" t="n">
        <f aca="false">Inputs!$C$58*Uptier!$C$14/12</f>
        <v>1.8</v>
      </c>
      <c r="F52" s="21" t="n">
        <f aca="false">Uptier!$C$16*Simplified_Waterfall!$C$8/12</f>
        <v>3.9425</v>
      </c>
      <c r="G52" s="20" t="n">
        <f aca="false">J51</f>
        <v>294.75</v>
      </c>
      <c r="H52" s="21" t="n">
        <f aca="false">G52*Simplified_Waterfall!$C$8/12</f>
        <v>2.0386875</v>
      </c>
      <c r="I52" s="21" t="n">
        <f aca="false">Uptier!$C$17*Inputs!$C$23/12</f>
        <v>0.25</v>
      </c>
      <c r="J52" s="20" t="n">
        <f aca="false">G52-I52</f>
        <v>294.5</v>
      </c>
      <c r="K52" s="20" t="n">
        <f aca="false">D52*Inputs!$C$25*Inputs!$C$26/Inputs!$C$27</f>
        <v>0</v>
      </c>
      <c r="L52" s="40" t="n">
        <f aca="false">1/(1+Uptier!$C$14/12)^B52</f>
        <v>0.821096768234776</v>
      </c>
      <c r="M52" s="40" t="n">
        <f aca="false">1/(1+Simplified_Waterfall!$C$8/12)^B52</f>
        <v>0.859295133802348</v>
      </c>
      <c r="N52" s="40" t="n">
        <f aca="false">1/(1+Inputs!$C$26/Inputs!$C$27)^(B52/(12/Inputs!$C$27))</f>
        <v>0.87760011933088</v>
      </c>
      <c r="O52" s="21" t="n">
        <f aca="false">E52*L52</f>
        <v>1.4779741828226</v>
      </c>
      <c r="P52" s="21" t="n">
        <f aca="false">F52*M52</f>
        <v>3.38777106501576</v>
      </c>
      <c r="Q52" s="21" t="n">
        <f aca="false">(H52+I52)*M52</f>
        <v>1.96665803154426</v>
      </c>
      <c r="R52" s="21" t="n">
        <f aca="false">K52*N52</f>
        <v>0</v>
      </c>
      <c r="S52" s="18" t="n">
        <f aca="false">INDEX(Inputs!$C$84:$G$84,C52)</f>
        <v>172</v>
      </c>
      <c r="T52" s="20" t="n">
        <f aca="false">T51+S52/12-(Inputs!$C$11+Inputs!$C$12+Inputs!$C$13)/12-E52-F52-H52-I52-K52</f>
        <v>152.9144375</v>
      </c>
      <c r="U52" s="18" t="n">
        <f aca="false">INDEX(Inputs!$C$85:$G$85,C52)</f>
        <v>146</v>
      </c>
      <c r="V52" s="20" t="n">
        <f aca="false">V51+U52/12-(Inputs!$C$11+Inputs!$C$12+Inputs!$C$13)/12-E52-F52-H52-I52-K52</f>
        <v>119.247770833333</v>
      </c>
      <c r="W52" s="18" t="n">
        <f aca="false">INDEX(Inputs!$C$86:$G$86,C52)</f>
        <v>124</v>
      </c>
      <c r="X52" s="20" t="n">
        <f aca="false">X51+W52/12-(Inputs!$C$11+Inputs!$C$12+Inputs!$C$13)/12-E52-F52-H52-I52-K52</f>
        <v>82.9144374999998</v>
      </c>
    </row>
    <row r="53" customFormat="false" ht="15" hidden="false" customHeight="false" outlineLevel="0" collapsed="false">
      <c r="B53" s="39" t="n">
        <v>23</v>
      </c>
      <c r="C53" s="29" t="n">
        <f aca="false">MIN(INT((B53-1)/12)+1,5)</f>
        <v>2</v>
      </c>
      <c r="D53" s="29" t="n">
        <f aca="false">IF(AND(B53&gt;=Inputs!$C$28,MOD(B53-Inputs!$C$28,(12/Inputs!$C$27))=0),1,0)</f>
        <v>0</v>
      </c>
      <c r="E53" s="21" t="n">
        <f aca="false">Inputs!$C$58*Uptier!$C$14/12</f>
        <v>1.8</v>
      </c>
      <c r="F53" s="21" t="n">
        <f aca="false">Uptier!$C$16*Simplified_Waterfall!$C$8/12</f>
        <v>3.9425</v>
      </c>
      <c r="G53" s="20" t="n">
        <f aca="false">J52</f>
        <v>294.5</v>
      </c>
      <c r="H53" s="21" t="n">
        <f aca="false">G53*Simplified_Waterfall!$C$8/12</f>
        <v>2.03695833333333</v>
      </c>
      <c r="I53" s="21" t="n">
        <f aca="false">Uptier!$C$17*Inputs!$C$23/12</f>
        <v>0.25</v>
      </c>
      <c r="J53" s="20" t="n">
        <f aca="false">G53-I53</f>
        <v>294.25</v>
      </c>
      <c r="K53" s="20" t="n">
        <f aca="false">D53*Inputs!$C$25*Inputs!$C$26/Inputs!$C$27</f>
        <v>0</v>
      </c>
      <c r="L53" s="40" t="n">
        <f aca="false">1/(1+Uptier!$C$14/12)^B53</f>
        <v>0.81377281291851</v>
      </c>
      <c r="M53" s="40" t="n">
        <f aca="false">1/(1+Simplified_Waterfall!$C$8/12)^B53</f>
        <v>0.853392502327913</v>
      </c>
      <c r="N53" s="40" t="n">
        <f aca="false">1/(1+Inputs!$C$26/Inputs!$C$27)^(B53/(12/Inputs!$C$27))</f>
        <v>0.87240721713021</v>
      </c>
      <c r="O53" s="21" t="n">
        <f aca="false">E53*L53</f>
        <v>1.46479106325332</v>
      </c>
      <c r="P53" s="21" t="n">
        <f aca="false">F53*M53</f>
        <v>3.3644999404278</v>
      </c>
      <c r="Q53" s="21" t="n">
        <f aca="false">(H53+I53)*M53</f>
        <v>1.95167309480301</v>
      </c>
      <c r="R53" s="21" t="n">
        <f aca="false">K53*N53</f>
        <v>0</v>
      </c>
      <c r="S53" s="18" t="n">
        <f aca="false">INDEX(Inputs!$C$84:$G$84,C53)</f>
        <v>172</v>
      </c>
      <c r="T53" s="20" t="n">
        <f aca="false">T52+S53/12-(Inputs!$C$11+Inputs!$C$12+Inputs!$C$13)/12-E53-F53-H53-I53-K53</f>
        <v>155.384979166666</v>
      </c>
      <c r="U53" s="18" t="n">
        <f aca="false">INDEX(Inputs!$C$85:$G$85,C53)</f>
        <v>146</v>
      </c>
      <c r="V53" s="20" t="n">
        <f aca="false">V52+U53/12-(Inputs!$C$11+Inputs!$C$12+Inputs!$C$13)/12-E53-F53-H53-I53-K53</f>
        <v>119.551645833333</v>
      </c>
      <c r="W53" s="18" t="n">
        <f aca="false">INDEX(Inputs!$C$86:$G$86,C53)</f>
        <v>124</v>
      </c>
      <c r="X53" s="20" t="n">
        <f aca="false">X52+W53/12-(Inputs!$C$11+Inputs!$C$12+Inputs!$C$13)/12-E53-F53-H53-I53-K53</f>
        <v>81.3849791666665</v>
      </c>
    </row>
    <row r="54" customFormat="false" ht="15" hidden="false" customHeight="false" outlineLevel="0" collapsed="false">
      <c r="B54" s="39" t="n">
        <v>24</v>
      </c>
      <c r="C54" s="29" t="n">
        <f aca="false">MIN(INT((B54-1)/12)+1,5)</f>
        <v>2</v>
      </c>
      <c r="D54" s="29" t="n">
        <f aca="false">IF(AND(B54&gt;=Inputs!$C$28,MOD(B54-Inputs!$C$28,(12/Inputs!$C$27))=0),1,0)</f>
        <v>0</v>
      </c>
      <c r="E54" s="21" t="n">
        <f aca="false">Inputs!$C$58*Uptier!$C$14/12</f>
        <v>1.8</v>
      </c>
      <c r="F54" s="21" t="n">
        <f aca="false">Uptier!$C$16*Simplified_Waterfall!$C$8/12</f>
        <v>3.9425</v>
      </c>
      <c r="G54" s="20" t="n">
        <f aca="false">J53</f>
        <v>294.25</v>
      </c>
      <c r="H54" s="21" t="n">
        <f aca="false">G54*Simplified_Waterfall!$C$8/12</f>
        <v>2.03522916666667</v>
      </c>
      <c r="I54" s="21" t="n">
        <f aca="false">Uptier!$C$17*Inputs!$C$23/12</f>
        <v>0.25</v>
      </c>
      <c r="J54" s="20" t="n">
        <f aca="false">G54-I54</f>
        <v>294</v>
      </c>
      <c r="K54" s="20" t="n">
        <f aca="false">D54*Inputs!$C$25*Inputs!$C$26/Inputs!$C$27</f>
        <v>0</v>
      </c>
      <c r="L54" s="40" t="n">
        <f aca="false">1/(1+Uptier!$C$14/12)^B54</f>
        <v>0.806514185251249</v>
      </c>
      <c r="M54" s="40" t="n">
        <f aca="false">1/(1+Simplified_Waterfall!$C$8/12)^B54</f>
        <v>0.84753041694405</v>
      </c>
      <c r="N54" s="40" t="n">
        <f aca="false">1/(1+Inputs!$C$26/Inputs!$C$27)^(B54/(12/Inputs!$C$27))</f>
        <v>0.867245042173841</v>
      </c>
      <c r="O54" s="21" t="n">
        <f aca="false">E54*L54</f>
        <v>1.45172553345225</v>
      </c>
      <c r="P54" s="21" t="n">
        <f aca="false">F54*M54</f>
        <v>3.34138866880192</v>
      </c>
      <c r="Q54" s="21" t="n">
        <f aca="false">(H54+I54)*M54</f>
        <v>1.9368012284377</v>
      </c>
      <c r="R54" s="21" t="n">
        <f aca="false">K54*N54</f>
        <v>0</v>
      </c>
      <c r="S54" s="18" t="n">
        <f aca="false">INDEX(Inputs!$C$84:$G$84,C54)</f>
        <v>172</v>
      </c>
      <c r="T54" s="20" t="n">
        <f aca="false">T53+S54/12-(Inputs!$C$11+Inputs!$C$12+Inputs!$C$13)/12-E54-F54-H54-I54-K54</f>
        <v>157.85725</v>
      </c>
      <c r="U54" s="18" t="n">
        <f aca="false">INDEX(Inputs!$C$85:$G$85,C54)</f>
        <v>146</v>
      </c>
      <c r="V54" s="20" t="n">
        <f aca="false">V53+U54/12-(Inputs!$C$11+Inputs!$C$12+Inputs!$C$13)/12-E54-F54-H54-I54-K54</f>
        <v>119.85725</v>
      </c>
      <c r="W54" s="18" t="n">
        <f aca="false">INDEX(Inputs!$C$86:$G$86,C54)</f>
        <v>124</v>
      </c>
      <c r="X54" s="20" t="n">
        <f aca="false">X53+W54/12-(Inputs!$C$11+Inputs!$C$12+Inputs!$C$13)/12-E54-F54-H54-I54-K54</f>
        <v>79.8572499999998</v>
      </c>
    </row>
    <row r="55" customFormat="false" ht="15" hidden="false" customHeight="false" outlineLevel="0" collapsed="false">
      <c r="B55" s="39" t="n">
        <v>25</v>
      </c>
      <c r="C55" s="29" t="n">
        <f aca="false">MIN(INT((B55-1)/12)+1,5)</f>
        <v>3</v>
      </c>
      <c r="D55" s="29" t="n">
        <f aca="false">IF(AND(B55&gt;=Inputs!$C$28,MOD(B55-Inputs!$C$28,(12/Inputs!$C$27))=0),1,0)</f>
        <v>0</v>
      </c>
      <c r="E55" s="21" t="n">
        <f aca="false">Inputs!$C$58*Uptier!$C$14/12</f>
        <v>1.8</v>
      </c>
      <c r="F55" s="21" t="n">
        <f aca="false">Uptier!$C$16*Simplified_Waterfall!$C$8/12</f>
        <v>3.9425</v>
      </c>
      <c r="G55" s="20" t="n">
        <f aca="false">J54</f>
        <v>294</v>
      </c>
      <c r="H55" s="21" t="n">
        <f aca="false">G55*Simplified_Waterfall!$C$8/12</f>
        <v>2.0335</v>
      </c>
      <c r="I55" s="21" t="n">
        <f aca="false">Uptier!$C$17*Inputs!$C$23/12</f>
        <v>0.25</v>
      </c>
      <c r="J55" s="20" t="n">
        <f aca="false">G55-I55</f>
        <v>293.75</v>
      </c>
      <c r="K55" s="20" t="n">
        <f aca="false">D55*Inputs!$C$25*Inputs!$C$26/Inputs!$C$27</f>
        <v>0</v>
      </c>
      <c r="L55" s="40" t="n">
        <f aca="false">1/(1+Uptier!$C$14/12)^B55</f>
        <v>0.799320302528492</v>
      </c>
      <c r="M55" s="40" t="n">
        <f aca="false">1/(1+Simplified_Waterfall!$C$8/12)^B55</f>
        <v>0.841708599133378</v>
      </c>
      <c r="N55" s="40" t="n">
        <f aca="false">1/(1+Inputs!$C$26/Inputs!$C$27)^(B55/(12/Inputs!$C$27))</f>
        <v>0.862113412643688</v>
      </c>
      <c r="O55" s="21" t="n">
        <f aca="false">E55*L55</f>
        <v>1.43877654455129</v>
      </c>
      <c r="P55" s="21" t="n">
        <f aca="false">F55*M55</f>
        <v>3.31843615208334</v>
      </c>
      <c r="Q55" s="21" t="n">
        <f aca="false">(H55+I55)*M55</f>
        <v>1.92204158612107</v>
      </c>
      <c r="R55" s="21" t="n">
        <f aca="false">K55*N55</f>
        <v>0</v>
      </c>
      <c r="S55" s="18" t="n">
        <f aca="false">INDEX(Inputs!$C$84:$G$84,C55)</f>
        <v>190</v>
      </c>
      <c r="T55" s="20" t="n">
        <f aca="false">T54+S55/12-(Inputs!$C$11+Inputs!$C$12+Inputs!$C$13)/12-E55-F55-H55-I55-K55</f>
        <v>161.83125</v>
      </c>
      <c r="U55" s="18" t="n">
        <f aca="false">INDEX(Inputs!$C$85:$G$85,C55)</f>
        <v>154</v>
      </c>
      <c r="V55" s="20" t="n">
        <f aca="false">V54+U55/12-(Inputs!$C$11+Inputs!$C$12+Inputs!$C$13)/12-E55-F55-H55-I55-K55</f>
        <v>120.83125</v>
      </c>
      <c r="W55" s="18" t="n">
        <f aca="false">INDEX(Inputs!$C$86:$G$86,C55)</f>
        <v>130</v>
      </c>
      <c r="X55" s="20" t="n">
        <f aca="false">X54+W55/12-(Inputs!$C$11+Inputs!$C$12+Inputs!$C$13)/12-E55-F55-H55-I55-K55</f>
        <v>78.8312499999998</v>
      </c>
    </row>
    <row r="56" customFormat="false" ht="15" hidden="false" customHeight="false" outlineLevel="0" collapsed="false">
      <c r="B56" s="39" t="n">
        <v>26</v>
      </c>
      <c r="C56" s="29" t="n">
        <f aca="false">MIN(INT((B56-1)/12)+1,5)</f>
        <v>3</v>
      </c>
      <c r="D56" s="29" t="n">
        <f aca="false">IF(AND(B56&gt;=Inputs!$C$28,MOD(B56-Inputs!$C$28,(12/Inputs!$C$27))=0),1,0)</f>
        <v>0</v>
      </c>
      <c r="E56" s="21" t="n">
        <f aca="false">Inputs!$C$58*Uptier!$C$14/12</f>
        <v>1.8</v>
      </c>
      <c r="F56" s="21" t="n">
        <f aca="false">Uptier!$C$16*Simplified_Waterfall!$C$8/12</f>
        <v>3.9425</v>
      </c>
      <c r="G56" s="20" t="n">
        <f aca="false">J55</f>
        <v>293.75</v>
      </c>
      <c r="H56" s="21" t="n">
        <f aca="false">G56*Simplified_Waterfall!$C$8/12</f>
        <v>2.03177083333333</v>
      </c>
      <c r="I56" s="21" t="n">
        <f aca="false">Uptier!$C$17*Inputs!$C$23/12</f>
        <v>0.25</v>
      </c>
      <c r="J56" s="20" t="n">
        <f aca="false">G56-I56</f>
        <v>293.5</v>
      </c>
      <c r="K56" s="20" t="n">
        <f aca="false">D56*Inputs!$C$25*Inputs!$C$26/Inputs!$C$27</f>
        <v>0</v>
      </c>
      <c r="L56" s="40" t="n">
        <f aca="false">1/(1+Uptier!$C$14/12)^B56</f>
        <v>0.792190587243303</v>
      </c>
      <c r="M56" s="40" t="n">
        <f aca="false">1/(1+Simplified_Waterfall!$C$8/12)^B56</f>
        <v>0.835926772291694</v>
      </c>
      <c r="N56" s="40" t="n">
        <f aca="false">1/(1+Inputs!$C$26/Inputs!$C$27)^(B56/(12/Inputs!$C$27))</f>
        <v>0.857012147797509</v>
      </c>
      <c r="O56" s="21" t="n">
        <f aca="false">E56*L56</f>
        <v>1.42594305703794</v>
      </c>
      <c r="P56" s="21" t="n">
        <f aca="false">F56*M56</f>
        <v>3.29564129976</v>
      </c>
      <c r="Q56" s="21" t="n">
        <f aca="false">(H56+I56)*M56</f>
        <v>1.90739332781766</v>
      </c>
      <c r="R56" s="21" t="n">
        <f aca="false">K56*N56</f>
        <v>0</v>
      </c>
      <c r="S56" s="18" t="n">
        <f aca="false">INDEX(Inputs!$C$84:$G$84,C56)</f>
        <v>190</v>
      </c>
      <c r="T56" s="20" t="n">
        <f aca="false">T55+S56/12-(Inputs!$C$11+Inputs!$C$12+Inputs!$C$13)/12-E56-F56-H56-I56-K56</f>
        <v>165.806979166666</v>
      </c>
      <c r="U56" s="18" t="n">
        <f aca="false">INDEX(Inputs!$C$85:$G$85,C56)</f>
        <v>154</v>
      </c>
      <c r="V56" s="20" t="n">
        <f aca="false">V55+U56/12-(Inputs!$C$11+Inputs!$C$12+Inputs!$C$13)/12-E56-F56-H56-I56-K56</f>
        <v>121.806979166666</v>
      </c>
      <c r="W56" s="18" t="n">
        <f aca="false">INDEX(Inputs!$C$86:$G$86,C56)</f>
        <v>130</v>
      </c>
      <c r="X56" s="20" t="n">
        <f aca="false">X55+W56/12-(Inputs!$C$11+Inputs!$C$12+Inputs!$C$13)/12-E56-F56-H56-I56-K56</f>
        <v>77.8069791666665</v>
      </c>
    </row>
    <row r="57" customFormat="false" ht="15" hidden="false" customHeight="false" outlineLevel="0" collapsed="false">
      <c r="B57" s="39" t="n">
        <v>27</v>
      </c>
      <c r="C57" s="29" t="n">
        <f aca="false">MIN(INT((B57-1)/12)+1,5)</f>
        <v>3</v>
      </c>
      <c r="D57" s="29" t="n">
        <f aca="false">IF(AND(B57&gt;=Inputs!$C$28,MOD(B57-Inputs!$C$28,(12/Inputs!$C$27))=0),1,0)</f>
        <v>1</v>
      </c>
      <c r="E57" s="21" t="n">
        <f aca="false">Inputs!$C$58*Uptier!$C$14/12</f>
        <v>1.8</v>
      </c>
      <c r="F57" s="21" t="n">
        <f aca="false">Uptier!$C$16*Simplified_Waterfall!$C$8/12</f>
        <v>3.9425</v>
      </c>
      <c r="G57" s="20" t="n">
        <f aca="false">J56</f>
        <v>293.5</v>
      </c>
      <c r="H57" s="21" t="n">
        <f aca="false">G57*Simplified_Waterfall!$C$8/12</f>
        <v>2.03004166666667</v>
      </c>
      <c r="I57" s="21" t="n">
        <f aca="false">Uptier!$C$17*Inputs!$C$23/12</f>
        <v>0.25</v>
      </c>
      <c r="J57" s="20" t="n">
        <f aca="false">G57-I57</f>
        <v>293.25</v>
      </c>
      <c r="K57" s="20" t="n">
        <f aca="false">D57*Inputs!$C$25*Inputs!$C$26/Inputs!$C$27</f>
        <v>14.5</v>
      </c>
      <c r="L57" s="40" t="n">
        <f aca="false">1/(1+Uptier!$C$14/12)^B57</f>
        <v>0.785124467039943</v>
      </c>
      <c r="M57" s="40" t="n">
        <f aca="false">1/(1+Simplified_Waterfall!$C$8/12)^B57</f>
        <v>0.830184661714833</v>
      </c>
      <c r="N57" s="40" t="n">
        <f aca="false">1/(1+Inputs!$C$26/Inputs!$C$27)^(B57/(12/Inputs!$C$27))</f>
        <v>0.851941067962547</v>
      </c>
      <c r="O57" s="21" t="n">
        <f aca="false">E57*L57</f>
        <v>1.4132240406719</v>
      </c>
      <c r="P57" s="21" t="n">
        <f aca="false">F57*M57</f>
        <v>3.27300302881073</v>
      </c>
      <c r="Q57" s="21" t="n">
        <f aca="false">(H57+I57)*M57</f>
        <v>1.89285561973739</v>
      </c>
      <c r="R57" s="21" t="n">
        <f aca="false">K57*N57</f>
        <v>12.3531454854569</v>
      </c>
      <c r="S57" s="18" t="n">
        <f aca="false">INDEX(Inputs!$C$84:$G$84,C57)</f>
        <v>190</v>
      </c>
      <c r="T57" s="20" t="n">
        <f aca="false">T56+S57/12-(Inputs!$C$11+Inputs!$C$12+Inputs!$C$13)/12-E57-F57-H57-I57-K57</f>
        <v>155.2844375</v>
      </c>
      <c r="U57" s="18" t="n">
        <f aca="false">INDEX(Inputs!$C$85:$G$85,C57)</f>
        <v>154</v>
      </c>
      <c r="V57" s="20" t="n">
        <f aca="false">V56+U57/12-(Inputs!$C$11+Inputs!$C$12+Inputs!$C$13)/12-E57-F57-H57-I57-K57</f>
        <v>108.2844375</v>
      </c>
      <c r="W57" s="18" t="n">
        <f aca="false">INDEX(Inputs!$C$86:$G$86,C57)</f>
        <v>130</v>
      </c>
      <c r="X57" s="20" t="n">
        <f aca="false">X56+W57/12-(Inputs!$C$11+Inputs!$C$12+Inputs!$C$13)/12-E57-F57-H57-I57-K57</f>
        <v>62.2844374999999</v>
      </c>
    </row>
    <row r="58" customFormat="false" ht="15" hidden="false" customHeight="false" outlineLevel="0" collapsed="false">
      <c r="B58" s="39" t="n">
        <v>28</v>
      </c>
      <c r="C58" s="29" t="n">
        <f aca="false">MIN(INT((B58-1)/12)+1,5)</f>
        <v>3</v>
      </c>
      <c r="D58" s="29" t="n">
        <f aca="false">IF(AND(B58&gt;=Inputs!$C$28,MOD(B58-Inputs!$C$28,(12/Inputs!$C$27))=0),1,0)</f>
        <v>0</v>
      </c>
      <c r="E58" s="21" t="n">
        <f aca="false">Inputs!$C$58*Uptier!$C$14/12</f>
        <v>1.8</v>
      </c>
      <c r="F58" s="21" t="n">
        <f aca="false">Uptier!$C$16*Simplified_Waterfall!$C$8/12</f>
        <v>3.9425</v>
      </c>
      <c r="G58" s="20" t="n">
        <f aca="false">J57</f>
        <v>293.25</v>
      </c>
      <c r="H58" s="21" t="n">
        <f aca="false">G58*Simplified_Waterfall!$C$8/12</f>
        <v>2.0283125</v>
      </c>
      <c r="I58" s="21" t="n">
        <f aca="false">Uptier!$C$17*Inputs!$C$23/12</f>
        <v>0.25</v>
      </c>
      <c r="J58" s="20" t="n">
        <f aca="false">G58-I58</f>
        <v>293</v>
      </c>
      <c r="K58" s="20" t="n">
        <f aca="false">D58*Inputs!$C$25*Inputs!$C$26/Inputs!$C$27</f>
        <v>0</v>
      </c>
      <c r="L58" s="40" t="n">
        <f aca="false">1/(1+Uptier!$C$14/12)^B58</f>
        <v>0.778121374667932</v>
      </c>
      <c r="M58" s="40" t="n">
        <f aca="false">1/(1+Simplified_Waterfall!$C$8/12)^B58</f>
        <v>0.824481994585615</v>
      </c>
      <c r="N58" s="40" t="n">
        <f aca="false">1/(1+Inputs!$C$26/Inputs!$C$27)^(B58/(12/Inputs!$C$27))</f>
        <v>0.846899994529197</v>
      </c>
      <c r="O58" s="21" t="n">
        <f aca="false">E58*L58</f>
        <v>1.40061847440228</v>
      </c>
      <c r="P58" s="21" t="n">
        <f aca="false">F58*M58</f>
        <v>3.25052026365379</v>
      </c>
      <c r="Q58" s="21" t="n">
        <f aca="false">(H58+I58)*M58</f>
        <v>1.87842763428934</v>
      </c>
      <c r="R58" s="21" t="n">
        <f aca="false">K58*N58</f>
        <v>0</v>
      </c>
      <c r="S58" s="18" t="n">
        <f aca="false">INDEX(Inputs!$C$84:$G$84,C58)</f>
        <v>190</v>
      </c>
      <c r="T58" s="20" t="n">
        <f aca="false">T57+S58/12-(Inputs!$C$11+Inputs!$C$12+Inputs!$C$13)/12-E58-F58-H58-I58-K58</f>
        <v>159.263625</v>
      </c>
      <c r="U58" s="18" t="n">
        <f aca="false">INDEX(Inputs!$C$85:$G$85,C58)</f>
        <v>154</v>
      </c>
      <c r="V58" s="20" t="n">
        <f aca="false">V57+U58/12-(Inputs!$C$11+Inputs!$C$12+Inputs!$C$13)/12-E58-F58-H58-I58-K58</f>
        <v>109.263625</v>
      </c>
      <c r="W58" s="18" t="n">
        <f aca="false">INDEX(Inputs!$C$86:$G$86,C58)</f>
        <v>130</v>
      </c>
      <c r="X58" s="20" t="n">
        <f aca="false">X57+W58/12-(Inputs!$C$11+Inputs!$C$12+Inputs!$C$13)/12-E58-F58-H58-I58-K58</f>
        <v>61.2636249999999</v>
      </c>
    </row>
    <row r="59" customFormat="false" ht="15" hidden="false" customHeight="false" outlineLevel="0" collapsed="false">
      <c r="B59" s="39" t="n">
        <v>29</v>
      </c>
      <c r="C59" s="29" t="n">
        <f aca="false">MIN(INT((B59-1)/12)+1,5)</f>
        <v>3</v>
      </c>
      <c r="D59" s="29" t="n">
        <f aca="false">IF(AND(B59&gt;=Inputs!$C$28,MOD(B59-Inputs!$C$28,(12/Inputs!$C$27))=0),1,0)</f>
        <v>0</v>
      </c>
      <c r="E59" s="21" t="n">
        <f aca="false">Inputs!$C$58*Uptier!$C$14/12</f>
        <v>1.8</v>
      </c>
      <c r="F59" s="21" t="n">
        <f aca="false">Uptier!$C$16*Simplified_Waterfall!$C$8/12</f>
        <v>3.9425</v>
      </c>
      <c r="G59" s="20" t="n">
        <f aca="false">J58</f>
        <v>293</v>
      </c>
      <c r="H59" s="21" t="n">
        <f aca="false">G59*Simplified_Waterfall!$C$8/12</f>
        <v>2.02658333333333</v>
      </c>
      <c r="I59" s="21" t="n">
        <f aca="false">Uptier!$C$17*Inputs!$C$23/12</f>
        <v>0.25</v>
      </c>
      <c r="J59" s="20" t="n">
        <f aca="false">G59-I59</f>
        <v>292.75</v>
      </c>
      <c r="K59" s="20" t="n">
        <f aca="false">D59*Inputs!$C$25*Inputs!$C$26/Inputs!$C$27</f>
        <v>0</v>
      </c>
      <c r="L59" s="40" t="n">
        <f aca="false">1/(1+Uptier!$C$14/12)^B59</f>
        <v>0.771180747936503</v>
      </c>
      <c r="M59" s="40" t="n">
        <f aca="false">1/(1+Simplified_Waterfall!$C$8/12)^B59</f>
        <v>0.818818499960886</v>
      </c>
      <c r="N59" s="40" t="n">
        <f aca="false">1/(1+Inputs!$C$26/Inputs!$C$27)^(B59/(12/Inputs!$C$27))</f>
        <v>0.841888749944714</v>
      </c>
      <c r="O59" s="21" t="n">
        <f aca="false">E59*L59</f>
        <v>1.38812534628571</v>
      </c>
      <c r="P59" s="21" t="n">
        <f aca="false">F59*M59</f>
        <v>3.22819193609579</v>
      </c>
      <c r="Q59" s="21" t="n">
        <f aca="false">(H59+I59)*M59</f>
        <v>1.86410855003595</v>
      </c>
      <c r="R59" s="21" t="n">
        <f aca="false">K59*N59</f>
        <v>0</v>
      </c>
      <c r="S59" s="18" t="n">
        <f aca="false">INDEX(Inputs!$C$84:$G$84,C59)</f>
        <v>190</v>
      </c>
      <c r="T59" s="20" t="n">
        <f aca="false">T58+S59/12-(Inputs!$C$11+Inputs!$C$12+Inputs!$C$13)/12-E59-F59-H59-I59-K59</f>
        <v>163.244541666666</v>
      </c>
      <c r="U59" s="18" t="n">
        <f aca="false">INDEX(Inputs!$C$85:$G$85,C59)</f>
        <v>154</v>
      </c>
      <c r="V59" s="20" t="n">
        <f aca="false">V58+U59/12-(Inputs!$C$11+Inputs!$C$12+Inputs!$C$13)/12-E59-F59-H59-I59-K59</f>
        <v>110.244541666666</v>
      </c>
      <c r="W59" s="18" t="n">
        <f aca="false">INDEX(Inputs!$C$86:$G$86,C59)</f>
        <v>130</v>
      </c>
      <c r="X59" s="20" t="n">
        <f aca="false">X58+W59/12-(Inputs!$C$11+Inputs!$C$12+Inputs!$C$13)/12-E59-F59-H59-I59-K59</f>
        <v>60.2445416666665</v>
      </c>
    </row>
    <row r="60" customFormat="false" ht="15" hidden="false" customHeight="false" outlineLevel="0" collapsed="false">
      <c r="B60" s="39" t="n">
        <v>30</v>
      </c>
      <c r="C60" s="29" t="n">
        <f aca="false">MIN(INT((B60-1)/12)+1,5)</f>
        <v>3</v>
      </c>
      <c r="D60" s="29" t="n">
        <f aca="false">IF(AND(B60&gt;=Inputs!$C$28,MOD(B60-Inputs!$C$28,(12/Inputs!$C$27))=0),1,0)</f>
        <v>0</v>
      </c>
      <c r="E60" s="21" t="n">
        <f aca="false">Inputs!$C$58*Uptier!$C$14/12</f>
        <v>1.8</v>
      </c>
      <c r="F60" s="21" t="n">
        <f aca="false">Uptier!$C$16*Simplified_Waterfall!$C$8/12</f>
        <v>3.9425</v>
      </c>
      <c r="G60" s="20" t="n">
        <f aca="false">J59</f>
        <v>292.75</v>
      </c>
      <c r="H60" s="21" t="n">
        <f aca="false">G60*Simplified_Waterfall!$C$8/12</f>
        <v>2.02485416666667</v>
      </c>
      <c r="I60" s="21" t="n">
        <f aca="false">Uptier!$C$17*Inputs!$C$23/12</f>
        <v>0.25</v>
      </c>
      <c r="J60" s="20" t="n">
        <f aca="false">G60-I60</f>
        <v>292.5</v>
      </c>
      <c r="K60" s="20" t="n">
        <f aca="false">D60*Inputs!$C$25*Inputs!$C$26/Inputs!$C$27</f>
        <v>0</v>
      </c>
      <c r="L60" s="40" t="n">
        <f aca="false">1/(1+Uptier!$C$14/12)^B60</f>
        <v>0.764302029669478</v>
      </c>
      <c r="M60" s="40" t="n">
        <f aca="false">1/(1+Simplified_Waterfall!$C$8/12)^B60</f>
        <v>0.813193908758639</v>
      </c>
      <c r="N60" s="40" t="n">
        <f aca="false">1/(1+Inputs!$C$26/Inputs!$C$27)^(B60/(12/Inputs!$C$27))</f>
        <v>0.836907157706964</v>
      </c>
      <c r="O60" s="21" t="n">
        <f aca="false">E60*L60</f>
        <v>1.37574365340506</v>
      </c>
      <c r="P60" s="21" t="n">
        <f aca="false">F60*M60</f>
        <v>3.20601698528093</v>
      </c>
      <c r="Q60" s="21" t="n">
        <f aca="false">(H60+I60)*M60</f>
        <v>1.84989755164754</v>
      </c>
      <c r="R60" s="21" t="n">
        <f aca="false">K60*N60</f>
        <v>0</v>
      </c>
      <c r="S60" s="18" t="n">
        <f aca="false">INDEX(Inputs!$C$84:$G$84,C60)</f>
        <v>190</v>
      </c>
      <c r="T60" s="20" t="n">
        <f aca="false">T59+S60/12-(Inputs!$C$11+Inputs!$C$12+Inputs!$C$13)/12-E60-F60-H60-I60-K60</f>
        <v>167.2271875</v>
      </c>
      <c r="U60" s="18" t="n">
        <f aca="false">INDEX(Inputs!$C$85:$G$85,C60)</f>
        <v>154</v>
      </c>
      <c r="V60" s="20" t="n">
        <f aca="false">V59+U60/12-(Inputs!$C$11+Inputs!$C$12+Inputs!$C$13)/12-E60-F60-H60-I60-K60</f>
        <v>111.2271875</v>
      </c>
      <c r="W60" s="18" t="n">
        <f aca="false">INDEX(Inputs!$C$86:$G$86,C60)</f>
        <v>130</v>
      </c>
      <c r="X60" s="20" t="n">
        <f aca="false">X59+W60/12-(Inputs!$C$11+Inputs!$C$12+Inputs!$C$13)/12-E60-F60-H60-I60-K60</f>
        <v>59.2271874999999</v>
      </c>
    </row>
    <row r="61" customFormat="false" ht="15" hidden="false" customHeight="false" outlineLevel="0" collapsed="false">
      <c r="B61" s="39" t="n">
        <v>31</v>
      </c>
      <c r="C61" s="29" t="n">
        <f aca="false">MIN(INT((B61-1)/12)+1,5)</f>
        <v>3</v>
      </c>
      <c r="D61" s="29" t="n">
        <f aca="false">IF(AND(B61&gt;=Inputs!$C$28,MOD(B61-Inputs!$C$28,(12/Inputs!$C$27))=0),1,0)</f>
        <v>0</v>
      </c>
      <c r="E61" s="21" t="n">
        <f aca="false">Inputs!$C$58*Uptier!$C$14/12</f>
        <v>1.8</v>
      </c>
      <c r="F61" s="21" t="n">
        <f aca="false">Uptier!$C$16*Simplified_Waterfall!$C$8/12</f>
        <v>3.9425</v>
      </c>
      <c r="G61" s="20" t="n">
        <f aca="false">J60</f>
        <v>292.5</v>
      </c>
      <c r="H61" s="21" t="n">
        <f aca="false">G61*Simplified_Waterfall!$C$8/12</f>
        <v>2.023125</v>
      </c>
      <c r="I61" s="21" t="n">
        <f aca="false">Uptier!$C$17*Inputs!$C$23/12</f>
        <v>0.25</v>
      </c>
      <c r="J61" s="20" t="n">
        <f aca="false">G61-I61</f>
        <v>292.25</v>
      </c>
      <c r="K61" s="20" t="n">
        <f aca="false">D61*Inputs!$C$25*Inputs!$C$26/Inputs!$C$27</f>
        <v>0</v>
      </c>
      <c r="L61" s="40" t="n">
        <f aca="false">1/(1+Uptier!$C$14/12)^B61</f>
        <v>0.757484667660534</v>
      </c>
      <c r="M61" s="40" t="n">
        <f aca="false">1/(1+Simplified_Waterfall!$C$8/12)^B61</f>
        <v>0.807607953745234</v>
      </c>
      <c r="N61" s="40" t="n">
        <f aca="false">1/(1+Inputs!$C$26/Inputs!$C$27)^(B61/(12/Inputs!$C$27))</f>
        <v>0.831955042358203</v>
      </c>
      <c r="O61" s="21" t="n">
        <f aca="false">E61*L61</f>
        <v>1.36347240178896</v>
      </c>
      <c r="P61" s="21" t="n">
        <f aca="false">F61*M61</f>
        <v>3.18399435764059</v>
      </c>
      <c r="Q61" s="21" t="n">
        <f aca="false">(H61+I61)*M61</f>
        <v>1.83579382985714</v>
      </c>
      <c r="R61" s="21" t="n">
        <f aca="false">K61*N61</f>
        <v>0</v>
      </c>
      <c r="S61" s="18" t="n">
        <f aca="false">INDEX(Inputs!$C$84:$G$84,C61)</f>
        <v>190</v>
      </c>
      <c r="T61" s="20" t="n">
        <f aca="false">T60+S61/12-(Inputs!$C$11+Inputs!$C$12+Inputs!$C$13)/12-E61-F61-H61-I61-K61</f>
        <v>171.2115625</v>
      </c>
      <c r="U61" s="18" t="n">
        <f aca="false">INDEX(Inputs!$C$85:$G$85,C61)</f>
        <v>154</v>
      </c>
      <c r="V61" s="20" t="n">
        <f aca="false">V60+U61/12-(Inputs!$C$11+Inputs!$C$12+Inputs!$C$13)/12-E61-F61-H61-I61-K61</f>
        <v>112.2115625</v>
      </c>
      <c r="W61" s="18" t="n">
        <f aca="false">INDEX(Inputs!$C$86:$G$86,C61)</f>
        <v>130</v>
      </c>
      <c r="X61" s="20" t="n">
        <f aca="false">X60+W61/12-(Inputs!$C$11+Inputs!$C$12+Inputs!$C$13)/12-E61-F61-H61-I61-K61</f>
        <v>58.2115624999999</v>
      </c>
    </row>
    <row r="62" customFormat="false" ht="15" hidden="false" customHeight="false" outlineLevel="0" collapsed="false">
      <c r="B62" s="39" t="n">
        <v>32</v>
      </c>
      <c r="C62" s="29" t="n">
        <f aca="false">MIN(INT((B62-1)/12)+1,5)</f>
        <v>3</v>
      </c>
      <c r="D62" s="29" t="n">
        <f aca="false">IF(AND(B62&gt;=Inputs!$C$28,MOD(B62-Inputs!$C$28,(12/Inputs!$C$27))=0),1,0)</f>
        <v>0</v>
      </c>
      <c r="E62" s="21" t="n">
        <f aca="false">Inputs!$C$58*Uptier!$C$14/12</f>
        <v>1.8</v>
      </c>
      <c r="F62" s="21" t="n">
        <f aca="false">Uptier!$C$16*Simplified_Waterfall!$C$8/12</f>
        <v>3.9425</v>
      </c>
      <c r="G62" s="20" t="n">
        <f aca="false">J61</f>
        <v>292.25</v>
      </c>
      <c r="H62" s="21" t="n">
        <f aca="false">G62*Simplified_Waterfall!$C$8/12</f>
        <v>2.02139583333333</v>
      </c>
      <c r="I62" s="21" t="n">
        <f aca="false">Uptier!$C$17*Inputs!$C$23/12</f>
        <v>0.25</v>
      </c>
      <c r="J62" s="20" t="n">
        <f aca="false">G62-I62</f>
        <v>292</v>
      </c>
      <c r="K62" s="20" t="n">
        <f aca="false">D62*Inputs!$C$25*Inputs!$C$26/Inputs!$C$27</f>
        <v>0</v>
      </c>
      <c r="L62" s="40" t="n">
        <f aca="false">1/(1+Uptier!$C$14/12)^B62</f>
        <v>0.750728114628874</v>
      </c>
      <c r="M62" s="40" t="n">
        <f aca="false">1/(1+Simplified_Waterfall!$C$8/12)^B62</f>
        <v>0.802060369522702</v>
      </c>
      <c r="N62" s="40" t="n">
        <f aca="false">1/(1+Inputs!$C$26/Inputs!$C$27)^(B62/(12/Inputs!$C$27))</f>
        <v>0.827032229478899</v>
      </c>
      <c r="O62" s="21" t="n">
        <f aca="false">E62*L62</f>
        <v>1.35131060633197</v>
      </c>
      <c r="P62" s="21" t="n">
        <f aca="false">F62*M62</f>
        <v>3.16212300684325</v>
      </c>
      <c r="Q62" s="21" t="n">
        <f aca="false">(H62+I62)*M62</f>
        <v>1.82179658141566</v>
      </c>
      <c r="R62" s="21" t="n">
        <f aca="false">K62*N62</f>
        <v>0</v>
      </c>
      <c r="S62" s="18" t="n">
        <f aca="false">INDEX(Inputs!$C$84:$G$84,C62)</f>
        <v>190</v>
      </c>
      <c r="T62" s="20" t="n">
        <f aca="false">T61+S62/12-(Inputs!$C$11+Inputs!$C$12+Inputs!$C$13)/12-E62-F62-H62-I62-K62</f>
        <v>175.197666666666</v>
      </c>
      <c r="U62" s="18" t="n">
        <f aca="false">INDEX(Inputs!$C$85:$G$85,C62)</f>
        <v>154</v>
      </c>
      <c r="V62" s="20" t="n">
        <f aca="false">V61+U62/12-(Inputs!$C$11+Inputs!$C$12+Inputs!$C$13)/12-E62-F62-H62-I62-K62</f>
        <v>113.197666666666</v>
      </c>
      <c r="W62" s="18" t="n">
        <f aca="false">INDEX(Inputs!$C$86:$G$86,C62)</f>
        <v>130</v>
      </c>
      <c r="X62" s="20" t="n">
        <f aca="false">X61+W62/12-(Inputs!$C$11+Inputs!$C$12+Inputs!$C$13)/12-E62-F62-H62-I62-K62</f>
        <v>57.1976666666665</v>
      </c>
    </row>
    <row r="63" customFormat="false" ht="15" hidden="false" customHeight="false" outlineLevel="0" collapsed="false">
      <c r="B63" s="22" t="s">
        <v>336</v>
      </c>
      <c r="C63" s="31"/>
      <c r="D63" s="41" t="n">
        <f aca="false">SUM(D31:D62)</f>
        <v>5</v>
      </c>
      <c r="E63" s="34" t="n">
        <f aca="false">SUM(E31:E62)</f>
        <v>57.6</v>
      </c>
      <c r="F63" s="34" t="n">
        <f aca="false">SUM(F31:F62)</f>
        <v>126.16</v>
      </c>
      <c r="G63" s="31"/>
      <c r="H63" s="34" t="n">
        <f aca="false">SUM(H31:H62)</f>
        <v>65.5423333333333</v>
      </c>
      <c r="I63" s="34" t="n">
        <f aca="false">SUM(I31:I62)</f>
        <v>8</v>
      </c>
      <c r="J63" s="31"/>
      <c r="K63" s="34" t="n">
        <f aca="false">SUM(K31:K62)</f>
        <v>72.5</v>
      </c>
      <c r="L63" s="31"/>
      <c r="M63" s="31"/>
      <c r="N63" s="31"/>
      <c r="O63" s="34" t="n">
        <f aca="false">SUM(O31:O62)</f>
        <v>49.8543770742258</v>
      </c>
      <c r="P63" s="34" t="n">
        <f aca="false">SUM(P31:P62)</f>
        <v>112.82558937206</v>
      </c>
      <c r="Q63" s="34" t="n">
        <f aca="false">SUM(Q31:Q62)</f>
        <v>65.7983720993709</v>
      </c>
      <c r="R63" s="34" t="n">
        <f aca="false">SUM(R31:R62)</f>
        <v>66.4090342450279</v>
      </c>
      <c r="S63" s="31"/>
      <c r="T63" s="31"/>
      <c r="U63" s="31"/>
      <c r="V63" s="31"/>
      <c r="W63" s="31"/>
      <c r="X63" s="31"/>
    </row>
    <row r="65" customFormat="false" ht="15" hidden="false" customHeight="false" outlineLevel="0" collapsed="false">
      <c r="B65" s="2" t="s">
        <v>405</v>
      </c>
    </row>
    <row r="66" customFormat="false" ht="15" hidden="false" customHeight="false" outlineLevel="0" collapsed="false">
      <c r="B66" s="5" t="s">
        <v>110</v>
      </c>
      <c r="C66" s="6" t="s">
        <v>20</v>
      </c>
      <c r="D66" s="7" t="s">
        <v>111</v>
      </c>
    </row>
    <row r="67" customFormat="false" ht="15" hidden="false" customHeight="false" outlineLevel="0" collapsed="false">
      <c r="B67" s="8" t="s">
        <v>406</v>
      </c>
      <c r="C67" s="29" t="n">
        <f aca="false">MAX(B31:B62)</f>
        <v>32</v>
      </c>
    </row>
    <row r="68" customFormat="false" ht="15" hidden="false" customHeight="false" outlineLevel="0" collapsed="false">
      <c r="B68" s="8" t="s">
        <v>407</v>
      </c>
      <c r="C68" s="18" t="n">
        <f aca="false">-Uptier!$C$15</f>
        <v>-196</v>
      </c>
    </row>
    <row r="69" customFormat="false" ht="15" hidden="false" customHeight="false" outlineLevel="0" collapsed="false">
      <c r="B69" s="8" t="s">
        <v>408</v>
      </c>
      <c r="C69" s="18" t="n">
        <f aca="false">E63</f>
        <v>57.6</v>
      </c>
    </row>
    <row r="70" customFormat="false" ht="15" hidden="false" customHeight="false" outlineLevel="0" collapsed="false">
      <c r="B70" s="8" t="s">
        <v>409</v>
      </c>
      <c r="C70" s="18" t="n">
        <f aca="false">F63</f>
        <v>126.16</v>
      </c>
    </row>
    <row r="71" customFormat="false" ht="15" hidden="false" customHeight="false" outlineLevel="0" collapsed="false">
      <c r="B71" s="8" t="s">
        <v>410</v>
      </c>
      <c r="C71" s="18" t="n">
        <f aca="false">H63</f>
        <v>65.5423333333333</v>
      </c>
    </row>
    <row r="72" customFormat="false" ht="15" hidden="false" customHeight="false" outlineLevel="0" collapsed="false">
      <c r="B72" s="8" t="s">
        <v>411</v>
      </c>
      <c r="C72" s="18" t="n">
        <f aca="false">I63</f>
        <v>8</v>
      </c>
    </row>
    <row r="73" customFormat="false" ht="15" hidden="false" customHeight="false" outlineLevel="0" collapsed="false">
      <c r="B73" s="8" t="s">
        <v>412</v>
      </c>
      <c r="C73" s="18" t="n">
        <f aca="false">J62</f>
        <v>292</v>
      </c>
    </row>
    <row r="74" customFormat="false" ht="15" hidden="false" customHeight="false" outlineLevel="0" collapsed="false">
      <c r="B74" s="8" t="s">
        <v>413</v>
      </c>
      <c r="C74" s="18" t="n">
        <f aca="false">K63</f>
        <v>72.5</v>
      </c>
      <c r="D74" s="4" t="s">
        <v>414</v>
      </c>
    </row>
    <row r="75" customFormat="false" ht="15" hidden="false" customHeight="false" outlineLevel="0" collapsed="false">
      <c r="B75" s="8" t="s">
        <v>415</v>
      </c>
      <c r="C75" s="29" t="n">
        <f aca="false">D63</f>
        <v>5</v>
      </c>
    </row>
    <row r="76" customFormat="false" ht="15" hidden="false" customHeight="false" outlineLevel="0" collapsed="false">
      <c r="B76" s="8" t="s">
        <v>416</v>
      </c>
      <c r="C76" s="40" t="n">
        <f aca="false">L62</f>
        <v>0.750728114628874</v>
      </c>
    </row>
    <row r="77" customFormat="false" ht="15" hidden="false" customHeight="false" outlineLevel="0" collapsed="false">
      <c r="B77" s="8" t="s">
        <v>417</v>
      </c>
      <c r="C77" s="40" t="n">
        <f aca="false">M62</f>
        <v>0.802060369522702</v>
      </c>
    </row>
    <row r="78" customFormat="false" ht="15" hidden="false" customHeight="false" outlineLevel="0" collapsed="false">
      <c r="B78" s="8" t="s">
        <v>418</v>
      </c>
      <c r="C78" s="40" t="n">
        <f aca="false">N62</f>
        <v>0.827032229478899</v>
      </c>
    </row>
    <row r="80" customFormat="false" ht="15" hidden="false" customHeight="false" outlineLevel="0" collapsed="false">
      <c r="B80" s="2" t="s">
        <v>419</v>
      </c>
    </row>
    <row r="81" customFormat="false" ht="15" hidden="false" customHeight="false" outlineLevel="0" collapsed="false">
      <c r="B81" s="5" t="s">
        <v>27</v>
      </c>
      <c r="C81" s="6" t="s">
        <v>104</v>
      </c>
      <c r="D81" s="6" t="s">
        <v>105</v>
      </c>
      <c r="E81" s="6" t="s">
        <v>106</v>
      </c>
      <c r="F81" s="7" t="s">
        <v>111</v>
      </c>
    </row>
    <row r="82" customFormat="false" ht="15" hidden="false" customHeight="false" outlineLevel="0" collapsed="false">
      <c r="B82" s="8" t="s">
        <v>378</v>
      </c>
      <c r="C82" s="18" t="n">
        <f aca="false">C18</f>
        <v>190</v>
      </c>
      <c r="D82" s="18" t="n">
        <f aca="false">D18</f>
        <v>154</v>
      </c>
      <c r="E82" s="18" t="n">
        <f aca="false">E18</f>
        <v>130</v>
      </c>
    </row>
    <row r="83" customFormat="false" ht="15" hidden="false" customHeight="false" outlineLevel="0" collapsed="false">
      <c r="B83" s="2" t="s">
        <v>420</v>
      </c>
      <c r="C83" s="26" t="n">
        <f aca="false">C82*Inputs!$C$78</f>
        <v>1330</v>
      </c>
      <c r="D83" s="26" t="n">
        <f aca="false">D82*Inputs!$C$78</f>
        <v>1078</v>
      </c>
      <c r="E83" s="26" t="n">
        <f aca="false">E82*Inputs!$C$78</f>
        <v>910</v>
      </c>
    </row>
    <row r="84" customFormat="false" ht="15" hidden="false" customHeight="false" outlineLevel="0" collapsed="false">
      <c r="B84" s="8" t="s">
        <v>421</v>
      </c>
      <c r="C84" s="18" t="n">
        <f aca="false">T62</f>
        <v>175.197666666666</v>
      </c>
      <c r="D84" s="18" t="n">
        <f aca="false">V62</f>
        <v>113.197666666666</v>
      </c>
      <c r="E84" s="18" t="n">
        <f aca="false">X62</f>
        <v>57.1976666666665</v>
      </c>
    </row>
    <row r="85" customFormat="false" ht="15" hidden="false" customHeight="false" outlineLevel="0" collapsed="false">
      <c r="B85" s="8" t="s">
        <v>140</v>
      </c>
      <c r="C85" s="18" t="n">
        <f aca="false">MAX(0,C84-Inputs!$C$9)</f>
        <v>150.197666666666</v>
      </c>
      <c r="D85" s="18" t="n">
        <f aca="false">MAX(0,D84-Inputs!$C$9)</f>
        <v>88.1976666666662</v>
      </c>
      <c r="E85" s="18" t="n">
        <f aca="false">MAX(0,E84-Inputs!$C$9)</f>
        <v>32.1976666666665</v>
      </c>
    </row>
    <row r="86" customFormat="false" ht="15" hidden="false" customHeight="false" outlineLevel="0" collapsed="false">
      <c r="B86" s="8" t="s">
        <v>422</v>
      </c>
      <c r="C86" s="18" t="n">
        <f aca="false">MAX(0,C83+C85-Simplified_Waterfall!$C$22)</f>
        <v>1450.19766666667</v>
      </c>
      <c r="D86" s="18" t="n">
        <f aca="false">MAX(0,D83+D85-Simplified_Waterfall!$C$22)</f>
        <v>1136.19766666667</v>
      </c>
      <c r="E86" s="18" t="n">
        <f aca="false">MAX(0,E83+E85-Simplified_Waterfall!$C$22)</f>
        <v>912.197666666667</v>
      </c>
    </row>
    <row r="87" customFormat="false" ht="15" hidden="false" customHeight="false" outlineLevel="0" collapsed="false">
      <c r="B87" s="19" t="s">
        <v>274</v>
      </c>
      <c r="C87" s="18" t="n">
        <f aca="false">MIN(C86,Inputs!$C$58)</f>
        <v>200</v>
      </c>
      <c r="D87" s="18" t="n">
        <f aca="false">MIN(D86,Inputs!$C$58)</f>
        <v>200</v>
      </c>
      <c r="E87" s="18" t="n">
        <f aca="false">MIN(E86,Inputs!$C$58)</f>
        <v>200</v>
      </c>
    </row>
    <row r="88" customFormat="false" ht="15" hidden="false" customHeight="false" outlineLevel="0" collapsed="false">
      <c r="B88" s="19" t="s">
        <v>423</v>
      </c>
      <c r="C88" s="18" t="n">
        <f aca="false">MIN(C86-C87,Uptier!$C$16)</f>
        <v>570</v>
      </c>
      <c r="D88" s="18" t="n">
        <f aca="false">MIN(D86-D87,Uptier!$C$16)</f>
        <v>570</v>
      </c>
      <c r="E88" s="18" t="n">
        <f aca="false">MIN(E86-E87,Uptier!$C$16)</f>
        <v>570</v>
      </c>
    </row>
    <row r="89" customFormat="false" ht="15" hidden="false" customHeight="false" outlineLevel="0" collapsed="false">
      <c r="B89" s="19" t="s">
        <v>276</v>
      </c>
      <c r="C89" s="18" t="n">
        <f aca="false">MIN(C86-C87-C88,$C$73)</f>
        <v>292</v>
      </c>
      <c r="D89" s="18" t="n">
        <f aca="false">MIN(D86-D87-D88,$C$73)</f>
        <v>292</v>
      </c>
      <c r="E89" s="18" t="n">
        <f aca="false">MIN(E86-E87-E88,$C$73)</f>
        <v>142.197666666667</v>
      </c>
    </row>
    <row r="90" customFormat="false" ht="15" hidden="false" customHeight="false" outlineLevel="0" collapsed="false">
      <c r="B90" s="19" t="s">
        <v>424</v>
      </c>
      <c r="C90" s="18" t="n">
        <f aca="false">MIN(C86-C87-C88-C89,Simplified_Waterfall!$C$21)</f>
        <v>388.197666666666</v>
      </c>
      <c r="D90" s="18" t="n">
        <f aca="false">MIN(D86-D87-D88-D89,Simplified_Waterfall!$C$21)</f>
        <v>74.1976666666662</v>
      </c>
      <c r="E90" s="18" t="n">
        <f aca="false">MIN(E86-E87-E88-E89,Simplified_Waterfall!$C$21)</f>
        <v>0</v>
      </c>
    </row>
    <row r="91" customFormat="false" ht="15" hidden="false" customHeight="false" outlineLevel="0" collapsed="false">
      <c r="B91" s="43" t="s">
        <v>146</v>
      </c>
      <c r="C91" s="18" t="n">
        <f aca="false">C90*Inputs!$C$25/Simplified_Waterfall!$C$21</f>
        <v>307.483300330033</v>
      </c>
      <c r="D91" s="18" t="n">
        <f aca="false">D90*Inputs!$C$25/Simplified_Waterfall!$C$21</f>
        <v>58.770429042904</v>
      </c>
      <c r="E91" s="18" t="n">
        <f aca="false">E90*Inputs!$C$25/Simplified_Waterfall!$C$21</f>
        <v>0</v>
      </c>
    </row>
    <row r="92" customFormat="false" ht="15" hidden="false" customHeight="false" outlineLevel="0" collapsed="false">
      <c r="B92" s="43" t="s">
        <v>147</v>
      </c>
      <c r="C92" s="18" t="n">
        <f aca="false">C90*Simplified_Waterfall!$C$20/Simplified_Waterfall!$C$21</f>
        <v>80.7143663366336</v>
      </c>
      <c r="D92" s="18" t="n">
        <f aca="false">D90*Simplified_Waterfall!$C$20/Simplified_Waterfall!$C$21</f>
        <v>15.4272376237623</v>
      </c>
      <c r="E92" s="18" t="n">
        <f aca="false">E90*Simplified_Waterfall!$C$20/Simplified_Waterfall!$C$21</f>
        <v>0</v>
      </c>
    </row>
    <row r="93" customFormat="false" ht="15" hidden="false" customHeight="false" outlineLevel="0" collapsed="false">
      <c r="B93" s="19" t="s">
        <v>150</v>
      </c>
      <c r="C93" s="18" t="n">
        <f aca="false">C86-C87-C88-C89-C90</f>
        <v>0</v>
      </c>
      <c r="D93" s="18" t="n">
        <f aca="false">D86-D87-D88-D89-D90</f>
        <v>0</v>
      </c>
      <c r="E93" s="18" t="n">
        <f aca="false">E86-E87-E88-E89-E90</f>
        <v>0</v>
      </c>
    </row>
    <row r="95" customFormat="false" ht="15" hidden="false" customHeight="false" outlineLevel="0" collapsed="false">
      <c r="B95" s="2" t="s">
        <v>425</v>
      </c>
    </row>
    <row r="96" customFormat="false" ht="15" hidden="false" customHeight="false" outlineLevel="0" collapsed="false">
      <c r="B96" s="5" t="s">
        <v>27</v>
      </c>
      <c r="C96" s="6" t="s">
        <v>104</v>
      </c>
      <c r="D96" s="6" t="s">
        <v>105</v>
      </c>
      <c r="E96" s="6" t="s">
        <v>106</v>
      </c>
      <c r="F96" s="7" t="s">
        <v>111</v>
      </c>
    </row>
    <row r="97" customFormat="false" ht="15" hidden="false" customHeight="false" outlineLevel="0" collapsed="false">
      <c r="B97" s="8" t="s">
        <v>426</v>
      </c>
      <c r="C97" s="18" t="n">
        <f aca="false">$C$68+O63+C87*$C$76</f>
        <v>4.0000000000006</v>
      </c>
      <c r="D97" s="18" t="n">
        <f aca="false">$C$68+O63+D87*$C$76</f>
        <v>4.0000000000006</v>
      </c>
      <c r="E97" s="18" t="n">
        <f aca="false">$C$68+O63+E87*$C$76</f>
        <v>4.0000000000006</v>
      </c>
    </row>
    <row r="98" customFormat="false" ht="15" hidden="false" customHeight="false" outlineLevel="0" collapsed="false">
      <c r="B98" s="8" t="s">
        <v>427</v>
      </c>
      <c r="C98" s="18" t="n">
        <f aca="false">P63+C88*$C$77</f>
        <v>570</v>
      </c>
      <c r="D98" s="18" t="n">
        <f aca="false">P63+D88*$C$77</f>
        <v>570</v>
      </c>
      <c r="E98" s="18" t="n">
        <f aca="false">P63+E88*$C$77</f>
        <v>570</v>
      </c>
    </row>
    <row r="99" customFormat="false" ht="15" hidden="false" customHeight="false" outlineLevel="0" collapsed="false">
      <c r="B99" s="2" t="s">
        <v>428</v>
      </c>
      <c r="C99" s="26" t="n">
        <f aca="false">C97+C98</f>
        <v>574</v>
      </c>
      <c r="D99" s="26" t="n">
        <f aca="false">D97+D98</f>
        <v>574</v>
      </c>
      <c r="E99" s="26" t="n">
        <f aca="false">E97+E98</f>
        <v>574</v>
      </c>
    </row>
    <row r="100" customFormat="false" ht="15" hidden="false" customHeight="false" outlineLevel="0" collapsed="false">
      <c r="B100" s="2" t="s">
        <v>429</v>
      </c>
      <c r="C100" s="26" t="n">
        <f aca="false">Q63+C89*$C$77</f>
        <v>300</v>
      </c>
      <c r="D100" s="26" t="n">
        <f aca="false">Q63+D89*$C$77</f>
        <v>300</v>
      </c>
      <c r="E100" s="26" t="n">
        <f aca="false">Q63+E89*$C$77</f>
        <v>179.849485171303</v>
      </c>
    </row>
    <row r="101" customFormat="false" ht="15" hidden="false" customHeight="false" outlineLevel="0" collapsed="false">
      <c r="B101" s="8" t="s">
        <v>430</v>
      </c>
      <c r="C101" s="18" t="n">
        <f aca="false">Uptier!$C$18</f>
        <v>50</v>
      </c>
      <c r="D101" s="18" t="n">
        <f aca="false">Uptier!$C$18</f>
        <v>50</v>
      </c>
      <c r="E101" s="18" t="n">
        <f aca="false">Uptier!$C$18</f>
        <v>50</v>
      </c>
    </row>
    <row r="102" customFormat="false" ht="15" hidden="false" customHeight="false" outlineLevel="0" collapsed="false">
      <c r="B102" s="2" t="s">
        <v>431</v>
      </c>
      <c r="C102" s="26" t="n">
        <f aca="false">R63+C91*$C$78</f>
        <v>320.707633644505</v>
      </c>
      <c r="D102" s="26" t="n">
        <f aca="false">R63+D91*$C$78</f>
        <v>115.014073203812</v>
      </c>
      <c r="E102" s="26" t="n">
        <f aca="false">R63+E91*$C$78</f>
        <v>66.4090342450279</v>
      </c>
    </row>
    <row r="103" customFormat="false" ht="15" hidden="false" customHeight="false" outlineLevel="0" collapsed="false">
      <c r="B103" s="2" t="s">
        <v>432</v>
      </c>
      <c r="C103" s="26" t="n">
        <f aca="false">C92*$C$77</f>
        <v>64.7377944897511</v>
      </c>
      <c r="D103" s="26" t="n">
        <f aca="false">D92*$C$77</f>
        <v>12.3735759092293</v>
      </c>
      <c r="E103" s="26" t="n">
        <f aca="false">E92*$C$77</f>
        <v>0</v>
      </c>
    </row>
    <row r="105" customFormat="false" ht="15" hidden="false" customHeight="false" outlineLevel="0" collapsed="false">
      <c r="B105" s="2" t="s">
        <v>433</v>
      </c>
    </row>
    <row r="106" customFormat="false" ht="15" hidden="false" customHeight="false" outlineLevel="0" collapsed="false">
      <c r="B106" s="5" t="s">
        <v>27</v>
      </c>
      <c r="C106" s="6" t="s">
        <v>104</v>
      </c>
      <c r="D106" s="6" t="s">
        <v>105</v>
      </c>
      <c r="E106" s="6" t="s">
        <v>106</v>
      </c>
      <c r="F106" s="7" t="s">
        <v>111</v>
      </c>
    </row>
    <row r="107" customFormat="false" ht="15" hidden="false" customHeight="false" outlineLevel="0" collapsed="false">
      <c r="B107" s="2" t="s">
        <v>434</v>
      </c>
      <c r="C107" s="26" t="n">
        <f aca="false">Inputs!$C$79</f>
        <v>1170</v>
      </c>
      <c r="D107" s="26" t="n">
        <f aca="false">Inputs!$C$80</f>
        <v>975</v>
      </c>
      <c r="E107" s="26" t="n">
        <f aca="false">Inputs!$C$81</f>
        <v>815</v>
      </c>
    </row>
    <row r="108" customFormat="false" ht="15" hidden="false" customHeight="false" outlineLevel="0" collapsed="false">
      <c r="B108" s="8" t="s">
        <v>435</v>
      </c>
      <c r="C108" s="18" t="n">
        <f aca="false">MAX(0,C107+Simplified_Waterfall!$C$23-Simplified_Waterfall!$C$22)</f>
        <v>1160</v>
      </c>
      <c r="D108" s="18" t="n">
        <f aca="false">MAX(0,D107+Simplified_Waterfall!$C$23-Simplified_Waterfall!$C$22)</f>
        <v>965</v>
      </c>
      <c r="E108" s="18" t="n">
        <f aca="false">MAX(0,E107+Simplified_Waterfall!$C$23-Simplified_Waterfall!$C$22)</f>
        <v>805</v>
      </c>
    </row>
    <row r="109" customFormat="false" ht="15" hidden="false" customHeight="false" outlineLevel="0" collapsed="false">
      <c r="B109" s="8" t="s">
        <v>217</v>
      </c>
      <c r="C109" s="18" t="n">
        <f aca="false">MIN(C108,Simplified_Waterfall!$C$9)</f>
        <v>950</v>
      </c>
      <c r="D109" s="18" t="n">
        <f aca="false">MIN(D108,Simplified_Waterfall!$C$9)</f>
        <v>950</v>
      </c>
      <c r="E109" s="18" t="n">
        <f aca="false">MIN(E108,Simplified_Waterfall!$C$9)</f>
        <v>805</v>
      </c>
    </row>
    <row r="110" customFormat="false" ht="15" hidden="false" customHeight="false" outlineLevel="0" collapsed="false">
      <c r="B110" s="8" t="s">
        <v>436</v>
      </c>
      <c r="C110" s="30" t="n">
        <f aca="false">C109/Simplified_Waterfall!$C$9</f>
        <v>1</v>
      </c>
      <c r="D110" s="30" t="n">
        <f aca="false">D109/Simplified_Waterfall!$C$9</f>
        <v>1</v>
      </c>
      <c r="E110" s="30" t="n">
        <f aca="false">E109/Simplified_Waterfall!$C$9</f>
        <v>0.847368421052632</v>
      </c>
    </row>
    <row r="111" customFormat="false" ht="15" hidden="false" customHeight="false" outlineLevel="0" collapsed="false">
      <c r="B111" s="2" t="s">
        <v>437</v>
      </c>
      <c r="C111" s="26" t="n">
        <f aca="false">Inputs!$C$56*C110</f>
        <v>600</v>
      </c>
      <c r="D111" s="26" t="n">
        <f aca="false">Inputs!$C$56*D110</f>
        <v>600</v>
      </c>
      <c r="E111" s="26" t="n">
        <f aca="false">Inputs!$C$56*E110</f>
        <v>508.421052631579</v>
      </c>
    </row>
    <row r="112" customFormat="false" ht="15" hidden="false" customHeight="false" outlineLevel="0" collapsed="false">
      <c r="B112" s="2" t="s">
        <v>438</v>
      </c>
      <c r="C112" s="26" t="n">
        <f aca="false">Uptier!$C$17*C110</f>
        <v>300</v>
      </c>
      <c r="D112" s="26" t="n">
        <f aca="false">Uptier!$C$17*D110</f>
        <v>300</v>
      </c>
      <c r="E112" s="26" t="n">
        <f aca="false">Uptier!$C$17*E110</f>
        <v>254.210526315789</v>
      </c>
    </row>
    <row r="113" customFormat="false" ht="15" hidden="false" customHeight="false" outlineLevel="0" collapsed="false">
      <c r="B113" s="2" t="s">
        <v>439</v>
      </c>
      <c r="C113" s="26" t="n">
        <f aca="false">Inputs!$C$15*C110</f>
        <v>50</v>
      </c>
      <c r="D113" s="26" t="n">
        <f aca="false">Inputs!$C$15*D110</f>
        <v>50</v>
      </c>
      <c r="E113" s="26" t="n">
        <f aca="false">Inputs!$C$15*E110</f>
        <v>42.3684210526316</v>
      </c>
    </row>
    <row r="114" customFormat="false" ht="15" hidden="false" customHeight="false" outlineLevel="0" collapsed="false">
      <c r="B114" s="8" t="s">
        <v>424</v>
      </c>
      <c r="C114" s="18" t="n">
        <f aca="false">MIN(C108-C109,Simplified_Waterfall!$C$21)</f>
        <v>210</v>
      </c>
      <c r="D114" s="18" t="n">
        <f aca="false">MIN(D108-D109,Simplified_Waterfall!$C$21)</f>
        <v>15</v>
      </c>
      <c r="E114" s="18" t="n">
        <f aca="false">MIN(E108-E109,Simplified_Waterfall!$C$21)</f>
        <v>0</v>
      </c>
    </row>
    <row r="115" customFormat="false" ht="15" hidden="false" customHeight="false" outlineLevel="0" collapsed="false">
      <c r="B115" s="2" t="s">
        <v>440</v>
      </c>
      <c r="C115" s="26" t="n">
        <f aca="false">C114*Inputs!$C$25/Simplified_Waterfall!$C$21</f>
        <v>166.336633663366</v>
      </c>
      <c r="D115" s="26" t="n">
        <f aca="false">D114*Inputs!$C$25/Simplified_Waterfall!$C$21</f>
        <v>11.8811881188119</v>
      </c>
      <c r="E115" s="26" t="n">
        <f aca="false">E114*Inputs!$C$25/Simplified_Waterfall!$C$21</f>
        <v>0</v>
      </c>
    </row>
    <row r="116" customFormat="false" ht="15" hidden="false" customHeight="false" outlineLevel="0" collapsed="false">
      <c r="B116" s="2" t="s">
        <v>441</v>
      </c>
      <c r="C116" s="26" t="n">
        <f aca="false">C114*Simplified_Waterfall!$C$20/Simplified_Waterfall!$C$21</f>
        <v>43.6633663366337</v>
      </c>
      <c r="D116" s="26" t="n">
        <f aca="false">D114*Simplified_Waterfall!$C$20/Simplified_Waterfall!$C$21</f>
        <v>3.11881188118812</v>
      </c>
      <c r="E116" s="26" t="n">
        <f aca="false">E114*Simplified_Waterfall!$C$20/Simplified_Waterfall!$C$21</f>
        <v>0</v>
      </c>
    </row>
    <row r="118" customFormat="false" ht="15" hidden="false" customHeight="false" outlineLevel="0" collapsed="false">
      <c r="B118" s="2" t="s">
        <v>442</v>
      </c>
    </row>
    <row r="119" customFormat="false" ht="15" hidden="false" customHeight="false" outlineLevel="0" collapsed="false">
      <c r="B119" s="5" t="s">
        <v>27</v>
      </c>
      <c r="C119" s="6" t="s">
        <v>104</v>
      </c>
      <c r="D119" s="6" t="s">
        <v>105</v>
      </c>
      <c r="E119" s="6" t="s">
        <v>106</v>
      </c>
      <c r="F119" s="7" t="s">
        <v>111</v>
      </c>
    </row>
    <row r="120" customFormat="false" ht="15" hidden="false" customHeight="false" outlineLevel="0" collapsed="false">
      <c r="B120" s="2" t="s">
        <v>443</v>
      </c>
      <c r="C120" s="26" t="n">
        <f aca="false">C99-C111</f>
        <v>-25.9999999999998</v>
      </c>
      <c r="D120" s="26" t="n">
        <f aca="false">D99-D111</f>
        <v>-25.9999999999998</v>
      </c>
      <c r="E120" s="26" t="n">
        <f aca="false">E99-E111</f>
        <v>65.5789473684213</v>
      </c>
    </row>
    <row r="121" customFormat="false" ht="15" hidden="false" customHeight="false" outlineLevel="0" collapsed="false">
      <c r="B121" s="2" t="s">
        <v>276</v>
      </c>
      <c r="C121" s="26" t="n">
        <f aca="false">C100-C112</f>
        <v>0</v>
      </c>
      <c r="D121" s="26" t="n">
        <f aca="false">D100-D112</f>
        <v>0</v>
      </c>
      <c r="E121" s="26" t="n">
        <f aca="false">E100-E112</f>
        <v>-74.361041144486</v>
      </c>
    </row>
    <row r="122" customFormat="false" ht="15" hidden="false" customHeight="false" outlineLevel="0" collapsed="false">
      <c r="B122" s="8" t="s">
        <v>444</v>
      </c>
      <c r="C122" s="18" t="n">
        <f aca="false">C101-C113</f>
        <v>0</v>
      </c>
      <c r="D122" s="18" t="n">
        <f aca="false">D101-D113</f>
        <v>0</v>
      </c>
      <c r="E122" s="18" t="n">
        <f aca="false">E101-E113</f>
        <v>7.63157894736843</v>
      </c>
    </row>
    <row r="123" customFormat="false" ht="15" hidden="false" customHeight="false" outlineLevel="0" collapsed="false">
      <c r="B123" s="8" t="s">
        <v>440</v>
      </c>
      <c r="C123" s="18" t="n">
        <f aca="false">C102-C115</f>
        <v>154.370999981138</v>
      </c>
      <c r="D123" s="18" t="n">
        <f aca="false">D102-D115</f>
        <v>103.132885085</v>
      </c>
      <c r="E123" s="18" t="n">
        <f aca="false">E102-E115</f>
        <v>66.4090342450279</v>
      </c>
    </row>
    <row r="124" customFormat="false" ht="15" hidden="false" customHeight="false" outlineLevel="0" collapsed="false">
      <c r="B124" s="8" t="s">
        <v>441</v>
      </c>
      <c r="C124" s="18" t="n">
        <f aca="false">C103-C116</f>
        <v>21.0744281531174</v>
      </c>
      <c r="D124" s="18" t="n">
        <f aca="false">D103-D116</f>
        <v>9.25476402804119</v>
      </c>
      <c r="E124" s="18" t="n">
        <f aca="false">E103-E116</f>
        <v>0</v>
      </c>
    </row>
    <row r="126" customFormat="false" ht="15" hidden="false" customHeight="false" outlineLevel="0" collapsed="false">
      <c r="B126" s="2" t="s">
        <v>445</v>
      </c>
    </row>
    <row r="127" customFormat="false" ht="15" hidden="false" customHeight="false" outlineLevel="0" collapsed="false">
      <c r="B127" s="5" t="s">
        <v>27</v>
      </c>
      <c r="C127" s="6" t="s">
        <v>104</v>
      </c>
      <c r="D127" s="6" t="s">
        <v>105</v>
      </c>
      <c r="E127" s="6" t="s">
        <v>106</v>
      </c>
      <c r="F127" s="7" t="s">
        <v>111</v>
      </c>
    </row>
    <row r="128" customFormat="false" ht="15" hidden="false" customHeight="false" outlineLevel="0" collapsed="false">
      <c r="B128" s="2" t="s">
        <v>446</v>
      </c>
      <c r="C128" s="26" t="n">
        <f aca="false">Inputs!C84*Inputs!$C$78</f>
        <v>1050</v>
      </c>
      <c r="D128" s="26" t="n">
        <f aca="false">Inputs!C85*Inputs!$C$78</f>
        <v>966</v>
      </c>
      <c r="E128" s="26" t="n">
        <f aca="false">Inputs!C86*Inputs!$C$78</f>
        <v>840</v>
      </c>
    </row>
    <row r="129" customFormat="false" ht="15" hidden="false" customHeight="false" outlineLevel="0" collapsed="false">
      <c r="B129" s="8" t="s">
        <v>435</v>
      </c>
      <c r="C129" s="18" t="n">
        <f aca="false">MAX(0,C128+Simplified_Waterfall!$C$23-Simplified_Waterfall!$C$22)</f>
        <v>1040</v>
      </c>
      <c r="D129" s="18" t="n">
        <f aca="false">MAX(0,D128+Simplified_Waterfall!$C$23-Simplified_Waterfall!$C$22)</f>
        <v>956</v>
      </c>
      <c r="E129" s="18" t="n">
        <f aca="false">MAX(0,E128+Simplified_Waterfall!$C$23-Simplified_Waterfall!$C$22)</f>
        <v>830</v>
      </c>
    </row>
    <row r="130" customFormat="false" ht="15" hidden="false" customHeight="false" outlineLevel="0" collapsed="false">
      <c r="B130" s="8" t="s">
        <v>217</v>
      </c>
      <c r="C130" s="18" t="n">
        <f aca="false">MIN(C129,Simplified_Waterfall!$C$9)</f>
        <v>950</v>
      </c>
      <c r="D130" s="18" t="n">
        <f aca="false">MIN(D129,Simplified_Waterfall!$C$9)</f>
        <v>950</v>
      </c>
      <c r="E130" s="18" t="n">
        <f aca="false">MIN(E129,Simplified_Waterfall!$C$9)</f>
        <v>830</v>
      </c>
    </row>
    <row r="131" customFormat="false" ht="15" hidden="false" customHeight="false" outlineLevel="0" collapsed="false">
      <c r="B131" s="8" t="s">
        <v>436</v>
      </c>
      <c r="C131" s="30" t="n">
        <f aca="false">C130/Simplified_Waterfall!$C$9</f>
        <v>1</v>
      </c>
      <c r="D131" s="30" t="n">
        <f aca="false">D130/Simplified_Waterfall!$C$9</f>
        <v>1</v>
      </c>
      <c r="E131" s="30" t="n">
        <f aca="false">E130/Simplified_Waterfall!$C$9</f>
        <v>0.873684210526316</v>
      </c>
    </row>
    <row r="132" customFormat="false" ht="15" hidden="false" customHeight="false" outlineLevel="0" collapsed="false">
      <c r="B132" s="19" t="s">
        <v>437</v>
      </c>
      <c r="C132" s="18" t="n">
        <f aca="false">Inputs!$C$56*C131</f>
        <v>600</v>
      </c>
      <c r="D132" s="18" t="n">
        <f aca="false">Inputs!$C$56*D131</f>
        <v>600</v>
      </c>
      <c r="E132" s="18" t="n">
        <f aca="false">Inputs!$C$56*E131</f>
        <v>524.21052631579</v>
      </c>
    </row>
    <row r="133" customFormat="false" ht="15" hidden="false" customHeight="false" outlineLevel="0" collapsed="false">
      <c r="B133" s="19" t="s">
        <v>438</v>
      </c>
      <c r="C133" s="18" t="n">
        <f aca="false">Uptier!$C$17*C131</f>
        <v>300</v>
      </c>
      <c r="D133" s="18" t="n">
        <f aca="false">Uptier!$C$17*D131</f>
        <v>300</v>
      </c>
      <c r="E133" s="18" t="n">
        <f aca="false">Uptier!$C$17*E131</f>
        <v>262.105263157895</v>
      </c>
    </row>
    <row r="134" customFormat="false" ht="15" hidden="false" customHeight="false" outlineLevel="0" collapsed="false">
      <c r="B134" s="19" t="s">
        <v>440</v>
      </c>
      <c r="C134" s="18" t="n">
        <f aca="false">MIN(C129-C130,Simplified_Waterfall!$C$21)*Inputs!$C$25/Simplified_Waterfall!$C$21</f>
        <v>71.2871287128713</v>
      </c>
      <c r="D134" s="18" t="n">
        <f aca="false">MIN(D129-D130,Simplified_Waterfall!$C$21)*Inputs!$C$25/Simplified_Waterfall!$C$21</f>
        <v>4.75247524752475</v>
      </c>
      <c r="E134" s="18" t="n">
        <f aca="false">MIN(E129-E130,Simplified_Waterfall!$C$21)*Inputs!$C$25/Simplified_Waterfall!$C$21</f>
        <v>0</v>
      </c>
    </row>
    <row r="135" customFormat="false" ht="15" hidden="false" customHeight="false" outlineLevel="0" collapsed="false">
      <c r="B135" s="22" t="s">
        <v>447</v>
      </c>
      <c r="C135" s="34" t="n">
        <f aca="false">C99-C132</f>
        <v>-25.9999999999998</v>
      </c>
      <c r="D135" s="34" t="n">
        <f aca="false">D99-D132</f>
        <v>-25.9999999999998</v>
      </c>
      <c r="E135" s="34" t="n">
        <f aca="false">E99-E132</f>
        <v>49.7894736842108</v>
      </c>
      <c r="F135" s="31"/>
    </row>
    <row r="136" customFormat="false" ht="15" hidden="false" customHeight="false" outlineLevel="0" collapsed="false">
      <c r="B136" s="2" t="s">
        <v>448</v>
      </c>
      <c r="C136" s="26" t="n">
        <f aca="false">C100-C133</f>
        <v>0</v>
      </c>
      <c r="D136" s="26" t="n">
        <f aca="false">D100-D133</f>
        <v>0</v>
      </c>
      <c r="E136" s="26" t="n">
        <f aca="false">E100-E133</f>
        <v>-82.2557779865913</v>
      </c>
    </row>
    <row r="137" customFormat="false" ht="15" hidden="false" customHeight="false" outlineLevel="0" collapsed="false">
      <c r="B137" s="2" t="s">
        <v>449</v>
      </c>
      <c r="C137" s="26" t="n">
        <f aca="false">C102-C134</f>
        <v>249.420504931633</v>
      </c>
      <c r="D137" s="26" t="n">
        <f aca="false">D102-D134</f>
        <v>110.261597956287</v>
      </c>
      <c r="E137" s="26" t="n">
        <f aca="false">E102-E134</f>
        <v>66.4090342450279</v>
      </c>
    </row>
    <row r="138" customFormat="false" ht="15" hidden="false" customHeight="false" outlineLevel="0" collapsed="false">
      <c r="B138" s="8" t="s">
        <v>450</v>
      </c>
      <c r="C138" s="29" t="n">
        <f aca="false">IF(SIGN(ROUND(C135,1))&lt;&gt;SIGN(ROUND(C120,1)),1,0)+IF(SIGN(ROUND(C136,1))&lt;&gt;SIGN(ROUND(C121,1)),1,0)+IF(SIGN(ROUND(C137,1))&lt;&gt;SIGN(ROUND(C123,1)),1,0)</f>
        <v>0</v>
      </c>
      <c r="D138" s="29" t="n">
        <f aca="false">IF(SIGN(ROUND(D135,1))&lt;&gt;SIGN(ROUND(D120,1)),1,0)+IF(SIGN(ROUND(D136,1))&lt;&gt;SIGN(ROUND(D121,1)),1,0)+IF(SIGN(ROUND(D137,1))&lt;&gt;SIGN(ROUND(D123,1)),1,0)</f>
        <v>0</v>
      </c>
      <c r="E138" s="29" t="n">
        <f aca="false">IF(SIGN(ROUND(E135,1))&lt;&gt;SIGN(ROUND(E120,1)),1,0)+IF(SIGN(ROUND(E136,1))&lt;&gt;SIGN(ROUND(E121,1)),1,0)+IF(SIGN(ROUND(E137,1))&lt;&gt;SIGN(ROUND(E123,1)),1,0)</f>
        <v>0</v>
      </c>
      <c r="F138" s="42" t="n">
        <f aca="false">SUM(C138:E138)</f>
        <v>0</v>
      </c>
      <c r="G138" s="4" t="s">
        <v>451</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J4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6"/>
    <col collapsed="false" customWidth="true" hidden="false" outlineLevel="0" max="3" min="3" style="0" width="18"/>
    <col collapsed="false" customWidth="true" hidden="false" outlineLevel="0" max="4" min="4" style="0" width="58"/>
    <col collapsed="false" customWidth="true" hidden="false" outlineLevel="0" max="5" min="5" style="0" width="12"/>
    <col collapsed="false" customWidth="true" hidden="false" outlineLevel="0" max="6" min="6" style="0" width="14"/>
    <col collapsed="false" customWidth="true" hidden="false" outlineLevel="0" max="7" min="7" style="0" width="12"/>
    <col collapsed="false" customWidth="true" hidden="false" outlineLevel="0" max="8" min="8" style="0" width="11"/>
    <col collapsed="false" customWidth="true" hidden="false" outlineLevel="0" max="9" min="9" style="0" width="9"/>
    <col collapsed="false" customWidth="true" hidden="false" outlineLevel="0" max="39" min="10" style="0" width="11"/>
  </cols>
  <sheetData>
    <row r="1" customFormat="false" ht="6" hidden="false" customHeight="true" outlineLevel="0" collapsed="false"/>
    <row r="2" customFormat="false" ht="15" hidden="false" customHeight="false" outlineLevel="0" collapsed="false">
      <c r="B2" s="1" t="s">
        <v>452</v>
      </c>
    </row>
    <row r="3" customFormat="false" ht="15" hidden="false" customHeight="false" outlineLevel="0" collapsed="false">
      <c r="B3" s="4" t="s">
        <v>453</v>
      </c>
    </row>
    <row r="5" customFormat="false" ht="15" hidden="false" customHeight="false" outlineLevel="0" collapsed="false">
      <c r="B5" s="2" t="s">
        <v>454</v>
      </c>
      <c r="E5" s="42" t="n">
        <f aca="false">COUNTA(D8:D419)</f>
        <v>412</v>
      </c>
      <c r="G5" s="2" t="s">
        <v>455</v>
      </c>
      <c r="J5" s="42" t="n">
        <f aca="false">COUNTIF(J8:J419,"differs")</f>
        <v>0</v>
      </c>
    </row>
    <row r="6" customFormat="false" ht="15" hidden="false" customHeight="false" outlineLevel="0" collapsed="false">
      <c r="B6" s="2" t="s">
        <v>456</v>
      </c>
      <c r="E6" s="42" t="n">
        <f aca="false">COUNTIF(I8:I419,"FAIL")</f>
        <v>0</v>
      </c>
    </row>
    <row r="7" customFormat="false" ht="15" hidden="false" customHeight="false" outlineLevel="0" collapsed="false">
      <c r="B7" s="5" t="s">
        <v>457</v>
      </c>
      <c r="C7" s="7" t="s">
        <v>458</v>
      </c>
      <c r="D7" s="7" t="s">
        <v>459</v>
      </c>
      <c r="E7" s="6" t="s">
        <v>460</v>
      </c>
      <c r="F7" s="6" t="s">
        <v>461</v>
      </c>
      <c r="G7" s="6" t="s">
        <v>462</v>
      </c>
      <c r="H7" s="6" t="s">
        <v>463</v>
      </c>
      <c r="I7" s="6" t="s">
        <v>464</v>
      </c>
      <c r="J7" s="6" t="s">
        <v>465</v>
      </c>
    </row>
    <row r="8" customFormat="false" ht="15" hidden="false" customHeight="false" outlineLevel="0" collapsed="false">
      <c r="B8" s="39" t="n">
        <v>1</v>
      </c>
      <c r="C8" s="8" t="s">
        <v>466</v>
      </c>
      <c r="D8" s="8" t="s">
        <v>467</v>
      </c>
      <c r="E8" s="44" t="n">
        <v>20</v>
      </c>
      <c r="F8" s="45" t="n">
        <f aca="false">Simplified_Waterfall!$C$23</f>
        <v>20</v>
      </c>
      <c r="G8" s="46" t="n">
        <f aca="false">IF(ISNUMBER(F8),F8-E8,"n/a")</f>
        <v>0</v>
      </c>
      <c r="H8" s="47" t="n">
        <v>0.500000001</v>
      </c>
      <c r="I8" s="48" t="str">
        <f aca="false">IF(ISNUMBER(F8),IF(ABS(F8-E8)&lt;=H8,"PASS","FAIL"),"FAIL")</f>
        <v>PASS</v>
      </c>
      <c r="J8" s="48" t="str">
        <f aca="false">IF(ISNUMBER(F8),IF(ROUND(F8,0)=ROUND(E8,0),"same","differs"),"n/a")</f>
        <v>same</v>
      </c>
    </row>
    <row r="9" customFormat="false" ht="15" hidden="false" customHeight="false" outlineLevel="0" collapsed="false">
      <c r="B9" s="39" t="n">
        <v>2</v>
      </c>
      <c r="C9" s="8" t="s">
        <v>466</v>
      </c>
      <c r="D9" s="8" t="s">
        <v>468</v>
      </c>
      <c r="E9" s="44" t="n">
        <v>30</v>
      </c>
      <c r="F9" s="45" t="n">
        <f aca="false">Simplified_Waterfall!$C$22</f>
        <v>30</v>
      </c>
      <c r="G9" s="46" t="n">
        <f aca="false">IF(ISNUMBER(F9),F9-E9,"n/a")</f>
        <v>0</v>
      </c>
      <c r="H9" s="47" t="n">
        <v>0.500000001</v>
      </c>
      <c r="I9" s="48" t="str">
        <f aca="false">IF(ISNUMBER(F9),IF(ABS(F9-E9)&lt;=H9,"PASS","FAIL"),"FAIL")</f>
        <v>PASS</v>
      </c>
      <c r="J9" s="48" t="str">
        <f aca="false">IF(ISNUMBER(F9),IF(ROUND(F9,0)=ROUND(E9,0),"same","differs"),"n/a")</f>
        <v>same</v>
      </c>
    </row>
    <row r="10" customFormat="false" ht="15" hidden="false" customHeight="false" outlineLevel="0" collapsed="false">
      <c r="B10" s="39" t="n">
        <v>3</v>
      </c>
      <c r="C10" s="8" t="s">
        <v>466</v>
      </c>
      <c r="D10" s="8" t="s">
        <v>469</v>
      </c>
      <c r="E10" s="9" t="n">
        <v>0.083</v>
      </c>
      <c r="F10" s="49" t="n">
        <f aca="false">Simplified_Waterfall!$C$8</f>
        <v>0.083</v>
      </c>
      <c r="G10" s="46" t="n">
        <f aca="false">IF(ISNUMBER(F10),F10-E10,"n/a")</f>
        <v>0</v>
      </c>
      <c r="H10" s="47" t="n">
        <v>5.0001E-005</v>
      </c>
      <c r="I10" s="48" t="str">
        <f aca="false">IF(ISNUMBER(F10),IF(ABS(F10-E10)&lt;=H10,"PASS","FAIL"),"FAIL")</f>
        <v>PASS</v>
      </c>
      <c r="J10" s="48" t="str">
        <f aca="false">IF(ISNUMBER(F10),IF(ROUND(F10,4)=ROUND(E10,4),"same","differs"),"n/a")</f>
        <v>same</v>
      </c>
    </row>
    <row r="11" customFormat="false" ht="15" hidden="false" customHeight="false" outlineLevel="0" collapsed="false">
      <c r="B11" s="39" t="n">
        <v>4</v>
      </c>
      <c r="C11" s="8" t="s">
        <v>466</v>
      </c>
      <c r="D11" s="8" t="s">
        <v>112</v>
      </c>
      <c r="E11" s="9" t="n">
        <v>0.0805</v>
      </c>
      <c r="F11" s="49" t="n">
        <f aca="false">Simplified_Waterfall!$C$7</f>
        <v>0.0805</v>
      </c>
      <c r="G11" s="46" t="n">
        <f aca="false">IF(ISNUMBER(F11),F11-E11,"n/a")</f>
        <v>0</v>
      </c>
      <c r="H11" s="47" t="n">
        <v>5.0001E-005</v>
      </c>
      <c r="I11" s="48" t="str">
        <f aca="false">IF(ISNUMBER(F11),IF(ABS(F11-E11)&lt;=H11,"PASS","FAIL"),"FAIL")</f>
        <v>PASS</v>
      </c>
      <c r="J11" s="48" t="str">
        <f aca="false">IF(ISNUMBER(F11),IF(ROUND(F11,4)=ROUND(E11,4),"same","differs"),"n/a")</f>
        <v>same</v>
      </c>
    </row>
    <row r="12" customFormat="false" ht="15" hidden="false" customHeight="false" outlineLevel="0" collapsed="false">
      <c r="B12" s="39" t="n">
        <v>5</v>
      </c>
      <c r="C12" s="8" t="s">
        <v>466</v>
      </c>
      <c r="D12" s="8" t="s">
        <v>130</v>
      </c>
      <c r="E12" s="44" t="n">
        <v>1465</v>
      </c>
      <c r="F12" s="45" t="n">
        <f aca="false">Simplified_Waterfall!$C$25</f>
        <v>1465</v>
      </c>
      <c r="G12" s="46" t="n">
        <f aca="false">IF(ISNUMBER(F12),F12-E12,"n/a")</f>
        <v>0</v>
      </c>
      <c r="H12" s="47" t="n">
        <v>0.500000001</v>
      </c>
      <c r="I12" s="48" t="str">
        <f aca="false">IF(ISNUMBER(F12),IF(ABS(F12-E12)&lt;=H12,"PASS","FAIL"),"FAIL")</f>
        <v>PASS</v>
      </c>
      <c r="J12" s="48" t="str">
        <f aca="false">IF(ISNUMBER(F12),IF(ROUND(F12,0)=ROUND(E12,0),"same","differs"),"n/a")</f>
        <v>same</v>
      </c>
    </row>
    <row r="13" customFormat="false" ht="15" hidden="false" customHeight="false" outlineLevel="0" collapsed="false">
      <c r="B13" s="39" t="n">
        <v>6</v>
      </c>
      <c r="C13" s="8" t="s">
        <v>466</v>
      </c>
      <c r="D13" s="8" t="s">
        <v>128</v>
      </c>
      <c r="E13" s="44" t="n">
        <v>960</v>
      </c>
      <c r="F13" s="45" t="n">
        <f aca="false">Simplified_Waterfall!$C$24</f>
        <v>960</v>
      </c>
      <c r="G13" s="46" t="n">
        <f aca="false">IF(ISNUMBER(F13),F13-E13,"n/a")</f>
        <v>0</v>
      </c>
      <c r="H13" s="47" t="n">
        <v>0.500000001</v>
      </c>
      <c r="I13" s="48" t="str">
        <f aca="false">IF(ISNUMBER(F13),IF(ABS(F13-E13)&lt;=H13,"PASS","FAIL"),"FAIL")</f>
        <v>PASS</v>
      </c>
      <c r="J13" s="48" t="str">
        <f aca="false">IF(ISNUMBER(F13),IF(ROUND(F13,0)=ROUND(E13,0),"same","differs"),"n/a")</f>
        <v>same</v>
      </c>
    </row>
    <row r="14" customFormat="false" ht="15" hidden="false" customHeight="false" outlineLevel="0" collapsed="false">
      <c r="B14" s="39" t="n">
        <v>7</v>
      </c>
      <c r="C14" s="8" t="s">
        <v>466</v>
      </c>
      <c r="D14" s="8" t="s">
        <v>470</v>
      </c>
      <c r="E14" s="12" t="n">
        <v>0.726</v>
      </c>
      <c r="F14" s="50" t="n">
        <f aca="false">Simplified_Waterfall!$C$33</f>
        <v>0.726315789473684</v>
      </c>
      <c r="G14" s="46" t="n">
        <f aca="false">IF(ISNUMBER(F14),F14-E14,"n/a")</f>
        <v>0.000315789473684269</v>
      </c>
      <c r="H14" s="47" t="n">
        <v>0.000500001</v>
      </c>
      <c r="I14" s="48" t="str">
        <f aca="false">IF(ISNUMBER(F14),IF(ABS(F14-E14)&lt;=H14,"PASS","FAIL"),"FAIL")</f>
        <v>PASS</v>
      </c>
      <c r="J14" s="48" t="str">
        <f aca="false">IF(ISNUMBER(F14),IF(ROUND(F14,3)=ROUND(E14,3),"same","differs"),"n/a")</f>
        <v>same</v>
      </c>
    </row>
    <row r="15" customFormat="false" ht="15" hidden="false" customHeight="false" outlineLevel="0" collapsed="false">
      <c r="B15" s="39" t="n">
        <v>8</v>
      </c>
      <c r="C15" s="8" t="s">
        <v>466</v>
      </c>
      <c r="D15" s="8" t="s">
        <v>471</v>
      </c>
      <c r="E15" s="12" t="n">
        <v>0</v>
      </c>
      <c r="F15" s="50" t="n">
        <f aca="false">Simplified_Waterfall!$C$38</f>
        <v>0</v>
      </c>
      <c r="G15" s="46" t="n">
        <f aca="false">IF(ISNUMBER(F15),F15-E15,"n/a")</f>
        <v>0</v>
      </c>
      <c r="H15" s="47" t="n">
        <v>0.000500001</v>
      </c>
      <c r="I15" s="48" t="str">
        <f aca="false">IF(ISNUMBER(F15),IF(ABS(F15-E15)&lt;=H15,"PASS","FAIL"),"FAIL")</f>
        <v>PASS</v>
      </c>
      <c r="J15" s="48" t="str">
        <f aca="false">IF(ISNUMBER(F15),IF(ROUND(F15,3)=ROUND(E15,3),"same","differs"),"n/a")</f>
        <v>same</v>
      </c>
    </row>
    <row r="16" customFormat="false" ht="15" hidden="false" customHeight="false" outlineLevel="0" collapsed="false">
      <c r="B16" s="39" t="n">
        <v>9</v>
      </c>
      <c r="C16" s="8" t="s">
        <v>466</v>
      </c>
      <c r="D16" s="8" t="s">
        <v>472</v>
      </c>
      <c r="E16" s="51" t="n">
        <v>0</v>
      </c>
      <c r="F16" s="52" t="n">
        <f aca="false">Simplified_Waterfall!$C$36</f>
        <v>0</v>
      </c>
      <c r="G16" s="46" t="n">
        <f aca="false">IF(ISNUMBER(F16),F16-E16,"n/a")</f>
        <v>0</v>
      </c>
      <c r="H16" s="47" t="n">
        <v>0.050000001</v>
      </c>
      <c r="I16" s="48" t="str">
        <f aca="false">IF(ISNUMBER(F16),IF(ABS(F16-E16)&lt;=H16,"PASS","FAIL"),"FAIL")</f>
        <v>PASS</v>
      </c>
      <c r="J16" s="48" t="str">
        <f aca="false">IF(ISNUMBER(F16),IF(ROUND(F16,1)=ROUND(E16,1),"same","differs"),"n/a")</f>
        <v>same</v>
      </c>
    </row>
    <row r="17" customFormat="false" ht="15" hidden="false" customHeight="false" outlineLevel="0" collapsed="false">
      <c r="B17" s="39" t="n">
        <v>10</v>
      </c>
      <c r="C17" s="8" t="s">
        <v>466</v>
      </c>
      <c r="D17" s="8" t="s">
        <v>473</v>
      </c>
      <c r="E17" s="51" t="n">
        <v>0</v>
      </c>
      <c r="F17" s="52" t="n">
        <f aca="false">Simplified_Waterfall!$C$37</f>
        <v>0</v>
      </c>
      <c r="G17" s="46" t="n">
        <f aca="false">IF(ISNUMBER(F17),F17-E17,"n/a")</f>
        <v>0</v>
      </c>
      <c r="H17" s="47" t="n">
        <v>0.050000001</v>
      </c>
      <c r="I17" s="48" t="str">
        <f aca="false">IF(ISNUMBER(F17),IF(ABS(F17-E17)&lt;=H17,"PASS","FAIL"),"FAIL")</f>
        <v>PASS</v>
      </c>
      <c r="J17" s="48" t="str">
        <f aca="false">IF(ISNUMBER(F17),IF(ROUND(F17,1)=ROUND(E17,1),"same","differs"),"n/a")</f>
        <v>same</v>
      </c>
    </row>
    <row r="18" customFormat="false" ht="15" hidden="false" customHeight="false" outlineLevel="0" collapsed="false">
      <c r="B18" s="39" t="n">
        <v>11</v>
      </c>
      <c r="C18" s="8" t="s">
        <v>466</v>
      </c>
      <c r="D18" s="8" t="s">
        <v>474</v>
      </c>
      <c r="E18" s="12" t="n">
        <v>0.832</v>
      </c>
      <c r="F18" s="50" t="n">
        <f aca="false">Simplified_Waterfall!$D$33</f>
        <v>0.831578947368421</v>
      </c>
      <c r="G18" s="46" t="n">
        <f aca="false">IF(ISNUMBER(F18),F18-E18,"n/a")</f>
        <v>-0.000421052631578989</v>
      </c>
      <c r="H18" s="47" t="n">
        <v>0.000500001</v>
      </c>
      <c r="I18" s="48" t="str">
        <f aca="false">IF(ISNUMBER(F18),IF(ABS(F18-E18)&lt;=H18,"PASS","FAIL"),"FAIL")</f>
        <v>PASS</v>
      </c>
      <c r="J18" s="48" t="str">
        <f aca="false">IF(ISNUMBER(F18),IF(ROUND(F18,3)=ROUND(E18,3),"same","differs"),"n/a")</f>
        <v>same</v>
      </c>
    </row>
    <row r="19" customFormat="false" ht="15" hidden="false" customHeight="false" outlineLevel="0" collapsed="false">
      <c r="B19" s="39" t="n">
        <v>12</v>
      </c>
      <c r="C19" s="8" t="s">
        <v>466</v>
      </c>
      <c r="D19" s="8" t="s">
        <v>475</v>
      </c>
      <c r="E19" s="12" t="n">
        <v>0</v>
      </c>
      <c r="F19" s="50" t="n">
        <f aca="false">Simplified_Waterfall!$D$38</f>
        <v>0</v>
      </c>
      <c r="G19" s="46" t="n">
        <f aca="false">IF(ISNUMBER(F19),F19-E19,"n/a")</f>
        <v>0</v>
      </c>
      <c r="H19" s="47" t="n">
        <v>0.000500001</v>
      </c>
      <c r="I19" s="48" t="str">
        <f aca="false">IF(ISNUMBER(F19),IF(ABS(F19-E19)&lt;=H19,"PASS","FAIL"),"FAIL")</f>
        <v>PASS</v>
      </c>
      <c r="J19" s="48" t="str">
        <f aca="false">IF(ISNUMBER(F19),IF(ROUND(F19,3)=ROUND(E19,3),"same","differs"),"n/a")</f>
        <v>same</v>
      </c>
    </row>
    <row r="20" customFormat="false" ht="15" hidden="false" customHeight="false" outlineLevel="0" collapsed="false">
      <c r="B20" s="39" t="n">
        <v>13</v>
      </c>
      <c r="C20" s="8" t="s">
        <v>466</v>
      </c>
      <c r="D20" s="8" t="s">
        <v>476</v>
      </c>
      <c r="E20" s="51" t="n">
        <v>0</v>
      </c>
      <c r="F20" s="52" t="n">
        <f aca="false">Simplified_Waterfall!$D$36</f>
        <v>0</v>
      </c>
      <c r="G20" s="46" t="n">
        <f aca="false">IF(ISNUMBER(F20),F20-E20,"n/a")</f>
        <v>0</v>
      </c>
      <c r="H20" s="47" t="n">
        <v>0.050000001</v>
      </c>
      <c r="I20" s="48" t="str">
        <f aca="false">IF(ISNUMBER(F20),IF(ABS(F20-E20)&lt;=H20,"PASS","FAIL"),"FAIL")</f>
        <v>PASS</v>
      </c>
      <c r="J20" s="48" t="str">
        <f aca="false">IF(ISNUMBER(F20),IF(ROUND(F20,1)=ROUND(E20,1),"same","differs"),"n/a")</f>
        <v>same</v>
      </c>
    </row>
    <row r="21" customFormat="false" ht="15" hidden="false" customHeight="false" outlineLevel="0" collapsed="false">
      <c r="B21" s="39" t="n">
        <v>14</v>
      </c>
      <c r="C21" s="8" t="s">
        <v>466</v>
      </c>
      <c r="D21" s="8" t="s">
        <v>477</v>
      </c>
      <c r="E21" s="51" t="n">
        <v>0</v>
      </c>
      <c r="F21" s="52" t="n">
        <f aca="false">Simplified_Waterfall!$D$37</f>
        <v>0</v>
      </c>
      <c r="G21" s="46" t="n">
        <f aca="false">IF(ISNUMBER(F21),F21-E21,"n/a")</f>
        <v>0</v>
      </c>
      <c r="H21" s="47" t="n">
        <v>0.050000001</v>
      </c>
      <c r="I21" s="48" t="str">
        <f aca="false">IF(ISNUMBER(F21),IF(ABS(F21-E21)&lt;=H21,"PASS","FAIL"),"FAIL")</f>
        <v>PASS</v>
      </c>
      <c r="J21" s="48" t="str">
        <f aca="false">IF(ISNUMBER(F21),IF(ROUND(F21,1)=ROUND(E21,1),"same","differs"),"n/a")</f>
        <v>same</v>
      </c>
    </row>
    <row r="22" customFormat="false" ht="15" hidden="false" customHeight="false" outlineLevel="0" collapsed="false">
      <c r="B22" s="39" t="n">
        <v>15</v>
      </c>
      <c r="C22" s="8" t="s">
        <v>466</v>
      </c>
      <c r="D22" s="8" t="s">
        <v>478</v>
      </c>
      <c r="E22" s="12" t="n">
        <v>0.937</v>
      </c>
      <c r="F22" s="50" t="n">
        <f aca="false">Simplified_Waterfall!$E$33</f>
        <v>0.936842105263158</v>
      </c>
      <c r="G22" s="46" t="n">
        <f aca="false">IF(ISNUMBER(F22),F22-E22,"n/a")</f>
        <v>-0.000157894736842135</v>
      </c>
      <c r="H22" s="47" t="n">
        <v>0.000500001</v>
      </c>
      <c r="I22" s="48" t="str">
        <f aca="false">IF(ISNUMBER(F22),IF(ABS(F22-E22)&lt;=H22,"PASS","FAIL"),"FAIL")</f>
        <v>PASS</v>
      </c>
      <c r="J22" s="48" t="str">
        <f aca="false">IF(ISNUMBER(F22),IF(ROUND(F22,3)=ROUND(E22,3),"same","differs"),"n/a")</f>
        <v>same</v>
      </c>
    </row>
    <row r="23" customFormat="false" ht="15" hidden="false" customHeight="false" outlineLevel="0" collapsed="false">
      <c r="B23" s="39" t="n">
        <v>16</v>
      </c>
      <c r="C23" s="8" t="s">
        <v>466</v>
      </c>
      <c r="D23" s="8" t="s">
        <v>479</v>
      </c>
      <c r="E23" s="12" t="n">
        <v>0</v>
      </c>
      <c r="F23" s="50" t="n">
        <f aca="false">Simplified_Waterfall!$E$38</f>
        <v>0</v>
      </c>
      <c r="G23" s="46" t="n">
        <f aca="false">IF(ISNUMBER(F23),F23-E23,"n/a")</f>
        <v>0</v>
      </c>
      <c r="H23" s="47" t="n">
        <v>0.000500001</v>
      </c>
      <c r="I23" s="48" t="str">
        <f aca="false">IF(ISNUMBER(F23),IF(ABS(F23-E23)&lt;=H23,"PASS","FAIL"),"FAIL")</f>
        <v>PASS</v>
      </c>
      <c r="J23" s="48" t="str">
        <f aca="false">IF(ISNUMBER(F23),IF(ROUND(F23,3)=ROUND(E23,3),"same","differs"),"n/a")</f>
        <v>same</v>
      </c>
    </row>
    <row r="24" customFormat="false" ht="15" hidden="false" customHeight="false" outlineLevel="0" collapsed="false">
      <c r="B24" s="39" t="n">
        <v>17</v>
      </c>
      <c r="C24" s="8" t="s">
        <v>466</v>
      </c>
      <c r="D24" s="8" t="s">
        <v>480</v>
      </c>
      <c r="E24" s="51" t="n">
        <v>0</v>
      </c>
      <c r="F24" s="52" t="n">
        <f aca="false">Simplified_Waterfall!$E$36</f>
        <v>0</v>
      </c>
      <c r="G24" s="46" t="n">
        <f aca="false">IF(ISNUMBER(F24),F24-E24,"n/a")</f>
        <v>0</v>
      </c>
      <c r="H24" s="47" t="n">
        <v>0.050000001</v>
      </c>
      <c r="I24" s="48" t="str">
        <f aca="false">IF(ISNUMBER(F24),IF(ABS(F24-E24)&lt;=H24,"PASS","FAIL"),"FAIL")</f>
        <v>PASS</v>
      </c>
      <c r="J24" s="48" t="str">
        <f aca="false">IF(ISNUMBER(F24),IF(ROUND(F24,1)=ROUND(E24,1),"same","differs"),"n/a")</f>
        <v>same</v>
      </c>
    </row>
    <row r="25" customFormat="false" ht="15" hidden="false" customHeight="false" outlineLevel="0" collapsed="false">
      <c r="B25" s="39" t="n">
        <v>18</v>
      </c>
      <c r="C25" s="8" t="s">
        <v>466</v>
      </c>
      <c r="D25" s="8" t="s">
        <v>481</v>
      </c>
      <c r="E25" s="51" t="n">
        <v>0</v>
      </c>
      <c r="F25" s="52" t="n">
        <f aca="false">Simplified_Waterfall!$E$37</f>
        <v>0</v>
      </c>
      <c r="G25" s="46" t="n">
        <f aca="false">IF(ISNUMBER(F25),F25-E25,"n/a")</f>
        <v>0</v>
      </c>
      <c r="H25" s="47" t="n">
        <v>0.050000001</v>
      </c>
      <c r="I25" s="48" t="str">
        <f aca="false">IF(ISNUMBER(F25),IF(ABS(F25-E25)&lt;=H25,"PASS","FAIL"),"FAIL")</f>
        <v>PASS</v>
      </c>
      <c r="J25" s="48" t="str">
        <f aca="false">IF(ISNUMBER(F25),IF(ROUND(F25,1)=ROUND(E25,1),"same","differs"),"n/a")</f>
        <v>same</v>
      </c>
    </row>
    <row r="26" customFormat="false" ht="15" hidden="false" customHeight="false" outlineLevel="0" collapsed="false">
      <c r="B26" s="39" t="n">
        <v>19</v>
      </c>
      <c r="C26" s="8" t="s">
        <v>466</v>
      </c>
      <c r="D26" s="8" t="s">
        <v>482</v>
      </c>
      <c r="E26" s="12" t="n">
        <v>1</v>
      </c>
      <c r="F26" s="50" t="n">
        <f aca="false">Simplified_Waterfall!$F$33</f>
        <v>1</v>
      </c>
      <c r="G26" s="46" t="n">
        <f aca="false">IF(ISNUMBER(F26),F26-E26,"n/a")</f>
        <v>0</v>
      </c>
      <c r="H26" s="47" t="n">
        <v>0.000500001</v>
      </c>
      <c r="I26" s="48" t="str">
        <f aca="false">IF(ISNUMBER(F26),IF(ABS(F26-E26)&lt;=H26,"PASS","FAIL"),"FAIL")</f>
        <v>PASS</v>
      </c>
      <c r="J26" s="48" t="str">
        <f aca="false">IF(ISNUMBER(F26),IF(ROUND(F26,3)=ROUND(E26,3),"same","differs"),"n/a")</f>
        <v>same</v>
      </c>
    </row>
    <row r="27" customFormat="false" ht="15" hidden="false" customHeight="false" outlineLevel="0" collapsed="false">
      <c r="B27" s="39" t="n">
        <v>20</v>
      </c>
      <c r="C27" s="8" t="s">
        <v>466</v>
      </c>
      <c r="D27" s="8" t="s">
        <v>483</v>
      </c>
      <c r="E27" s="12" t="n">
        <v>0.079</v>
      </c>
      <c r="F27" s="50" t="n">
        <f aca="false">Simplified_Waterfall!$F$38</f>
        <v>0.0792079207920792</v>
      </c>
      <c r="G27" s="46" t="n">
        <f aca="false">IF(ISNUMBER(F27),F27-E27,"n/a")</f>
        <v>0.000207920792079208</v>
      </c>
      <c r="H27" s="47" t="n">
        <v>0.000500001</v>
      </c>
      <c r="I27" s="48" t="str">
        <f aca="false">IF(ISNUMBER(F27),IF(ABS(F27-E27)&lt;=H27,"PASS","FAIL"),"FAIL")</f>
        <v>PASS</v>
      </c>
      <c r="J27" s="48" t="str">
        <f aca="false">IF(ISNUMBER(F27),IF(ROUND(F27,3)=ROUND(E27,3),"same","differs"),"n/a")</f>
        <v>same</v>
      </c>
    </row>
    <row r="28" customFormat="false" ht="15" hidden="false" customHeight="false" outlineLevel="0" collapsed="false">
      <c r="B28" s="39" t="n">
        <v>21</v>
      </c>
      <c r="C28" s="8" t="s">
        <v>466</v>
      </c>
      <c r="D28" s="8" t="s">
        <v>484</v>
      </c>
      <c r="E28" s="51" t="n">
        <v>31.7</v>
      </c>
      <c r="F28" s="52" t="n">
        <f aca="false">Simplified_Waterfall!$F$36</f>
        <v>31.6831683168317</v>
      </c>
      <c r="G28" s="46" t="n">
        <f aca="false">IF(ISNUMBER(F28),F28-E28,"n/a")</f>
        <v>-0.0168316831683164</v>
      </c>
      <c r="H28" s="47" t="n">
        <v>0.050000001</v>
      </c>
      <c r="I28" s="48" t="str">
        <f aca="false">IF(ISNUMBER(F28),IF(ABS(F28-E28)&lt;=H28,"PASS","FAIL"),"FAIL")</f>
        <v>PASS</v>
      </c>
      <c r="J28" s="48" t="str">
        <f aca="false">IF(ISNUMBER(F28),IF(ROUND(F28,1)=ROUND(E28,1),"same","differs"),"n/a")</f>
        <v>same</v>
      </c>
    </row>
    <row r="29" customFormat="false" ht="15" hidden="false" customHeight="false" outlineLevel="0" collapsed="false">
      <c r="B29" s="39" t="n">
        <v>22</v>
      </c>
      <c r="C29" s="8" t="s">
        <v>466</v>
      </c>
      <c r="D29" s="8" t="s">
        <v>485</v>
      </c>
      <c r="E29" s="51" t="n">
        <v>8.3</v>
      </c>
      <c r="F29" s="52" t="n">
        <f aca="false">Simplified_Waterfall!$F$37</f>
        <v>8.31683168316832</v>
      </c>
      <c r="G29" s="46" t="n">
        <f aca="false">IF(ISNUMBER(F29),F29-E29,"n/a")</f>
        <v>0.0168316831683164</v>
      </c>
      <c r="H29" s="47" t="n">
        <v>0.050000001</v>
      </c>
      <c r="I29" s="48" t="str">
        <f aca="false">IF(ISNUMBER(F29),IF(ABS(F29-E29)&lt;=H29,"PASS","FAIL"),"FAIL")</f>
        <v>PASS</v>
      </c>
      <c r="J29" s="48" t="str">
        <f aca="false">IF(ISNUMBER(F29),IF(ROUND(F29,1)=ROUND(E29,1),"same","differs"),"n/a")</f>
        <v>same</v>
      </c>
    </row>
    <row r="30" customFormat="false" ht="15" hidden="false" customHeight="false" outlineLevel="0" collapsed="false">
      <c r="B30" s="39" t="n">
        <v>23</v>
      </c>
      <c r="C30" s="8" t="s">
        <v>466</v>
      </c>
      <c r="D30" s="8" t="s">
        <v>486</v>
      </c>
      <c r="E30" s="12" t="n">
        <v>1</v>
      </c>
      <c r="F30" s="50" t="n">
        <f aca="false">Simplified_Waterfall!$G$33</f>
        <v>1</v>
      </c>
      <c r="G30" s="46" t="n">
        <f aca="false">IF(ISNUMBER(F30),F30-E30,"n/a")</f>
        <v>0</v>
      </c>
      <c r="H30" s="47" t="n">
        <v>0.000500001</v>
      </c>
      <c r="I30" s="48" t="str">
        <f aca="false">IF(ISNUMBER(F30),IF(ABS(F30-E30)&lt;=H30,"PASS","FAIL"),"FAIL")</f>
        <v>PASS</v>
      </c>
      <c r="J30" s="48" t="str">
        <f aca="false">IF(ISNUMBER(F30),IF(ROUND(F30,3)=ROUND(E30,3),"same","differs"),"n/a")</f>
        <v>same</v>
      </c>
    </row>
    <row r="31" customFormat="false" ht="15" hidden="false" customHeight="false" outlineLevel="0" collapsed="false">
      <c r="B31" s="39" t="n">
        <v>24</v>
      </c>
      <c r="C31" s="8" t="s">
        <v>466</v>
      </c>
      <c r="D31" s="8" t="s">
        <v>487</v>
      </c>
      <c r="E31" s="12" t="n">
        <v>0.277</v>
      </c>
      <c r="F31" s="50" t="n">
        <f aca="false">Simplified_Waterfall!$G$38</f>
        <v>0.277227722772277</v>
      </c>
      <c r="G31" s="46" t="n">
        <f aca="false">IF(ISNUMBER(F31),F31-E31,"n/a")</f>
        <v>0.000227722772277228</v>
      </c>
      <c r="H31" s="47" t="n">
        <v>0.000500001</v>
      </c>
      <c r="I31" s="48" t="str">
        <f aca="false">IF(ISNUMBER(F31),IF(ABS(F31-E31)&lt;=H31,"PASS","FAIL"),"FAIL")</f>
        <v>PASS</v>
      </c>
      <c r="J31" s="48" t="str">
        <f aca="false">IF(ISNUMBER(F31),IF(ROUND(F31,3)=ROUND(E31,3),"same","differs"),"n/a")</f>
        <v>same</v>
      </c>
    </row>
    <row r="32" customFormat="false" ht="15" hidden="false" customHeight="false" outlineLevel="0" collapsed="false">
      <c r="B32" s="39" t="n">
        <v>25</v>
      </c>
      <c r="C32" s="8" t="s">
        <v>466</v>
      </c>
      <c r="D32" s="8" t="s">
        <v>488</v>
      </c>
      <c r="E32" s="51" t="n">
        <v>110.9</v>
      </c>
      <c r="F32" s="52" t="n">
        <f aca="false">Simplified_Waterfall!$G$36</f>
        <v>110.891089108911</v>
      </c>
      <c r="G32" s="46" t="n">
        <f aca="false">IF(ISNUMBER(F32),F32-E32,"n/a")</f>
        <v>-0.00891089108911558</v>
      </c>
      <c r="H32" s="47" t="n">
        <v>0.050000001</v>
      </c>
      <c r="I32" s="48" t="str">
        <f aca="false">IF(ISNUMBER(F32),IF(ABS(F32-E32)&lt;=H32,"PASS","FAIL"),"FAIL")</f>
        <v>PASS</v>
      </c>
      <c r="J32" s="48" t="str">
        <f aca="false">IF(ISNUMBER(F32),IF(ROUND(F32,1)=ROUND(E32,1),"same","differs"),"n/a")</f>
        <v>same</v>
      </c>
    </row>
    <row r="33" customFormat="false" ht="15" hidden="false" customHeight="false" outlineLevel="0" collapsed="false">
      <c r="B33" s="39" t="n">
        <v>26</v>
      </c>
      <c r="C33" s="8" t="s">
        <v>466</v>
      </c>
      <c r="D33" s="8" t="s">
        <v>489</v>
      </c>
      <c r="E33" s="51" t="n">
        <v>29.1</v>
      </c>
      <c r="F33" s="52" t="n">
        <f aca="false">Simplified_Waterfall!$G$37</f>
        <v>29.1089108910891</v>
      </c>
      <c r="G33" s="46" t="n">
        <f aca="false">IF(ISNUMBER(F33),F33-E33,"n/a")</f>
        <v>0.00891089108910848</v>
      </c>
      <c r="H33" s="47" t="n">
        <v>0.050000001</v>
      </c>
      <c r="I33" s="48" t="str">
        <f aca="false">IF(ISNUMBER(F33),IF(ABS(F33-E33)&lt;=H33,"PASS","FAIL"),"FAIL")</f>
        <v>PASS</v>
      </c>
      <c r="J33" s="48" t="str">
        <f aca="false">IF(ISNUMBER(F33),IF(ROUND(F33,1)=ROUND(E33,1),"same","differs"),"n/a")</f>
        <v>same</v>
      </c>
    </row>
    <row r="34" customFormat="false" ht="15" hidden="false" customHeight="false" outlineLevel="0" collapsed="false">
      <c r="B34" s="39" t="n">
        <v>27</v>
      </c>
      <c r="C34" s="8" t="s">
        <v>466</v>
      </c>
      <c r="D34" s="8" t="s">
        <v>490</v>
      </c>
      <c r="E34" s="12" t="n">
        <v>1</v>
      </c>
      <c r="F34" s="50" t="n">
        <f aca="false">Simplified_Waterfall!$H$33</f>
        <v>1</v>
      </c>
      <c r="G34" s="46" t="n">
        <f aca="false">IF(ISNUMBER(F34),F34-E34,"n/a")</f>
        <v>0</v>
      </c>
      <c r="H34" s="47" t="n">
        <v>0.000500001</v>
      </c>
      <c r="I34" s="48" t="str">
        <f aca="false">IF(ISNUMBER(F34),IF(ABS(F34-E34)&lt;=H34,"PASS","FAIL"),"FAIL")</f>
        <v>PASS</v>
      </c>
      <c r="J34" s="48" t="str">
        <f aca="false">IF(ISNUMBER(F34),IF(ROUND(F34,3)=ROUND(E34,3),"same","differs"),"n/a")</f>
        <v>same</v>
      </c>
    </row>
    <row r="35" customFormat="false" ht="15" hidden="false" customHeight="false" outlineLevel="0" collapsed="false">
      <c r="B35" s="39" t="n">
        <v>28</v>
      </c>
      <c r="C35" s="8" t="s">
        <v>466</v>
      </c>
      <c r="D35" s="8" t="s">
        <v>491</v>
      </c>
      <c r="E35" s="12" t="n">
        <v>0.475</v>
      </c>
      <c r="F35" s="50" t="n">
        <f aca="false">Simplified_Waterfall!$H$38</f>
        <v>0.475247524752475</v>
      </c>
      <c r="G35" s="46" t="n">
        <f aca="false">IF(ISNUMBER(F35),F35-E35,"n/a")</f>
        <v>0.000247524752475248</v>
      </c>
      <c r="H35" s="47" t="n">
        <v>0.000500001</v>
      </c>
      <c r="I35" s="48" t="str">
        <f aca="false">IF(ISNUMBER(F35),IF(ABS(F35-E35)&lt;=H35,"PASS","FAIL"),"FAIL")</f>
        <v>PASS</v>
      </c>
      <c r="J35" s="48" t="str">
        <f aca="false">IF(ISNUMBER(F35),IF(ROUND(F35,3)=ROUND(E35,3),"same","differs"),"n/a")</f>
        <v>same</v>
      </c>
    </row>
    <row r="36" customFormat="false" ht="15" hidden="false" customHeight="false" outlineLevel="0" collapsed="false">
      <c r="B36" s="39" t="n">
        <v>29</v>
      </c>
      <c r="C36" s="8" t="s">
        <v>466</v>
      </c>
      <c r="D36" s="8" t="s">
        <v>492</v>
      </c>
      <c r="E36" s="51" t="n">
        <v>190.1</v>
      </c>
      <c r="F36" s="52" t="n">
        <f aca="false">Simplified_Waterfall!$H$36</f>
        <v>190.09900990099</v>
      </c>
      <c r="G36" s="46" t="n">
        <f aca="false">IF(ISNUMBER(F36),F36-E36,"n/a")</f>
        <v>-0.000990099009896994</v>
      </c>
      <c r="H36" s="47" t="n">
        <v>0.050000001</v>
      </c>
      <c r="I36" s="48" t="str">
        <f aca="false">IF(ISNUMBER(F36),IF(ABS(F36-E36)&lt;=H36,"PASS","FAIL"),"FAIL")</f>
        <v>PASS</v>
      </c>
      <c r="J36" s="48" t="str">
        <f aca="false">IF(ISNUMBER(F36),IF(ROUND(F36,1)=ROUND(E36,1),"same","differs"),"n/a")</f>
        <v>same</v>
      </c>
    </row>
    <row r="37" customFormat="false" ht="15" hidden="false" customHeight="false" outlineLevel="0" collapsed="false">
      <c r="B37" s="39" t="n">
        <v>30</v>
      </c>
      <c r="C37" s="8" t="s">
        <v>466</v>
      </c>
      <c r="D37" s="8" t="s">
        <v>493</v>
      </c>
      <c r="E37" s="51" t="n">
        <v>49.9</v>
      </c>
      <c r="F37" s="52" t="n">
        <f aca="false">Simplified_Waterfall!$H$37</f>
        <v>49.9009900990099</v>
      </c>
      <c r="G37" s="46" t="n">
        <f aca="false">IF(ISNUMBER(F37),F37-E37,"n/a")</f>
        <v>0.0009900990099041</v>
      </c>
      <c r="H37" s="47" t="n">
        <v>0.050000001</v>
      </c>
      <c r="I37" s="48" t="str">
        <f aca="false">IF(ISNUMBER(F37),IF(ABS(F37-E37)&lt;=H37,"PASS","FAIL"),"FAIL")</f>
        <v>PASS</v>
      </c>
      <c r="J37" s="48" t="str">
        <f aca="false">IF(ISNUMBER(F37),IF(ROUND(F37,1)=ROUND(E37,1),"same","differs"),"n/a")</f>
        <v>same</v>
      </c>
    </row>
    <row r="38" customFormat="false" ht="15" hidden="false" customHeight="false" outlineLevel="0" collapsed="false">
      <c r="B38" s="39" t="n">
        <v>31</v>
      </c>
      <c r="C38" s="8" t="s">
        <v>466</v>
      </c>
      <c r="D38" s="8" t="s">
        <v>494</v>
      </c>
      <c r="E38" s="12" t="n">
        <v>1</v>
      </c>
      <c r="F38" s="50" t="n">
        <f aca="false">Simplified_Waterfall!$I$33</f>
        <v>1</v>
      </c>
      <c r="G38" s="46" t="n">
        <f aca="false">IF(ISNUMBER(F38),F38-E38,"n/a")</f>
        <v>0</v>
      </c>
      <c r="H38" s="47" t="n">
        <v>0.000500001</v>
      </c>
      <c r="I38" s="48" t="str">
        <f aca="false">IF(ISNUMBER(F38),IF(ABS(F38-E38)&lt;=H38,"PASS","FAIL"),"FAIL")</f>
        <v>PASS</v>
      </c>
      <c r="J38" s="48" t="str">
        <f aca="false">IF(ISNUMBER(F38),IF(ROUND(F38,3)=ROUND(E38,3),"same","differs"),"n/a")</f>
        <v>same</v>
      </c>
    </row>
    <row r="39" customFormat="false" ht="15" hidden="false" customHeight="false" outlineLevel="0" collapsed="false">
      <c r="B39" s="39" t="n">
        <v>32</v>
      </c>
      <c r="C39" s="8" t="s">
        <v>466</v>
      </c>
      <c r="D39" s="8" t="s">
        <v>495</v>
      </c>
      <c r="E39" s="12" t="n">
        <v>0.673</v>
      </c>
      <c r="F39" s="50" t="n">
        <f aca="false">Simplified_Waterfall!$I$38</f>
        <v>0.673267326732673</v>
      </c>
      <c r="G39" s="46" t="n">
        <f aca="false">IF(ISNUMBER(F39),F39-E39,"n/a")</f>
        <v>0.000267326732673379</v>
      </c>
      <c r="H39" s="47" t="n">
        <v>0.000500001</v>
      </c>
      <c r="I39" s="48" t="str">
        <f aca="false">IF(ISNUMBER(F39),IF(ABS(F39-E39)&lt;=H39,"PASS","FAIL"),"FAIL")</f>
        <v>PASS</v>
      </c>
      <c r="J39" s="48" t="str">
        <f aca="false">IF(ISNUMBER(F39),IF(ROUND(F39,3)=ROUND(E39,3),"same","differs"),"n/a")</f>
        <v>same</v>
      </c>
    </row>
    <row r="40" customFormat="false" ht="15" hidden="false" customHeight="false" outlineLevel="0" collapsed="false">
      <c r="B40" s="39" t="n">
        <v>33</v>
      </c>
      <c r="C40" s="8" t="s">
        <v>466</v>
      </c>
      <c r="D40" s="8" t="s">
        <v>496</v>
      </c>
      <c r="E40" s="51" t="n">
        <v>269.3</v>
      </c>
      <c r="F40" s="52" t="n">
        <f aca="false">Simplified_Waterfall!$I$36</f>
        <v>269.306930693069</v>
      </c>
      <c r="G40" s="46" t="n">
        <f aca="false">IF(ISNUMBER(F40),F40-E40,"n/a")</f>
        <v>0.00693069306930738</v>
      </c>
      <c r="H40" s="47" t="n">
        <v>0.050000001</v>
      </c>
      <c r="I40" s="48" t="str">
        <f aca="false">IF(ISNUMBER(F40),IF(ABS(F40-E40)&lt;=H40,"PASS","FAIL"),"FAIL")</f>
        <v>PASS</v>
      </c>
      <c r="J40" s="48" t="str">
        <f aca="false">IF(ISNUMBER(F40),IF(ROUND(F40,1)=ROUND(E40,1),"same","differs"),"n/a")</f>
        <v>same</v>
      </c>
    </row>
    <row r="41" customFormat="false" ht="15" hidden="false" customHeight="false" outlineLevel="0" collapsed="false">
      <c r="B41" s="39" t="n">
        <v>34</v>
      </c>
      <c r="C41" s="8" t="s">
        <v>466</v>
      </c>
      <c r="D41" s="8" t="s">
        <v>497</v>
      </c>
      <c r="E41" s="51" t="n">
        <v>70.7</v>
      </c>
      <c r="F41" s="52" t="n">
        <f aca="false">Simplified_Waterfall!$I$37</f>
        <v>70.6930693069307</v>
      </c>
      <c r="G41" s="46" t="n">
        <f aca="false">IF(ISNUMBER(F41),F41-E41,"n/a")</f>
        <v>-0.00693069306930738</v>
      </c>
      <c r="H41" s="47" t="n">
        <v>0.050000001</v>
      </c>
      <c r="I41" s="48" t="str">
        <f aca="false">IF(ISNUMBER(F41),IF(ABS(F41-E41)&lt;=H41,"PASS","FAIL"),"FAIL")</f>
        <v>PASS</v>
      </c>
      <c r="J41" s="48" t="str">
        <f aca="false">IF(ISNUMBER(F41),IF(ROUND(F41,1)=ROUND(E41,1),"same","differs"),"n/a")</f>
        <v>same</v>
      </c>
    </row>
    <row r="42" customFormat="false" ht="15" hidden="false" customHeight="false" outlineLevel="0" collapsed="false">
      <c r="B42" s="39" t="n">
        <v>35</v>
      </c>
      <c r="C42" s="8" t="s">
        <v>498</v>
      </c>
      <c r="D42" s="8" t="s">
        <v>499</v>
      </c>
      <c r="E42" s="44" t="n">
        <v>68</v>
      </c>
      <c r="F42" s="45" t="n">
        <f aca="false">Amend_Extend!$D$7</f>
        <v>68</v>
      </c>
      <c r="G42" s="46" t="n">
        <f aca="false">IF(ISNUMBER(F42),F42-E42,"n/a")</f>
        <v>0</v>
      </c>
      <c r="H42" s="47" t="n">
        <v>0.500000001</v>
      </c>
      <c r="I42" s="48" t="str">
        <f aca="false">IF(ISNUMBER(F42),IF(ABS(F42-E42)&lt;=H42,"PASS","FAIL"),"FAIL")</f>
        <v>PASS</v>
      </c>
      <c r="J42" s="48" t="str">
        <f aca="false">IF(ISNUMBER(F42),IF(ROUND(F42,0)=ROUND(E42,0),"same","differs"),"n/a")</f>
        <v>same</v>
      </c>
    </row>
    <row r="43" customFormat="false" ht="15" hidden="false" customHeight="false" outlineLevel="0" collapsed="false">
      <c r="B43" s="39" t="n">
        <v>36</v>
      </c>
      <c r="C43" s="8" t="s">
        <v>498</v>
      </c>
      <c r="D43" s="8" t="s">
        <v>500</v>
      </c>
      <c r="E43" s="9" t="n">
        <v>0.0955</v>
      </c>
      <c r="F43" s="49" t="n">
        <f aca="false">Amend_Extend!$D$8</f>
        <v>0.0955</v>
      </c>
      <c r="G43" s="46" t="n">
        <f aca="false">IF(ISNUMBER(F43),F43-E43,"n/a")</f>
        <v>0</v>
      </c>
      <c r="H43" s="47" t="n">
        <v>5.0001E-005</v>
      </c>
      <c r="I43" s="48" t="str">
        <f aca="false">IF(ISNUMBER(F43),IF(ABS(F43-E43)&lt;=H43,"PASS","FAIL"),"FAIL")</f>
        <v>PASS</v>
      </c>
      <c r="J43" s="48" t="str">
        <f aca="false">IF(ISNUMBER(F43),IF(ROUND(F43,4)=ROUND(E43,4),"same","differs"),"n/a")</f>
        <v>same</v>
      </c>
    </row>
    <row r="44" customFormat="false" ht="15" hidden="false" customHeight="false" outlineLevel="0" collapsed="false">
      <c r="B44" s="39" t="n">
        <v>37</v>
      </c>
      <c r="C44" s="8" t="s">
        <v>498</v>
      </c>
      <c r="D44" s="8" t="s">
        <v>501</v>
      </c>
      <c r="E44" s="51" t="n">
        <v>9</v>
      </c>
      <c r="F44" s="52" t="n">
        <f aca="false">Amend_Extend!$C$31</f>
        <v>9</v>
      </c>
      <c r="G44" s="46" t="n">
        <f aca="false">IF(ISNUMBER(F44),F44-E44,"n/a")</f>
        <v>0</v>
      </c>
      <c r="H44" s="47" t="n">
        <v>0.050000001</v>
      </c>
      <c r="I44" s="48" t="str">
        <f aca="false">IF(ISNUMBER(F44),IF(ABS(F44-E44)&lt;=H44,"PASS","FAIL"),"FAIL")</f>
        <v>PASS</v>
      </c>
      <c r="J44" s="48" t="str">
        <f aca="false">IF(ISNUMBER(F44),IF(ROUND(F44,1)=ROUND(E44,1),"same","differs"),"n/a")</f>
        <v>same</v>
      </c>
    </row>
    <row r="45" customFormat="false" ht="15" hidden="false" customHeight="false" outlineLevel="0" collapsed="false">
      <c r="B45" s="39" t="n">
        <v>38</v>
      </c>
      <c r="C45" s="8" t="s">
        <v>498</v>
      </c>
      <c r="D45" s="8" t="s">
        <v>502</v>
      </c>
      <c r="E45" s="44" t="n">
        <v>50</v>
      </c>
      <c r="F45" s="45" t="n">
        <f aca="false">Amend_Extend!$D$10</f>
        <v>50</v>
      </c>
      <c r="G45" s="46" t="n">
        <f aca="false">IF(ISNUMBER(F45),F45-E45,"n/a")</f>
        <v>0</v>
      </c>
      <c r="H45" s="47" t="n">
        <v>0.500000001</v>
      </c>
      <c r="I45" s="48" t="str">
        <f aca="false">IF(ISNUMBER(F45),IF(ABS(F45-E45)&lt;=H45,"PASS","FAIL"),"FAIL")</f>
        <v>PASS</v>
      </c>
      <c r="J45" s="48" t="str">
        <f aca="false">IF(ISNUMBER(F45),IF(ROUND(F45,0)=ROUND(E45,0),"same","differs"),"n/a")</f>
        <v>same</v>
      </c>
    </row>
    <row r="46" customFormat="false" ht="15" hidden="false" customHeight="false" outlineLevel="0" collapsed="false">
      <c r="B46" s="39" t="n">
        <v>39</v>
      </c>
      <c r="C46" s="8" t="s">
        <v>498</v>
      </c>
      <c r="D46" s="8" t="s">
        <v>503</v>
      </c>
      <c r="E46" s="44" t="n">
        <v>125</v>
      </c>
      <c r="F46" s="45" t="n">
        <f aca="false">Amend_Extend!$D$9</f>
        <v>125</v>
      </c>
      <c r="G46" s="46" t="n">
        <f aca="false">IF(ISNUMBER(F46),F46-E46,"n/a")</f>
        <v>0</v>
      </c>
      <c r="H46" s="47" t="n">
        <v>0.500000001</v>
      </c>
      <c r="I46" s="48" t="str">
        <f aca="false">IF(ISNUMBER(F46),IF(ABS(F46-E46)&lt;=H46,"PASS","FAIL"),"FAIL")</f>
        <v>PASS</v>
      </c>
      <c r="J46" s="48" t="str">
        <f aca="false">IF(ISNUMBER(F46),IF(ROUND(F46,0)=ROUND(E46,0),"same","differs"),"n/a")</f>
        <v>same</v>
      </c>
    </row>
    <row r="47" customFormat="false" ht="15" hidden="false" customHeight="false" outlineLevel="0" collapsed="false">
      <c r="B47" s="39" t="n">
        <v>40</v>
      </c>
      <c r="C47" s="8" t="s">
        <v>498</v>
      </c>
      <c r="D47" s="8" t="s">
        <v>504</v>
      </c>
      <c r="E47" s="53" t="n">
        <v>43.75</v>
      </c>
      <c r="F47" s="54" t="n">
        <f aca="false">Amend_Extend!$D$13</f>
        <v>43.75</v>
      </c>
      <c r="G47" s="46" t="n">
        <f aca="false">IF(ISNUMBER(F47),F47-E47,"n/a")</f>
        <v>0</v>
      </c>
      <c r="H47" s="47" t="n">
        <v>0.005000001</v>
      </c>
      <c r="I47" s="48" t="str">
        <f aca="false">IF(ISNUMBER(F47),IF(ABS(F47-E47)&lt;=H47,"PASS","FAIL"),"FAIL")</f>
        <v>PASS</v>
      </c>
      <c r="J47" s="48" t="str">
        <f aca="false">IF(ISNUMBER(F47),IF(ROUND(F47,2)=ROUND(E47,2),"same","differs"),"n/a")</f>
        <v>same</v>
      </c>
    </row>
    <row r="48" customFormat="false" ht="15" hidden="false" customHeight="false" outlineLevel="0" collapsed="false">
      <c r="B48" s="39" t="n">
        <v>41</v>
      </c>
      <c r="C48" s="8" t="s">
        <v>498</v>
      </c>
      <c r="D48" s="8" t="s">
        <v>70</v>
      </c>
      <c r="E48" s="53" t="n">
        <v>7.5</v>
      </c>
      <c r="F48" s="54" t="n">
        <f aca="false">Amend_Extend!$D$15</f>
        <v>7.5</v>
      </c>
      <c r="G48" s="46" t="n">
        <f aca="false">IF(ISNUMBER(F48),F48-E48,"n/a")</f>
        <v>0</v>
      </c>
      <c r="H48" s="47" t="n">
        <v>0.005000001</v>
      </c>
      <c r="I48" s="48" t="str">
        <f aca="false">IF(ISNUMBER(F48),IF(ABS(F48-E48)&lt;=H48,"PASS","FAIL"),"FAIL")</f>
        <v>PASS</v>
      </c>
      <c r="J48" s="48" t="str">
        <f aca="false">IF(ISNUMBER(F48),IF(ROUND(F48,2)=ROUND(E48,2),"same","differs"),"n/a")</f>
        <v>same</v>
      </c>
    </row>
    <row r="49" customFormat="false" ht="15" hidden="false" customHeight="false" outlineLevel="0" collapsed="false">
      <c r="B49" s="39" t="n">
        <v>42</v>
      </c>
      <c r="C49" s="8" t="s">
        <v>498</v>
      </c>
      <c r="D49" s="8" t="s">
        <v>505</v>
      </c>
      <c r="E49" s="44" t="n">
        <v>36</v>
      </c>
      <c r="F49" s="45" t="n">
        <f aca="false">Amend_Extend!$D$16</f>
        <v>36</v>
      </c>
      <c r="G49" s="46" t="n">
        <f aca="false">IF(ISNUMBER(F49),F49-E49,"n/a")</f>
        <v>0</v>
      </c>
      <c r="H49" s="47" t="n">
        <v>0.500000001</v>
      </c>
      <c r="I49" s="48" t="str">
        <f aca="false">IF(ISNUMBER(F49),IF(ABS(F49-E49)&lt;=H49,"PASS","FAIL"),"FAIL")</f>
        <v>PASS</v>
      </c>
      <c r="J49" s="48" t="str">
        <f aca="false">IF(ISNUMBER(F49),IF(ROUND(F49,0)=ROUND(E49,0),"same","differs"),"n/a")</f>
        <v>same</v>
      </c>
    </row>
    <row r="50" customFormat="false" ht="15" hidden="false" customHeight="false" outlineLevel="0" collapsed="false">
      <c r="B50" s="39" t="n">
        <v>43</v>
      </c>
      <c r="C50" s="8" t="s">
        <v>498</v>
      </c>
      <c r="D50" s="8" t="s">
        <v>506</v>
      </c>
      <c r="E50" s="51" t="n">
        <v>121.9</v>
      </c>
      <c r="F50" s="52" t="n">
        <f aca="false">Amend_Extend!$D$18</f>
        <v>121.866666666667</v>
      </c>
      <c r="G50" s="46" t="n">
        <f aca="false">IF(ISNUMBER(F50),F50-E50,"n/a")</f>
        <v>-0.0333333333333457</v>
      </c>
      <c r="H50" s="47" t="n">
        <v>0.050000001</v>
      </c>
      <c r="I50" s="48" t="str">
        <f aca="false">IF(ISNUMBER(F50),IF(ABS(F50-E50)&lt;=H50,"PASS","FAIL"),"FAIL")</f>
        <v>PASS</v>
      </c>
      <c r="J50" s="48" t="str">
        <f aca="false">IF(ISNUMBER(F50),IF(ROUND(F50,1)=ROUND(E50,1),"same","differs"),"n/a")</f>
        <v>same</v>
      </c>
    </row>
    <row r="51" customFormat="false" ht="15" hidden="false" customHeight="false" outlineLevel="0" collapsed="false">
      <c r="B51" s="39" t="n">
        <v>44</v>
      </c>
      <c r="C51" s="8" t="s">
        <v>498</v>
      </c>
      <c r="D51" s="8" t="s">
        <v>507</v>
      </c>
      <c r="E51" s="12" t="n">
        <v>0.077</v>
      </c>
      <c r="F51" s="50" t="n">
        <f aca="false">Amend_Extend!$D$19</f>
        <v>0.0767676767676768</v>
      </c>
      <c r="G51" s="46" t="n">
        <f aca="false">IF(ISNUMBER(F51),F51-E51,"n/a")</f>
        <v>-0.000232323232323181</v>
      </c>
      <c r="H51" s="47" t="n">
        <v>0.000500001</v>
      </c>
      <c r="I51" s="48" t="str">
        <f aca="false">IF(ISNUMBER(F51),IF(ABS(F51-E51)&lt;=H51,"PASS","FAIL"),"FAIL")</f>
        <v>PASS</v>
      </c>
      <c r="J51" s="48" t="str">
        <f aca="false">IF(ISNUMBER(F51),IF(ROUND(F51,3)=ROUND(E51,3),"same","differs"),"n/a")</f>
        <v>same</v>
      </c>
    </row>
    <row r="52" customFormat="false" ht="15" hidden="false" customHeight="false" outlineLevel="0" collapsed="false">
      <c r="B52" s="39" t="n">
        <v>45</v>
      </c>
      <c r="C52" s="8" t="s">
        <v>498</v>
      </c>
      <c r="D52" s="8" t="s">
        <v>508</v>
      </c>
      <c r="E52" s="44" t="n">
        <v>75</v>
      </c>
      <c r="F52" s="45" t="n">
        <f aca="false">Amend_Extend!$D$12</f>
        <v>75</v>
      </c>
      <c r="G52" s="46" t="n">
        <f aca="false">IF(ISNUMBER(F52),F52-E52,"n/a")</f>
        <v>0</v>
      </c>
      <c r="H52" s="47" t="n">
        <v>0.500000001</v>
      </c>
      <c r="I52" s="48" t="str">
        <f aca="false">IF(ISNUMBER(F52),IF(ABS(F52-E52)&lt;=H52,"PASS","FAIL"),"FAIL")</f>
        <v>PASS</v>
      </c>
      <c r="J52" s="48" t="str">
        <f aca="false">IF(ISNUMBER(F52),IF(ROUND(F52,0)=ROUND(E52,0),"same","differs"),"n/a")</f>
        <v>same</v>
      </c>
    </row>
    <row r="53" customFormat="false" ht="15" hidden="false" customHeight="false" outlineLevel="0" collapsed="false">
      <c r="B53" s="39" t="n">
        <v>46</v>
      </c>
      <c r="C53" s="8" t="s">
        <v>498</v>
      </c>
      <c r="D53" s="8" t="s">
        <v>250</v>
      </c>
      <c r="E53" s="44" t="n">
        <v>11</v>
      </c>
      <c r="F53" s="45" t="n">
        <f aca="false">Amend_Extend!$D$23</f>
        <v>11</v>
      </c>
      <c r="G53" s="46" t="n">
        <f aca="false">IF(ISNUMBER(F53),F53-E53,"n/a")</f>
        <v>0</v>
      </c>
      <c r="H53" s="47" t="n">
        <v>0.500000001</v>
      </c>
      <c r="I53" s="48" t="str">
        <f aca="false">IF(ISNUMBER(F53),IF(ABS(F53-E53)&lt;=H53,"PASS","FAIL"),"FAIL")</f>
        <v>PASS</v>
      </c>
      <c r="J53" s="48" t="str">
        <f aca="false">IF(ISNUMBER(F53),IF(ROUND(F53,0)=ROUND(E53,0),"same","differs"),"n/a")</f>
        <v>same</v>
      </c>
    </row>
    <row r="54" customFormat="false" ht="15" hidden="false" customHeight="false" outlineLevel="0" collapsed="false">
      <c r="B54" s="39" t="n">
        <v>47</v>
      </c>
      <c r="C54" s="8" t="s">
        <v>498</v>
      </c>
      <c r="D54" s="8" t="s">
        <v>509</v>
      </c>
      <c r="E54" s="44" t="n">
        <v>86</v>
      </c>
      <c r="F54" s="45" t="n">
        <f aca="false">Amend_Extend!$D$24</f>
        <v>86</v>
      </c>
      <c r="G54" s="46" t="n">
        <f aca="false">IF(ISNUMBER(F54),F54-E54,"n/a")</f>
        <v>0</v>
      </c>
      <c r="H54" s="47" t="n">
        <v>0.500000001</v>
      </c>
      <c r="I54" s="48" t="str">
        <f aca="false">IF(ISNUMBER(F54),IF(ABS(F54-E54)&lt;=H54,"PASS","FAIL"),"FAIL")</f>
        <v>PASS</v>
      </c>
      <c r="J54" s="48" t="str">
        <f aca="false">IF(ISNUMBER(F54),IF(ROUND(F54,0)=ROUND(E54,0),"same","differs"),"n/a")</f>
        <v>same</v>
      </c>
    </row>
    <row r="55" customFormat="false" ht="15" hidden="false" customHeight="false" outlineLevel="0" collapsed="false">
      <c r="B55" s="39" t="n">
        <v>48</v>
      </c>
      <c r="C55" s="8" t="s">
        <v>498</v>
      </c>
      <c r="D55" s="8" t="s">
        <v>510</v>
      </c>
      <c r="E55" s="44" t="n">
        <v>990</v>
      </c>
      <c r="F55" s="45" t="n">
        <f aca="false">Amend_Extend!$D$21</f>
        <v>990</v>
      </c>
      <c r="G55" s="46" t="n">
        <f aca="false">IF(ISNUMBER(F55),F55-E55,"n/a")</f>
        <v>0</v>
      </c>
      <c r="H55" s="47" t="n">
        <v>0.500000001</v>
      </c>
      <c r="I55" s="48" t="str">
        <f aca="false">IF(ISNUMBER(F55),IF(ABS(F55-E55)&lt;=H55,"PASS","FAIL"),"FAIL")</f>
        <v>PASS</v>
      </c>
      <c r="J55" s="48" t="str">
        <f aca="false">IF(ISNUMBER(F55),IF(ROUND(F55,0)=ROUND(E55,0),"same","differs"),"n/a")</f>
        <v>same</v>
      </c>
    </row>
    <row r="56" customFormat="false" ht="15" hidden="false" customHeight="false" outlineLevel="0" collapsed="false">
      <c r="B56" s="39" t="n">
        <v>49</v>
      </c>
      <c r="C56" s="8" t="s">
        <v>498</v>
      </c>
      <c r="D56" s="8" t="s">
        <v>511</v>
      </c>
      <c r="E56" s="44" t="n">
        <v>914</v>
      </c>
      <c r="F56" s="45" t="n">
        <f aca="false">Amend_Extend!$D$17</f>
        <v>914</v>
      </c>
      <c r="G56" s="46" t="n">
        <f aca="false">IF(ISNUMBER(F56),F56-E56,"n/a")</f>
        <v>0</v>
      </c>
      <c r="H56" s="47" t="n">
        <v>0.500000001</v>
      </c>
      <c r="I56" s="48" t="str">
        <f aca="false">IF(ISNUMBER(F56),IF(ABS(F56-E56)&lt;=H56,"PASS","FAIL"),"FAIL")</f>
        <v>PASS</v>
      </c>
      <c r="J56" s="48" t="str">
        <f aca="false">IF(ISNUMBER(F56),IF(ROUND(F56,0)=ROUND(E56,0),"same","differs"),"n/a")</f>
        <v>same</v>
      </c>
    </row>
    <row r="57" customFormat="false" ht="15" hidden="false" customHeight="false" outlineLevel="0" collapsed="false">
      <c r="B57" s="39" t="n">
        <v>50</v>
      </c>
      <c r="C57" s="8" t="s">
        <v>498</v>
      </c>
      <c r="D57" s="8" t="s">
        <v>512</v>
      </c>
      <c r="E57" s="51" t="n">
        <v>76</v>
      </c>
      <c r="F57" s="52" t="n">
        <f aca="false">Amend_Extend!$D$22</f>
        <v>76</v>
      </c>
      <c r="G57" s="46" t="n">
        <f aca="false">IF(ISNUMBER(F57),F57-E57,"n/a")</f>
        <v>0</v>
      </c>
      <c r="H57" s="47" t="n">
        <v>0.050000001</v>
      </c>
      <c r="I57" s="48" t="str">
        <f aca="false">IF(ISNUMBER(F57),IF(ABS(F57-E57)&lt;=H57,"PASS","FAIL"),"FAIL")</f>
        <v>PASS</v>
      </c>
      <c r="J57" s="48" t="str">
        <f aca="false">IF(ISNUMBER(F57),IF(ROUND(F57,1)=ROUND(E57,1),"same","differs"),"n/a")</f>
        <v>same</v>
      </c>
    </row>
    <row r="58" customFormat="false" ht="15" hidden="false" customHeight="false" outlineLevel="0" collapsed="false">
      <c r="B58" s="39" t="n">
        <v>51</v>
      </c>
      <c r="C58" s="8" t="s">
        <v>498</v>
      </c>
      <c r="D58" s="8" t="s">
        <v>513</v>
      </c>
      <c r="E58" s="51" t="n">
        <v>76</v>
      </c>
      <c r="F58" s="52" t="n">
        <f aca="false">Amend_Extend!$D$25</f>
        <v>76</v>
      </c>
      <c r="G58" s="46" t="n">
        <f aca="false">IF(ISNUMBER(F58),F58-E58,"n/a")</f>
        <v>0</v>
      </c>
      <c r="H58" s="47" t="n">
        <v>0.050000001</v>
      </c>
      <c r="I58" s="48" t="str">
        <f aca="false">IF(ISNUMBER(F58),IF(ABS(F58-E58)&lt;=H58,"PASS","FAIL"),"FAIL")</f>
        <v>PASS</v>
      </c>
      <c r="J58" s="48" t="str">
        <f aca="false">IF(ISNUMBER(F58),IF(ROUND(F58,1)=ROUND(E58,1),"same","differs"),"n/a")</f>
        <v>same</v>
      </c>
    </row>
    <row r="59" customFormat="false" ht="15" hidden="false" customHeight="false" outlineLevel="0" collapsed="false">
      <c r="B59" s="39" t="n">
        <v>52</v>
      </c>
      <c r="C59" s="8" t="s">
        <v>498</v>
      </c>
      <c r="D59" s="8" t="s">
        <v>514</v>
      </c>
      <c r="E59" s="51" t="n">
        <v>22.5</v>
      </c>
      <c r="F59" s="52" t="n">
        <f aca="false">Amend_Extend!$C$25</f>
        <v>22.5</v>
      </c>
      <c r="G59" s="46" t="n">
        <f aca="false">IF(ISNUMBER(F59),F59-E59,"n/a")</f>
        <v>0</v>
      </c>
      <c r="H59" s="47" t="n">
        <v>0.050000001</v>
      </c>
      <c r="I59" s="48" t="str">
        <f aca="false">IF(ISNUMBER(F59),IF(ABS(F59-E59)&lt;=H59,"PASS","FAIL"),"FAIL")</f>
        <v>PASS</v>
      </c>
      <c r="J59" s="48" t="str">
        <f aca="false">IF(ISNUMBER(F59),IF(ROUND(F59,1)=ROUND(E59,1),"same","differs"),"n/a")</f>
        <v>same</v>
      </c>
    </row>
    <row r="60" customFormat="false" ht="15" hidden="false" customHeight="false" outlineLevel="0" collapsed="false">
      <c r="B60" s="39" t="n">
        <v>53</v>
      </c>
      <c r="C60" s="8" t="s">
        <v>498</v>
      </c>
      <c r="D60" s="8" t="s">
        <v>515</v>
      </c>
      <c r="E60" s="51" t="n">
        <v>1.8</v>
      </c>
      <c r="F60" s="52" t="n">
        <f aca="false">Amend_Extend!$C$37</f>
        <v>1.79855051027954</v>
      </c>
      <c r="G60" s="46" t="n">
        <f aca="false">IF(ISNUMBER(F60),F60-E60,"n/a")</f>
        <v>-0.00144948972045533</v>
      </c>
      <c r="H60" s="47" t="n">
        <v>0.050000001</v>
      </c>
      <c r="I60" s="48" t="str">
        <f aca="false">IF(ISNUMBER(F60),IF(ABS(F60-E60)&lt;=H60,"PASS","FAIL"),"FAIL")</f>
        <v>PASS</v>
      </c>
      <c r="J60" s="48" t="str">
        <f aca="false">IF(ISNUMBER(F60),IF(ROUND(F60,1)=ROUND(E60,1),"same","differs"),"n/a")</f>
        <v>same</v>
      </c>
    </row>
    <row r="61" customFormat="false" ht="15" hidden="false" customHeight="false" outlineLevel="0" collapsed="false">
      <c r="B61" s="39" t="n">
        <v>54</v>
      </c>
      <c r="C61" s="8" t="s">
        <v>498</v>
      </c>
      <c r="D61" s="8" t="s">
        <v>516</v>
      </c>
      <c r="E61" s="53" t="n">
        <v>11.25</v>
      </c>
      <c r="F61" s="54" t="n">
        <f aca="false">Amend_Extend!$C$32</f>
        <v>11.25</v>
      </c>
      <c r="G61" s="46" t="n">
        <f aca="false">IF(ISNUMBER(F61),F61-E61,"n/a")</f>
        <v>0</v>
      </c>
      <c r="H61" s="47" t="n">
        <v>0.005000001</v>
      </c>
      <c r="I61" s="48" t="str">
        <f aca="false">IF(ISNUMBER(F61),IF(ABS(F61-E61)&lt;=H61,"PASS","FAIL"),"FAIL")</f>
        <v>PASS</v>
      </c>
      <c r="J61" s="48" t="str">
        <f aca="false">IF(ISNUMBER(F61),IF(ROUND(F61,2)=ROUND(E61,2),"same","differs"),"n/a")</f>
        <v>same</v>
      </c>
    </row>
    <row r="62" customFormat="false" ht="15" hidden="false" customHeight="false" outlineLevel="0" collapsed="false">
      <c r="B62" s="39" t="n">
        <v>55</v>
      </c>
      <c r="C62" s="8" t="s">
        <v>498</v>
      </c>
      <c r="D62" s="8" t="s">
        <v>517</v>
      </c>
      <c r="E62" s="55" t="n">
        <v>0.0938</v>
      </c>
      <c r="F62" s="56" t="n">
        <f aca="false">Amend_Extend!$C$33</f>
        <v>0.09375</v>
      </c>
      <c r="G62" s="46" t="n">
        <f aca="false">IF(ISNUMBER(F62),F62-E62,"n/a")</f>
        <v>-4.99999999999945E-005</v>
      </c>
      <c r="H62" s="47" t="n">
        <v>5.0001E-005</v>
      </c>
      <c r="I62" s="48" t="str">
        <f aca="false">IF(ISNUMBER(F62),IF(ABS(F62-E62)&lt;=H62,"PASS","FAIL"),"FAIL")</f>
        <v>PASS</v>
      </c>
      <c r="J62" s="48" t="str">
        <f aca="false">IF(ISNUMBER(F62),IF(ROUND(F62,4)=ROUND(E62,4),"same","differs"),"n/a")</f>
        <v>same</v>
      </c>
    </row>
    <row r="63" customFormat="false" ht="15" hidden="false" customHeight="false" outlineLevel="0" collapsed="false">
      <c r="B63" s="39" t="n">
        <v>56</v>
      </c>
      <c r="C63" s="8" t="s">
        <v>498</v>
      </c>
      <c r="D63" s="8" t="s">
        <v>518</v>
      </c>
      <c r="E63" s="53" t="n">
        <v>-31.1</v>
      </c>
      <c r="F63" s="54" t="n">
        <f aca="false">Amend_Extend!$C$27</f>
        <v>-31.1</v>
      </c>
      <c r="G63" s="46" t="n">
        <f aca="false">IF(ISNUMBER(F63),F63-E63,"n/a")</f>
        <v>0</v>
      </c>
      <c r="H63" s="47" t="n">
        <v>0.005000001</v>
      </c>
      <c r="I63" s="48" t="str">
        <f aca="false">IF(ISNUMBER(F63),IF(ABS(F63-E63)&lt;=H63,"PASS","FAIL"),"FAIL")</f>
        <v>PASS</v>
      </c>
      <c r="J63" s="48" t="str">
        <f aca="false">IF(ISNUMBER(F63),IF(ROUND(F63,2)=ROUND(E63,2),"same","differs"),"n/a")</f>
        <v>same</v>
      </c>
    </row>
    <row r="64" customFormat="false" ht="15" hidden="false" customHeight="false" outlineLevel="0" collapsed="false">
      <c r="B64" s="39" t="n">
        <v>57</v>
      </c>
      <c r="C64" s="8" t="s">
        <v>498</v>
      </c>
      <c r="D64" s="8" t="s">
        <v>519</v>
      </c>
      <c r="E64" s="53" t="n">
        <v>-42.26</v>
      </c>
      <c r="F64" s="54" t="n">
        <f aca="false">Amend_Extend!$D$27</f>
        <v>-42.25625</v>
      </c>
      <c r="G64" s="46" t="n">
        <f aca="false">IF(ISNUMBER(F64),F64-E64,"n/a")</f>
        <v>0.0037500000000037</v>
      </c>
      <c r="H64" s="47" t="n">
        <v>0.005000001</v>
      </c>
      <c r="I64" s="48" t="str">
        <f aca="false">IF(ISNUMBER(F64),IF(ABS(F64-E64)&lt;=H64,"PASS","FAIL"),"FAIL")</f>
        <v>PASS</v>
      </c>
      <c r="J64" s="48" t="str">
        <f aca="false">IF(ISNUMBER(F64),IF(ROUND(F64,2)=ROUND(E64,2),"same","differs"),"n/a")</f>
        <v>same</v>
      </c>
    </row>
    <row r="65" customFormat="false" ht="15" hidden="false" customHeight="false" outlineLevel="0" collapsed="false">
      <c r="B65" s="39" t="n">
        <v>58</v>
      </c>
      <c r="C65" s="8" t="s">
        <v>498</v>
      </c>
      <c r="D65" s="8" t="s">
        <v>185</v>
      </c>
      <c r="E65" s="44" t="n">
        <v>68</v>
      </c>
      <c r="F65" s="45" t="n">
        <f aca="false">Amend_Extend!$C$34</f>
        <v>68</v>
      </c>
      <c r="G65" s="46" t="n">
        <f aca="false">IF(ISNUMBER(F65),F65-E65,"n/a")</f>
        <v>0</v>
      </c>
      <c r="H65" s="47" t="n">
        <v>0.500000001</v>
      </c>
      <c r="I65" s="48" t="str">
        <f aca="false">IF(ISNUMBER(F65),IF(ABS(F65-E65)&lt;=H65,"PASS","FAIL"),"FAIL")</f>
        <v>PASS</v>
      </c>
      <c r="J65" s="48" t="str">
        <f aca="false">IF(ISNUMBER(F65),IF(ROUND(F65,0)=ROUND(E65,0),"same","differs"),"n/a")</f>
        <v>same</v>
      </c>
    </row>
    <row r="66" customFormat="false" ht="15" hidden="false" customHeight="false" outlineLevel="0" collapsed="false">
      <c r="B66" s="39" t="n">
        <v>59</v>
      </c>
      <c r="C66" s="8" t="s">
        <v>498</v>
      </c>
      <c r="D66" s="8" t="s">
        <v>520</v>
      </c>
      <c r="E66" s="53" t="n">
        <v>72.75</v>
      </c>
      <c r="F66" s="54" t="n">
        <f aca="false">Amend_Extend!$C$35</f>
        <v>72.75</v>
      </c>
      <c r="G66" s="46" t="n">
        <f aca="false">IF(ISNUMBER(F66),F66-E66,"n/a")</f>
        <v>0</v>
      </c>
      <c r="H66" s="47" t="n">
        <v>0.005000001</v>
      </c>
      <c r="I66" s="48" t="str">
        <f aca="false">IF(ISNUMBER(F66),IF(ABS(F66-E66)&lt;=H66,"PASS","FAIL"),"FAIL")</f>
        <v>PASS</v>
      </c>
      <c r="J66" s="48" t="str">
        <f aca="false">IF(ISNUMBER(F66),IF(ROUND(F66,2)=ROUND(E66,2),"same","differs"),"n/a")</f>
        <v>same</v>
      </c>
    </row>
    <row r="67" customFormat="false" ht="15" hidden="false" customHeight="false" outlineLevel="0" collapsed="false">
      <c r="B67" s="39" t="n">
        <v>60</v>
      </c>
      <c r="C67" s="8" t="s">
        <v>498</v>
      </c>
      <c r="D67" s="8" t="s">
        <v>521</v>
      </c>
      <c r="E67" s="9" t="n">
        <v>0.0143</v>
      </c>
      <c r="F67" s="49" t="n">
        <f aca="false">Amend_Extend!$C$36</f>
        <v>0.0142647058823529</v>
      </c>
      <c r="G67" s="46" t="n">
        <f aca="false">IF(ISNUMBER(F67),F67-E67,"n/a")</f>
        <v>-3.52941176470587E-005</v>
      </c>
      <c r="H67" s="47" t="n">
        <v>5.0001E-005</v>
      </c>
      <c r="I67" s="48" t="str">
        <f aca="false">IF(ISNUMBER(F67),IF(ABS(F67-E67)&lt;=H67,"PASS","FAIL"),"FAIL")</f>
        <v>PASS</v>
      </c>
      <c r="J67" s="48" t="str">
        <f aca="false">IF(ISNUMBER(F67),IF(ROUND(F67,4)=ROUND(E67,4),"same","differs"),"n/a")</f>
        <v>same</v>
      </c>
    </row>
    <row r="68" customFormat="false" ht="15" hidden="false" customHeight="false" outlineLevel="0" collapsed="false">
      <c r="B68" s="39" t="n">
        <v>61</v>
      </c>
      <c r="C68" s="8" t="s">
        <v>522</v>
      </c>
      <c r="D68" s="8" t="s">
        <v>523</v>
      </c>
      <c r="E68" s="44" t="n">
        <v>340</v>
      </c>
      <c r="F68" s="45" t="n">
        <f aca="false">Exchange!$C$10</f>
        <v>340</v>
      </c>
      <c r="G68" s="46" t="n">
        <f aca="false">IF(ISNUMBER(F68),F68-E68,"n/a")</f>
        <v>0</v>
      </c>
      <c r="H68" s="47" t="n">
        <v>0.500000001</v>
      </c>
      <c r="I68" s="48" t="str">
        <f aca="false">IF(ISNUMBER(F68),IF(ABS(F68-E68)&lt;=H68,"PASS","FAIL"),"FAIL")</f>
        <v>PASS</v>
      </c>
      <c r="J68" s="48" t="str">
        <f aca="false">IF(ISNUMBER(F68),IF(ROUND(F68,0)=ROUND(E68,0),"same","differs"),"n/a")</f>
        <v>same</v>
      </c>
    </row>
    <row r="69" customFormat="false" ht="15" hidden="false" customHeight="false" outlineLevel="0" collapsed="false">
      <c r="B69" s="39" t="n">
        <v>62</v>
      </c>
      <c r="C69" s="8" t="s">
        <v>522</v>
      </c>
      <c r="D69" s="8" t="s">
        <v>524</v>
      </c>
      <c r="E69" s="44" t="n">
        <v>238</v>
      </c>
      <c r="F69" s="45" t="n">
        <f aca="false">Exchange!$C$11</f>
        <v>238</v>
      </c>
      <c r="G69" s="46" t="n">
        <f aca="false">IF(ISNUMBER(F69),F69-E69,"n/a")</f>
        <v>0</v>
      </c>
      <c r="H69" s="47" t="n">
        <v>0.500000001</v>
      </c>
      <c r="I69" s="48" t="str">
        <f aca="false">IF(ISNUMBER(F69),IF(ABS(F69-E69)&lt;=H69,"PASS","FAIL"),"FAIL")</f>
        <v>PASS</v>
      </c>
      <c r="J69" s="48" t="str">
        <f aca="false">IF(ISNUMBER(F69),IF(ROUND(F69,0)=ROUND(E69,0),"same","differs"),"n/a")</f>
        <v>same</v>
      </c>
    </row>
    <row r="70" customFormat="false" ht="15" hidden="false" customHeight="false" outlineLevel="0" collapsed="false">
      <c r="B70" s="39" t="n">
        <v>63</v>
      </c>
      <c r="C70" s="8" t="s">
        <v>522</v>
      </c>
      <c r="D70" s="8" t="s">
        <v>525</v>
      </c>
      <c r="E70" s="44" t="n">
        <v>60</v>
      </c>
      <c r="F70" s="45" t="n">
        <f aca="false">Exchange!$C$12</f>
        <v>60</v>
      </c>
      <c r="G70" s="46" t="n">
        <f aca="false">IF(ISNUMBER(F70),F70-E70,"n/a")</f>
        <v>0</v>
      </c>
      <c r="H70" s="47" t="n">
        <v>0.500000001</v>
      </c>
      <c r="I70" s="48" t="str">
        <f aca="false">IF(ISNUMBER(F70),IF(ABS(F70-E70)&lt;=H70,"PASS","FAIL"),"FAIL")</f>
        <v>PASS</v>
      </c>
      <c r="J70" s="48" t="str">
        <f aca="false">IF(ISNUMBER(F70),IF(ROUND(F70,0)=ROUND(E70,0),"same","differs"),"n/a")</f>
        <v>same</v>
      </c>
    </row>
    <row r="71" customFormat="false" ht="15" hidden="false" customHeight="false" outlineLevel="0" collapsed="false">
      <c r="B71" s="39" t="n">
        <v>64</v>
      </c>
      <c r="C71" s="8" t="s">
        <v>522</v>
      </c>
      <c r="D71" s="8" t="s">
        <v>200</v>
      </c>
      <c r="E71" s="44" t="n">
        <v>102</v>
      </c>
      <c r="F71" s="45" t="n">
        <f aca="false">Exchange!$C$13</f>
        <v>102</v>
      </c>
      <c r="G71" s="46" t="n">
        <f aca="false">IF(ISNUMBER(F71),F71-E71,"n/a")</f>
        <v>0</v>
      </c>
      <c r="H71" s="47" t="n">
        <v>0.500000001</v>
      </c>
      <c r="I71" s="48" t="str">
        <f aca="false">IF(ISNUMBER(F71),IF(ABS(F71-E71)&lt;=H71,"PASS","FAIL"),"FAIL")</f>
        <v>PASS</v>
      </c>
      <c r="J71" s="48" t="str">
        <f aca="false">IF(ISNUMBER(F71),IF(ROUND(F71,0)=ROUND(E71,0),"same","differs"),"n/a")</f>
        <v>same</v>
      </c>
    </row>
    <row r="72" customFormat="false" ht="15" hidden="false" customHeight="false" outlineLevel="0" collapsed="false">
      <c r="B72" s="39" t="n">
        <v>65</v>
      </c>
      <c r="C72" s="8" t="s">
        <v>522</v>
      </c>
      <c r="D72" s="8" t="s">
        <v>201</v>
      </c>
      <c r="E72" s="44" t="n">
        <v>1248</v>
      </c>
      <c r="F72" s="45" t="n">
        <f aca="false">Exchange!$C$14</f>
        <v>1248</v>
      </c>
      <c r="G72" s="46" t="n">
        <f aca="false">IF(ISNUMBER(F72),F72-E72,"n/a")</f>
        <v>0</v>
      </c>
      <c r="H72" s="47" t="n">
        <v>0.500000001</v>
      </c>
      <c r="I72" s="48" t="str">
        <f aca="false">IF(ISNUMBER(F72),IF(ABS(F72-E72)&lt;=H72,"PASS","FAIL"),"FAIL")</f>
        <v>PASS</v>
      </c>
      <c r="J72" s="48" t="str">
        <f aca="false">IF(ISNUMBER(F72),IF(ROUND(F72,0)=ROUND(E72,0),"same","differs"),"n/a")</f>
        <v>same</v>
      </c>
    </row>
    <row r="73" customFormat="false" ht="15" hidden="false" customHeight="false" outlineLevel="0" collapsed="false">
      <c r="B73" s="39" t="n">
        <v>66</v>
      </c>
      <c r="C73" s="8" t="s">
        <v>522</v>
      </c>
      <c r="D73" s="8" t="s">
        <v>202</v>
      </c>
      <c r="E73" s="53" t="n">
        <v>10.23</v>
      </c>
      <c r="F73" s="54" t="n">
        <f aca="false">Exchange!$C$15</f>
        <v>10.2272727272727</v>
      </c>
      <c r="G73" s="46" t="n">
        <f aca="false">IF(ISNUMBER(F73),F73-E73,"n/a")</f>
        <v>-0.0027272727272738</v>
      </c>
      <c r="H73" s="47" t="n">
        <v>0.005000001</v>
      </c>
      <c r="I73" s="48" t="str">
        <f aca="false">IF(ISNUMBER(F73),IF(ABS(F73-E73)&lt;=H73,"PASS","FAIL"),"FAIL")</f>
        <v>PASS</v>
      </c>
      <c r="J73" s="48" t="str">
        <f aca="false">IF(ISNUMBER(F73),IF(ROUND(F73,2)=ROUND(E73,2),"same","differs"),"n/a")</f>
        <v>same</v>
      </c>
    </row>
    <row r="74" customFormat="false" ht="15" hidden="false" customHeight="false" outlineLevel="0" collapsed="false">
      <c r="B74" s="39" t="n">
        <v>67</v>
      </c>
      <c r="C74" s="8" t="s">
        <v>522</v>
      </c>
      <c r="D74" s="8" t="s">
        <v>203</v>
      </c>
      <c r="E74" s="53" t="n">
        <v>9.45</v>
      </c>
      <c r="F74" s="54" t="n">
        <f aca="false">Exchange!$C$16</f>
        <v>9.45454545454546</v>
      </c>
      <c r="G74" s="46" t="n">
        <f aca="false">IF(ISNUMBER(F74),F74-E74,"n/a")</f>
        <v>0.00454545454545574</v>
      </c>
      <c r="H74" s="47" t="n">
        <v>0.005000001</v>
      </c>
      <c r="I74" s="48" t="str">
        <f aca="false">IF(ISNUMBER(F74),IF(ABS(F74-E74)&lt;=H74,"PASS","FAIL"),"FAIL")</f>
        <v>PASS</v>
      </c>
      <c r="J74" s="48" t="str">
        <f aca="false">IF(ISNUMBER(F74),IF(ROUND(F74,2)=ROUND(E74,2),"same","differs"),"n/a")</f>
        <v>same</v>
      </c>
    </row>
    <row r="75" customFormat="false" ht="15" hidden="false" customHeight="false" outlineLevel="0" collapsed="false">
      <c r="B75" s="39" t="n">
        <v>68</v>
      </c>
      <c r="C75" s="8" t="s">
        <v>522</v>
      </c>
      <c r="D75" s="8" t="s">
        <v>526</v>
      </c>
      <c r="E75" s="53" t="n">
        <v>29</v>
      </c>
      <c r="F75" s="54" t="n">
        <f aca="false">Exchange!$C$17</f>
        <v>29</v>
      </c>
      <c r="G75" s="46" t="n">
        <f aca="false">IF(ISNUMBER(F75),F75-E75,"n/a")</f>
        <v>0</v>
      </c>
      <c r="H75" s="47" t="n">
        <v>0.005000001</v>
      </c>
      <c r="I75" s="48" t="str">
        <f aca="false">IF(ISNUMBER(F75),IF(ABS(F75-E75)&lt;=H75,"PASS","FAIL"),"FAIL")</f>
        <v>PASS</v>
      </c>
      <c r="J75" s="48" t="str">
        <f aca="false">IF(ISNUMBER(F75),IF(ROUND(F75,2)=ROUND(E75,2),"same","differs"),"n/a")</f>
        <v>same</v>
      </c>
    </row>
    <row r="76" customFormat="false" ht="15" hidden="false" customHeight="false" outlineLevel="0" collapsed="false">
      <c r="B76" s="39" t="n">
        <v>69</v>
      </c>
      <c r="C76" s="8" t="s">
        <v>522</v>
      </c>
      <c r="D76" s="8" t="s">
        <v>527</v>
      </c>
      <c r="E76" s="53" t="n">
        <v>23.8</v>
      </c>
      <c r="F76" s="54" t="n">
        <f aca="false">Exchange!$C$18</f>
        <v>23.8</v>
      </c>
      <c r="G76" s="46" t="n">
        <f aca="false">IF(ISNUMBER(F76),F76-E76,"n/a")</f>
        <v>0</v>
      </c>
      <c r="H76" s="47" t="n">
        <v>0.005000001</v>
      </c>
      <c r="I76" s="48" t="str">
        <f aca="false">IF(ISNUMBER(F76),IF(ABS(F76-E76)&lt;=H76,"PASS","FAIL"),"FAIL")</f>
        <v>PASS</v>
      </c>
      <c r="J76" s="48" t="str">
        <f aca="false">IF(ISNUMBER(F76),IF(ROUND(F76,2)=ROUND(E76,2),"same","differs"),"n/a")</f>
        <v>same</v>
      </c>
    </row>
    <row r="77" customFormat="false" ht="15" hidden="false" customHeight="false" outlineLevel="0" collapsed="false">
      <c r="B77" s="39" t="n">
        <v>70</v>
      </c>
      <c r="C77" s="8" t="s">
        <v>522</v>
      </c>
      <c r="D77" s="8" t="s">
        <v>528</v>
      </c>
      <c r="E77" s="53" t="n">
        <v>4.35</v>
      </c>
      <c r="F77" s="54" t="n">
        <f aca="false">Exchange!$C$19</f>
        <v>4.35</v>
      </c>
      <c r="G77" s="46" t="n">
        <f aca="false">IF(ISNUMBER(F77),F77-E77,"n/a")</f>
        <v>0</v>
      </c>
      <c r="H77" s="47" t="n">
        <v>0.005000001</v>
      </c>
      <c r="I77" s="48" t="str">
        <f aca="false">IF(ISNUMBER(F77),IF(ABS(F77-E77)&lt;=H77,"PASS","FAIL"),"FAIL")</f>
        <v>PASS</v>
      </c>
      <c r="J77" s="48" t="str">
        <f aca="false">IF(ISNUMBER(F77),IF(ROUND(F77,2)=ROUND(E77,2),"same","differs"),"n/a")</f>
        <v>same</v>
      </c>
    </row>
    <row r="78" customFormat="false" ht="15" hidden="false" customHeight="false" outlineLevel="0" collapsed="false">
      <c r="B78" s="39" t="n">
        <v>71</v>
      </c>
      <c r="C78" s="8" t="s">
        <v>522</v>
      </c>
      <c r="D78" s="8" t="s">
        <v>529</v>
      </c>
      <c r="E78" s="53" t="n">
        <v>28.15</v>
      </c>
      <c r="F78" s="54" t="n">
        <f aca="false">Exchange!$C$20</f>
        <v>28.15</v>
      </c>
      <c r="G78" s="46" t="n">
        <f aca="false">IF(ISNUMBER(F78),F78-E78,"n/a")</f>
        <v>0</v>
      </c>
      <c r="H78" s="47" t="n">
        <v>0.005000001</v>
      </c>
      <c r="I78" s="48" t="str">
        <f aca="false">IF(ISNUMBER(F78),IF(ABS(F78-E78)&lt;=H78,"PASS","FAIL"),"FAIL")</f>
        <v>PASS</v>
      </c>
      <c r="J78" s="48" t="str">
        <f aca="false">IF(ISNUMBER(F78),IF(ROUND(F78,2)=ROUND(E78,2),"same","differs"),"n/a")</f>
        <v>same</v>
      </c>
    </row>
    <row r="79" customFormat="false" ht="15" hidden="false" customHeight="false" outlineLevel="0" collapsed="false">
      <c r="B79" s="39" t="n">
        <v>72</v>
      </c>
      <c r="C79" s="8" t="s">
        <v>522</v>
      </c>
      <c r="D79" s="8" t="s">
        <v>530</v>
      </c>
      <c r="E79" s="53" t="n">
        <v>0.85</v>
      </c>
      <c r="F79" s="54" t="n">
        <f aca="false">Exchange!$C$21</f>
        <v>0.849999999999998</v>
      </c>
      <c r="G79" s="46" t="n">
        <f aca="false">IF(ISNUMBER(F79),F79-E79,"n/a")</f>
        <v>0</v>
      </c>
      <c r="H79" s="47" t="n">
        <v>0.005000001</v>
      </c>
      <c r="I79" s="48" t="str">
        <f aca="false">IF(ISNUMBER(F79),IF(ABS(F79-E79)&lt;=H79,"PASS","FAIL"),"FAIL")</f>
        <v>PASS</v>
      </c>
      <c r="J79" s="48" t="str">
        <f aca="false">IF(ISNUMBER(F79),IF(ROUND(F79,2)=ROUND(E79,2),"same","differs"),"n/a")</f>
        <v>same</v>
      </c>
    </row>
    <row r="80" customFormat="false" ht="15" hidden="false" customHeight="false" outlineLevel="0" collapsed="false">
      <c r="B80" s="39" t="n">
        <v>73</v>
      </c>
      <c r="C80" s="8" t="s">
        <v>522</v>
      </c>
      <c r="D80" s="8" t="s">
        <v>531</v>
      </c>
      <c r="E80" s="44" t="n">
        <v>1198</v>
      </c>
      <c r="F80" s="45" t="n">
        <f aca="false">Exchange!$C$26</f>
        <v>1198</v>
      </c>
      <c r="G80" s="46" t="n">
        <f aca="false">IF(ISNUMBER(F80),F80-E80,"n/a")</f>
        <v>0</v>
      </c>
      <c r="H80" s="47" t="n">
        <v>0.500000001</v>
      </c>
      <c r="I80" s="48" t="str">
        <f aca="false">IF(ISNUMBER(F80),IF(ABS(F80-E80)&lt;=H80,"PASS","FAIL"),"FAIL")</f>
        <v>PASS</v>
      </c>
      <c r="J80" s="48" t="str">
        <f aca="false">IF(ISNUMBER(F80),IF(ROUND(F80,0)=ROUND(E80,0),"same","differs"),"n/a")</f>
        <v>same</v>
      </c>
    </row>
    <row r="81" customFormat="false" ht="15" hidden="false" customHeight="false" outlineLevel="0" collapsed="false">
      <c r="B81" s="39" t="n">
        <v>74</v>
      </c>
      <c r="C81" s="8" t="s">
        <v>522</v>
      </c>
      <c r="D81" s="8" t="s">
        <v>532</v>
      </c>
      <c r="E81" s="44" t="n">
        <v>960</v>
      </c>
      <c r="F81" s="45" t="n">
        <f aca="false">Exchange!$C$25</f>
        <v>960</v>
      </c>
      <c r="G81" s="46" t="n">
        <f aca="false">IF(ISNUMBER(F81),F81-E81,"n/a")</f>
        <v>0</v>
      </c>
      <c r="H81" s="47" t="n">
        <v>0.500000001</v>
      </c>
      <c r="I81" s="48" t="str">
        <f aca="false">IF(ISNUMBER(F81),IF(ABS(F81-E81)&lt;=H81,"PASS","FAIL"),"FAIL")</f>
        <v>PASS</v>
      </c>
      <c r="J81" s="48" t="str">
        <f aca="false">IF(ISNUMBER(F81),IF(ROUND(F81,0)=ROUND(E81,0),"same","differs"),"n/a")</f>
        <v>same</v>
      </c>
    </row>
    <row r="82" customFormat="false" ht="15" hidden="false" customHeight="false" outlineLevel="0" collapsed="false">
      <c r="B82" s="39" t="n">
        <v>75</v>
      </c>
      <c r="C82" s="8" t="s">
        <v>522</v>
      </c>
      <c r="D82" s="8" t="s">
        <v>533</v>
      </c>
      <c r="E82" s="51" t="n">
        <v>1313.5</v>
      </c>
      <c r="F82" s="52" t="n">
        <f aca="false">Exchange!$C$27</f>
        <v>1313.5</v>
      </c>
      <c r="G82" s="46" t="n">
        <f aca="false">IF(ISNUMBER(F82),F82-E82,"n/a")</f>
        <v>0</v>
      </c>
      <c r="H82" s="47" t="n">
        <v>0.050000001</v>
      </c>
      <c r="I82" s="48" t="str">
        <f aca="false">IF(ISNUMBER(F82),IF(ABS(F82-E82)&lt;=H82,"PASS","FAIL"),"FAIL")</f>
        <v>PASS</v>
      </c>
      <c r="J82" s="48" t="str">
        <f aca="false">IF(ISNUMBER(F82),IF(ROUND(F82,1)=ROUND(E82,1),"same","differs"),"n/a")</f>
        <v>same</v>
      </c>
    </row>
    <row r="83" customFormat="false" ht="15" hidden="false" customHeight="false" outlineLevel="0" collapsed="false">
      <c r="B83" s="39" t="n">
        <v>76</v>
      </c>
      <c r="C83" s="8" t="s">
        <v>522</v>
      </c>
      <c r="D83" s="8" t="s">
        <v>534</v>
      </c>
      <c r="E83" s="12" t="n">
        <v>0</v>
      </c>
      <c r="F83" s="50" t="n">
        <f aca="false">Exchange!$C$41</f>
        <v>0</v>
      </c>
      <c r="G83" s="46" t="n">
        <f aca="false">IF(ISNUMBER(F83),F83-E83,"n/a")</f>
        <v>0</v>
      </c>
      <c r="H83" s="47" t="n">
        <v>0.000500001</v>
      </c>
      <c r="I83" s="48" t="str">
        <f aca="false">IF(ISNUMBER(F83),IF(ABS(F83-E83)&lt;=H83,"PASS","FAIL"),"FAIL")</f>
        <v>PASS</v>
      </c>
      <c r="J83" s="48" t="str">
        <f aca="false">IF(ISNUMBER(F83),IF(ROUND(F83,3)=ROUND(E83,3),"same","differs"),"n/a")</f>
        <v>same</v>
      </c>
    </row>
    <row r="84" customFormat="false" ht="15" hidden="false" customHeight="false" outlineLevel="0" collapsed="false">
      <c r="B84" s="39" t="n">
        <v>77</v>
      </c>
      <c r="C84" s="8" t="s">
        <v>522</v>
      </c>
      <c r="D84" s="8" t="s">
        <v>535</v>
      </c>
      <c r="E84" s="12" t="n">
        <v>0</v>
      </c>
      <c r="F84" s="50" t="n">
        <f aca="false">Exchange!$C$42</f>
        <v>0</v>
      </c>
      <c r="G84" s="46" t="n">
        <f aca="false">IF(ISNUMBER(F84),F84-E84,"n/a")</f>
        <v>0</v>
      </c>
      <c r="H84" s="47" t="n">
        <v>0.000500001</v>
      </c>
      <c r="I84" s="48" t="str">
        <f aca="false">IF(ISNUMBER(F84),IF(ABS(F84-E84)&lt;=H84,"PASS","FAIL"),"FAIL")</f>
        <v>PASS</v>
      </c>
      <c r="J84" s="48" t="str">
        <f aca="false">IF(ISNUMBER(F84),IF(ROUND(F84,3)=ROUND(E84,3),"same","differs"),"n/a")</f>
        <v>same</v>
      </c>
    </row>
    <row r="85" customFormat="false" ht="15" hidden="false" customHeight="false" outlineLevel="0" collapsed="false">
      <c r="B85" s="39" t="n">
        <v>78</v>
      </c>
      <c r="C85" s="8" t="s">
        <v>522</v>
      </c>
      <c r="D85" s="8" t="s">
        <v>536</v>
      </c>
      <c r="E85" s="12" t="n">
        <v>0</v>
      </c>
      <c r="F85" s="50" t="n">
        <f aca="false">Exchange!$C$43</f>
        <v>0</v>
      </c>
      <c r="G85" s="46" t="n">
        <f aca="false">IF(ISNUMBER(F85),F85-E85,"n/a")</f>
        <v>0</v>
      </c>
      <c r="H85" s="47" t="n">
        <v>0.000500001</v>
      </c>
      <c r="I85" s="48" t="str">
        <f aca="false">IF(ISNUMBER(F85),IF(ABS(F85-E85)&lt;=H85,"PASS","FAIL"),"FAIL")</f>
        <v>PASS</v>
      </c>
      <c r="J85" s="48" t="str">
        <f aca="false">IF(ISNUMBER(F85),IF(ROUND(F85,3)=ROUND(E85,3),"same","differs"),"n/a")</f>
        <v>same</v>
      </c>
    </row>
    <row r="86" customFormat="false" ht="15" hidden="false" customHeight="false" outlineLevel="0" collapsed="false">
      <c r="B86" s="39" t="n">
        <v>79</v>
      </c>
      <c r="C86" s="8" t="s">
        <v>522</v>
      </c>
      <c r="D86" s="8" t="s">
        <v>473</v>
      </c>
      <c r="E86" s="12" t="n">
        <v>0</v>
      </c>
      <c r="F86" s="50" t="n">
        <f aca="false">Exchange!$C$44</f>
        <v>0</v>
      </c>
      <c r="G86" s="46" t="n">
        <f aca="false">IF(ISNUMBER(F86),F86-E86,"n/a")</f>
        <v>0</v>
      </c>
      <c r="H86" s="47" t="n">
        <v>0.000500001</v>
      </c>
      <c r="I86" s="48" t="str">
        <f aca="false">IF(ISNUMBER(F86),IF(ABS(F86-E86)&lt;=H86,"PASS","FAIL"),"FAIL")</f>
        <v>PASS</v>
      </c>
      <c r="J86" s="48" t="str">
        <f aca="false">IF(ISNUMBER(F86),IF(ROUND(F86,3)=ROUND(E86,3),"same","differs"),"n/a")</f>
        <v>same</v>
      </c>
    </row>
    <row r="87" customFormat="false" ht="15" hidden="false" customHeight="false" outlineLevel="0" collapsed="false">
      <c r="B87" s="39" t="n">
        <v>80</v>
      </c>
      <c r="C87" s="8" t="s">
        <v>522</v>
      </c>
      <c r="D87" s="8" t="s">
        <v>537</v>
      </c>
      <c r="E87" s="51" t="n">
        <v>0</v>
      </c>
      <c r="F87" s="52" t="n">
        <f aca="false">Exchange!$C$47</f>
        <v>0</v>
      </c>
      <c r="G87" s="46" t="n">
        <f aca="false">IF(ISNUMBER(F87),F87-E87,"n/a")</f>
        <v>0</v>
      </c>
      <c r="H87" s="47" t="n">
        <v>0.050000001</v>
      </c>
      <c r="I87" s="48" t="str">
        <f aca="false">IF(ISNUMBER(F87),IF(ABS(F87-E87)&lt;=H87,"PASS","FAIL"),"FAIL")</f>
        <v>PASS</v>
      </c>
      <c r="J87" s="48" t="str">
        <f aca="false">IF(ISNUMBER(F87),IF(ROUND(F87,1)=ROUND(E87,1),"same","differs"),"n/a")</f>
        <v>same</v>
      </c>
    </row>
    <row r="88" customFormat="false" ht="15" hidden="false" customHeight="false" outlineLevel="0" collapsed="false">
      <c r="B88" s="39" t="n">
        <v>81</v>
      </c>
      <c r="C88" s="8" t="s">
        <v>522</v>
      </c>
      <c r="D88" s="8" t="s">
        <v>538</v>
      </c>
      <c r="E88" s="51" t="n">
        <v>0</v>
      </c>
      <c r="F88" s="52" t="n">
        <f aca="false">Exchange!$C$48</f>
        <v>0</v>
      </c>
      <c r="G88" s="46" t="n">
        <f aca="false">IF(ISNUMBER(F88),F88-E88,"n/a")</f>
        <v>0</v>
      </c>
      <c r="H88" s="47" t="n">
        <v>0.050000001</v>
      </c>
      <c r="I88" s="48" t="str">
        <f aca="false">IF(ISNUMBER(F88),IF(ABS(F88-E88)&lt;=H88,"PASS","FAIL"),"FAIL")</f>
        <v>PASS</v>
      </c>
      <c r="J88" s="48" t="str">
        <f aca="false">IF(ISNUMBER(F88),IF(ROUND(F88,1)=ROUND(E88,1),"same","differs"),"n/a")</f>
        <v>same</v>
      </c>
    </row>
    <row r="89" customFormat="false" ht="15" hidden="false" customHeight="false" outlineLevel="0" collapsed="false">
      <c r="B89" s="39" t="n">
        <v>82</v>
      </c>
      <c r="C89" s="8" t="s">
        <v>522</v>
      </c>
      <c r="D89" s="8" t="s">
        <v>539</v>
      </c>
      <c r="E89" s="51" t="n">
        <v>0</v>
      </c>
      <c r="F89" s="52" t="n">
        <f aca="false">Exchange!$C$49</f>
        <v>0</v>
      </c>
      <c r="G89" s="46" t="n">
        <f aca="false">IF(ISNUMBER(F89),F89-E89,"n/a")</f>
        <v>0</v>
      </c>
      <c r="H89" s="47" t="n">
        <v>0.050000001</v>
      </c>
      <c r="I89" s="48" t="str">
        <f aca="false">IF(ISNUMBER(F89),IF(ABS(F89-E89)&lt;=H89,"PASS","FAIL"),"FAIL")</f>
        <v>PASS</v>
      </c>
      <c r="J89" s="48" t="str">
        <f aca="false">IF(ISNUMBER(F89),IF(ROUND(F89,1)=ROUND(E89,1),"same","differs"),"n/a")</f>
        <v>same</v>
      </c>
    </row>
    <row r="90" customFormat="false" ht="15" hidden="false" customHeight="false" outlineLevel="0" collapsed="false">
      <c r="B90" s="39" t="n">
        <v>83</v>
      </c>
      <c r="C90" s="8" t="s">
        <v>522</v>
      </c>
      <c r="D90" s="8" t="s">
        <v>540</v>
      </c>
      <c r="E90" s="51" t="n">
        <v>0</v>
      </c>
      <c r="F90" s="52" t="n">
        <f aca="false">Exchange!$C$50</f>
        <v>0</v>
      </c>
      <c r="G90" s="46" t="n">
        <f aca="false">IF(ISNUMBER(F90),F90-E90,"n/a")</f>
        <v>0</v>
      </c>
      <c r="H90" s="47" t="n">
        <v>0.050000001</v>
      </c>
      <c r="I90" s="48" t="str">
        <f aca="false">IF(ISNUMBER(F90),IF(ABS(F90-E90)&lt;=H90,"PASS","FAIL"),"FAIL")</f>
        <v>PASS</v>
      </c>
      <c r="J90" s="48" t="str">
        <f aca="false">IF(ISNUMBER(F90),IF(ROUND(F90,1)=ROUND(E90,1),"same","differs"),"n/a")</f>
        <v>same</v>
      </c>
    </row>
    <row r="91" customFormat="false" ht="15" hidden="false" customHeight="false" outlineLevel="0" collapsed="false">
      <c r="B91" s="39" t="n">
        <v>84</v>
      </c>
      <c r="C91" s="8" t="s">
        <v>522</v>
      </c>
      <c r="D91" s="8" t="s">
        <v>541</v>
      </c>
      <c r="E91" s="12" t="n">
        <v>0</v>
      </c>
      <c r="F91" s="50" t="n">
        <f aca="false">Exchange!$D$41</f>
        <v>0</v>
      </c>
      <c r="G91" s="46" t="n">
        <f aca="false">IF(ISNUMBER(F91),F91-E91,"n/a")</f>
        <v>0</v>
      </c>
      <c r="H91" s="47" t="n">
        <v>0.000500001</v>
      </c>
      <c r="I91" s="48" t="str">
        <f aca="false">IF(ISNUMBER(F91),IF(ABS(F91-E91)&lt;=H91,"PASS","FAIL"),"FAIL")</f>
        <v>PASS</v>
      </c>
      <c r="J91" s="48" t="str">
        <f aca="false">IF(ISNUMBER(F91),IF(ROUND(F91,3)=ROUND(E91,3),"same","differs"),"n/a")</f>
        <v>same</v>
      </c>
    </row>
    <row r="92" customFormat="false" ht="15" hidden="false" customHeight="false" outlineLevel="0" collapsed="false">
      <c r="B92" s="39" t="n">
        <v>85</v>
      </c>
      <c r="C92" s="8" t="s">
        <v>522</v>
      </c>
      <c r="D92" s="8" t="s">
        <v>542</v>
      </c>
      <c r="E92" s="12" t="n">
        <v>0</v>
      </c>
      <c r="F92" s="50" t="n">
        <f aca="false">Exchange!$D$42</f>
        <v>0</v>
      </c>
      <c r="G92" s="46" t="n">
        <f aca="false">IF(ISNUMBER(F92),F92-E92,"n/a")</f>
        <v>0</v>
      </c>
      <c r="H92" s="47" t="n">
        <v>0.000500001</v>
      </c>
      <c r="I92" s="48" t="str">
        <f aca="false">IF(ISNUMBER(F92),IF(ABS(F92-E92)&lt;=H92,"PASS","FAIL"),"FAIL")</f>
        <v>PASS</v>
      </c>
      <c r="J92" s="48" t="str">
        <f aca="false">IF(ISNUMBER(F92),IF(ROUND(F92,3)=ROUND(E92,3),"same","differs"),"n/a")</f>
        <v>same</v>
      </c>
    </row>
    <row r="93" customFormat="false" ht="15" hidden="false" customHeight="false" outlineLevel="0" collapsed="false">
      <c r="B93" s="39" t="n">
        <v>86</v>
      </c>
      <c r="C93" s="8" t="s">
        <v>522</v>
      </c>
      <c r="D93" s="8" t="s">
        <v>543</v>
      </c>
      <c r="E93" s="12" t="n">
        <v>0</v>
      </c>
      <c r="F93" s="50" t="n">
        <f aca="false">Exchange!$D$43</f>
        <v>0</v>
      </c>
      <c r="G93" s="46" t="n">
        <f aca="false">IF(ISNUMBER(F93),F93-E93,"n/a")</f>
        <v>0</v>
      </c>
      <c r="H93" s="47" t="n">
        <v>0.000500001</v>
      </c>
      <c r="I93" s="48" t="str">
        <f aca="false">IF(ISNUMBER(F93),IF(ABS(F93-E93)&lt;=H93,"PASS","FAIL"),"FAIL")</f>
        <v>PASS</v>
      </c>
      <c r="J93" s="48" t="str">
        <f aca="false">IF(ISNUMBER(F93),IF(ROUND(F93,3)=ROUND(E93,3),"same","differs"),"n/a")</f>
        <v>same</v>
      </c>
    </row>
    <row r="94" customFormat="false" ht="15" hidden="false" customHeight="false" outlineLevel="0" collapsed="false">
      <c r="B94" s="39" t="n">
        <v>87</v>
      </c>
      <c r="C94" s="8" t="s">
        <v>522</v>
      </c>
      <c r="D94" s="8" t="s">
        <v>477</v>
      </c>
      <c r="E94" s="12" t="n">
        <v>0</v>
      </c>
      <c r="F94" s="50" t="n">
        <f aca="false">Exchange!$D$44</f>
        <v>0</v>
      </c>
      <c r="G94" s="46" t="n">
        <f aca="false">IF(ISNUMBER(F94),F94-E94,"n/a")</f>
        <v>0</v>
      </c>
      <c r="H94" s="47" t="n">
        <v>0.000500001</v>
      </c>
      <c r="I94" s="48" t="str">
        <f aca="false">IF(ISNUMBER(F94),IF(ABS(F94-E94)&lt;=H94,"PASS","FAIL"),"FAIL")</f>
        <v>PASS</v>
      </c>
      <c r="J94" s="48" t="str">
        <f aca="false">IF(ISNUMBER(F94),IF(ROUND(F94,3)=ROUND(E94,3),"same","differs"),"n/a")</f>
        <v>same</v>
      </c>
    </row>
    <row r="95" customFormat="false" ht="15" hidden="false" customHeight="false" outlineLevel="0" collapsed="false">
      <c r="B95" s="39" t="n">
        <v>88</v>
      </c>
      <c r="C95" s="8" t="s">
        <v>522</v>
      </c>
      <c r="D95" s="8" t="s">
        <v>544</v>
      </c>
      <c r="E95" s="51" t="n">
        <v>0</v>
      </c>
      <c r="F95" s="52" t="n">
        <f aca="false">Exchange!$D$47</f>
        <v>0</v>
      </c>
      <c r="G95" s="46" t="n">
        <f aca="false">IF(ISNUMBER(F95),F95-E95,"n/a")</f>
        <v>0</v>
      </c>
      <c r="H95" s="47" t="n">
        <v>0.050000001</v>
      </c>
      <c r="I95" s="48" t="str">
        <f aca="false">IF(ISNUMBER(F95),IF(ABS(F95-E95)&lt;=H95,"PASS","FAIL"),"FAIL")</f>
        <v>PASS</v>
      </c>
      <c r="J95" s="48" t="str">
        <f aca="false">IF(ISNUMBER(F95),IF(ROUND(F95,1)=ROUND(E95,1),"same","differs"),"n/a")</f>
        <v>same</v>
      </c>
    </row>
    <row r="96" customFormat="false" ht="15" hidden="false" customHeight="false" outlineLevel="0" collapsed="false">
      <c r="B96" s="39" t="n">
        <v>89</v>
      </c>
      <c r="C96" s="8" t="s">
        <v>522</v>
      </c>
      <c r="D96" s="8" t="s">
        <v>545</v>
      </c>
      <c r="E96" s="51" t="n">
        <v>0</v>
      </c>
      <c r="F96" s="52" t="n">
        <f aca="false">Exchange!$D$48</f>
        <v>0</v>
      </c>
      <c r="G96" s="46" t="n">
        <f aca="false">IF(ISNUMBER(F96),F96-E96,"n/a")</f>
        <v>0</v>
      </c>
      <c r="H96" s="47" t="n">
        <v>0.050000001</v>
      </c>
      <c r="I96" s="48" t="str">
        <f aca="false">IF(ISNUMBER(F96),IF(ABS(F96-E96)&lt;=H96,"PASS","FAIL"),"FAIL")</f>
        <v>PASS</v>
      </c>
      <c r="J96" s="48" t="str">
        <f aca="false">IF(ISNUMBER(F96),IF(ROUND(F96,1)=ROUND(E96,1),"same","differs"),"n/a")</f>
        <v>same</v>
      </c>
    </row>
    <row r="97" customFormat="false" ht="15" hidden="false" customHeight="false" outlineLevel="0" collapsed="false">
      <c r="B97" s="39" t="n">
        <v>90</v>
      </c>
      <c r="C97" s="8" t="s">
        <v>522</v>
      </c>
      <c r="D97" s="8" t="s">
        <v>546</v>
      </c>
      <c r="E97" s="51" t="n">
        <v>0</v>
      </c>
      <c r="F97" s="52" t="n">
        <f aca="false">Exchange!$D$49</f>
        <v>0</v>
      </c>
      <c r="G97" s="46" t="n">
        <f aca="false">IF(ISNUMBER(F97),F97-E97,"n/a")</f>
        <v>0</v>
      </c>
      <c r="H97" s="47" t="n">
        <v>0.050000001</v>
      </c>
      <c r="I97" s="48" t="str">
        <f aca="false">IF(ISNUMBER(F97),IF(ABS(F97-E97)&lt;=H97,"PASS","FAIL"),"FAIL")</f>
        <v>PASS</v>
      </c>
      <c r="J97" s="48" t="str">
        <f aca="false">IF(ISNUMBER(F97),IF(ROUND(F97,1)=ROUND(E97,1),"same","differs"),"n/a")</f>
        <v>same</v>
      </c>
    </row>
    <row r="98" customFormat="false" ht="15" hidden="false" customHeight="false" outlineLevel="0" collapsed="false">
      <c r="B98" s="39" t="n">
        <v>91</v>
      </c>
      <c r="C98" s="8" t="s">
        <v>522</v>
      </c>
      <c r="D98" s="8" t="s">
        <v>547</v>
      </c>
      <c r="E98" s="51" t="n">
        <v>0</v>
      </c>
      <c r="F98" s="52" t="n">
        <f aca="false">Exchange!$D$50</f>
        <v>0</v>
      </c>
      <c r="G98" s="46" t="n">
        <f aca="false">IF(ISNUMBER(F98),F98-E98,"n/a")</f>
        <v>0</v>
      </c>
      <c r="H98" s="47" t="n">
        <v>0.050000001</v>
      </c>
      <c r="I98" s="48" t="str">
        <f aca="false">IF(ISNUMBER(F98),IF(ABS(F98-E98)&lt;=H98,"PASS","FAIL"),"FAIL")</f>
        <v>PASS</v>
      </c>
      <c r="J98" s="48" t="str">
        <f aca="false">IF(ISNUMBER(F98),IF(ROUND(F98,1)=ROUND(E98,1),"same","differs"),"n/a")</f>
        <v>same</v>
      </c>
    </row>
    <row r="99" customFormat="false" ht="15" hidden="false" customHeight="false" outlineLevel="0" collapsed="false">
      <c r="B99" s="39" t="n">
        <v>92</v>
      </c>
      <c r="C99" s="8" t="s">
        <v>522</v>
      </c>
      <c r="D99" s="8" t="s">
        <v>548</v>
      </c>
      <c r="E99" s="12" t="n">
        <v>0</v>
      </c>
      <c r="F99" s="50" t="n">
        <f aca="false">Exchange!$E$41</f>
        <v>0</v>
      </c>
      <c r="G99" s="46" t="n">
        <f aca="false">IF(ISNUMBER(F99),F99-E99,"n/a")</f>
        <v>0</v>
      </c>
      <c r="H99" s="47" t="n">
        <v>0.000500001</v>
      </c>
      <c r="I99" s="48" t="str">
        <f aca="false">IF(ISNUMBER(F99),IF(ABS(F99-E99)&lt;=H99,"PASS","FAIL"),"FAIL")</f>
        <v>PASS</v>
      </c>
      <c r="J99" s="48" t="str">
        <f aca="false">IF(ISNUMBER(F99),IF(ROUND(F99,3)=ROUND(E99,3),"same","differs"),"n/a")</f>
        <v>same</v>
      </c>
    </row>
    <row r="100" customFormat="false" ht="15" hidden="false" customHeight="false" outlineLevel="0" collapsed="false">
      <c r="B100" s="39" t="n">
        <v>93</v>
      </c>
      <c r="C100" s="8" t="s">
        <v>522</v>
      </c>
      <c r="D100" s="8" t="s">
        <v>549</v>
      </c>
      <c r="E100" s="12" t="n">
        <v>0</v>
      </c>
      <c r="F100" s="50" t="n">
        <f aca="false">Exchange!$E$42</f>
        <v>0</v>
      </c>
      <c r="G100" s="46" t="n">
        <f aca="false">IF(ISNUMBER(F100),F100-E100,"n/a")</f>
        <v>0</v>
      </c>
      <c r="H100" s="47" t="n">
        <v>0.000500001</v>
      </c>
      <c r="I100" s="48" t="str">
        <f aca="false">IF(ISNUMBER(F100),IF(ABS(F100-E100)&lt;=H100,"PASS","FAIL"),"FAIL")</f>
        <v>PASS</v>
      </c>
      <c r="J100" s="48" t="str">
        <f aca="false">IF(ISNUMBER(F100),IF(ROUND(F100,3)=ROUND(E100,3),"same","differs"),"n/a")</f>
        <v>same</v>
      </c>
    </row>
    <row r="101" customFormat="false" ht="15" hidden="false" customHeight="false" outlineLevel="0" collapsed="false">
      <c r="B101" s="39" t="n">
        <v>94</v>
      </c>
      <c r="C101" s="8" t="s">
        <v>522</v>
      </c>
      <c r="D101" s="8" t="s">
        <v>550</v>
      </c>
      <c r="E101" s="12" t="n">
        <v>0</v>
      </c>
      <c r="F101" s="50" t="n">
        <f aca="false">Exchange!$E$43</f>
        <v>0</v>
      </c>
      <c r="G101" s="46" t="n">
        <f aca="false">IF(ISNUMBER(F101),F101-E101,"n/a")</f>
        <v>0</v>
      </c>
      <c r="H101" s="47" t="n">
        <v>0.000500001</v>
      </c>
      <c r="I101" s="48" t="str">
        <f aca="false">IF(ISNUMBER(F101),IF(ABS(F101-E101)&lt;=H101,"PASS","FAIL"),"FAIL")</f>
        <v>PASS</v>
      </c>
      <c r="J101" s="48" t="str">
        <f aca="false">IF(ISNUMBER(F101),IF(ROUND(F101,3)=ROUND(E101,3),"same","differs"),"n/a")</f>
        <v>same</v>
      </c>
    </row>
    <row r="102" customFormat="false" ht="15" hidden="false" customHeight="false" outlineLevel="0" collapsed="false">
      <c r="B102" s="39" t="n">
        <v>95</v>
      </c>
      <c r="C102" s="8" t="s">
        <v>522</v>
      </c>
      <c r="D102" s="8" t="s">
        <v>481</v>
      </c>
      <c r="E102" s="12" t="n">
        <v>0</v>
      </c>
      <c r="F102" s="50" t="n">
        <f aca="false">Exchange!$E$44</f>
        <v>0</v>
      </c>
      <c r="G102" s="46" t="n">
        <f aca="false">IF(ISNUMBER(F102),F102-E102,"n/a")</f>
        <v>0</v>
      </c>
      <c r="H102" s="47" t="n">
        <v>0.000500001</v>
      </c>
      <c r="I102" s="48" t="str">
        <f aca="false">IF(ISNUMBER(F102),IF(ABS(F102-E102)&lt;=H102,"PASS","FAIL"),"FAIL")</f>
        <v>PASS</v>
      </c>
      <c r="J102" s="48" t="str">
        <f aca="false">IF(ISNUMBER(F102),IF(ROUND(F102,3)=ROUND(E102,3),"same","differs"),"n/a")</f>
        <v>same</v>
      </c>
    </row>
    <row r="103" customFormat="false" ht="15" hidden="false" customHeight="false" outlineLevel="0" collapsed="false">
      <c r="B103" s="39" t="n">
        <v>96</v>
      </c>
      <c r="C103" s="8" t="s">
        <v>522</v>
      </c>
      <c r="D103" s="8" t="s">
        <v>551</v>
      </c>
      <c r="E103" s="51" t="n">
        <v>0</v>
      </c>
      <c r="F103" s="52" t="n">
        <f aca="false">Exchange!$E$47</f>
        <v>0</v>
      </c>
      <c r="G103" s="46" t="n">
        <f aca="false">IF(ISNUMBER(F103),F103-E103,"n/a")</f>
        <v>0</v>
      </c>
      <c r="H103" s="47" t="n">
        <v>0.050000001</v>
      </c>
      <c r="I103" s="48" t="str">
        <f aca="false">IF(ISNUMBER(F103),IF(ABS(F103-E103)&lt;=H103,"PASS","FAIL"),"FAIL")</f>
        <v>PASS</v>
      </c>
      <c r="J103" s="48" t="str">
        <f aca="false">IF(ISNUMBER(F103),IF(ROUND(F103,1)=ROUND(E103,1),"same","differs"),"n/a")</f>
        <v>same</v>
      </c>
    </row>
    <row r="104" customFormat="false" ht="15" hidden="false" customHeight="false" outlineLevel="0" collapsed="false">
      <c r="B104" s="39" t="n">
        <v>97</v>
      </c>
      <c r="C104" s="8" t="s">
        <v>522</v>
      </c>
      <c r="D104" s="8" t="s">
        <v>552</v>
      </c>
      <c r="E104" s="51" t="n">
        <v>0</v>
      </c>
      <c r="F104" s="52" t="n">
        <f aca="false">Exchange!$E$48</f>
        <v>0</v>
      </c>
      <c r="G104" s="46" t="n">
        <f aca="false">IF(ISNUMBER(F104),F104-E104,"n/a")</f>
        <v>0</v>
      </c>
      <c r="H104" s="47" t="n">
        <v>0.050000001</v>
      </c>
      <c r="I104" s="48" t="str">
        <f aca="false">IF(ISNUMBER(F104),IF(ABS(F104-E104)&lt;=H104,"PASS","FAIL"),"FAIL")</f>
        <v>PASS</v>
      </c>
      <c r="J104" s="48" t="str">
        <f aca="false">IF(ISNUMBER(F104),IF(ROUND(F104,1)=ROUND(E104,1),"same","differs"),"n/a")</f>
        <v>same</v>
      </c>
    </row>
    <row r="105" customFormat="false" ht="15" hidden="false" customHeight="false" outlineLevel="0" collapsed="false">
      <c r="B105" s="39" t="n">
        <v>98</v>
      </c>
      <c r="C105" s="8" t="s">
        <v>522</v>
      </c>
      <c r="D105" s="8" t="s">
        <v>553</v>
      </c>
      <c r="E105" s="51" t="n">
        <v>0</v>
      </c>
      <c r="F105" s="52" t="n">
        <f aca="false">Exchange!$E$49</f>
        <v>0</v>
      </c>
      <c r="G105" s="46" t="n">
        <f aca="false">IF(ISNUMBER(F105),F105-E105,"n/a")</f>
        <v>0</v>
      </c>
      <c r="H105" s="47" t="n">
        <v>0.050000001</v>
      </c>
      <c r="I105" s="48" t="str">
        <f aca="false">IF(ISNUMBER(F105),IF(ABS(F105-E105)&lt;=H105,"PASS","FAIL"),"FAIL")</f>
        <v>PASS</v>
      </c>
      <c r="J105" s="48" t="str">
        <f aca="false">IF(ISNUMBER(F105),IF(ROUND(F105,1)=ROUND(E105,1),"same","differs"),"n/a")</f>
        <v>same</v>
      </c>
    </row>
    <row r="106" customFormat="false" ht="15" hidden="false" customHeight="false" outlineLevel="0" collapsed="false">
      <c r="B106" s="39" t="n">
        <v>99</v>
      </c>
      <c r="C106" s="8" t="s">
        <v>522</v>
      </c>
      <c r="D106" s="8" t="s">
        <v>554</v>
      </c>
      <c r="E106" s="51" t="n">
        <v>0</v>
      </c>
      <c r="F106" s="52" t="n">
        <f aca="false">Exchange!$E$50</f>
        <v>0</v>
      </c>
      <c r="G106" s="46" t="n">
        <f aca="false">IF(ISNUMBER(F106),F106-E106,"n/a")</f>
        <v>0</v>
      </c>
      <c r="H106" s="47" t="n">
        <v>0.050000001</v>
      </c>
      <c r="I106" s="48" t="str">
        <f aca="false">IF(ISNUMBER(F106),IF(ABS(F106-E106)&lt;=H106,"PASS","FAIL"),"FAIL")</f>
        <v>PASS</v>
      </c>
      <c r="J106" s="48" t="str">
        <f aca="false">IF(ISNUMBER(F106),IF(ROUND(F106,1)=ROUND(E106,1),"same","differs"),"n/a")</f>
        <v>same</v>
      </c>
    </row>
    <row r="107" customFormat="false" ht="15" hidden="false" customHeight="false" outlineLevel="0" collapsed="false">
      <c r="B107" s="39" t="n">
        <v>100</v>
      </c>
      <c r="C107" s="8" t="s">
        <v>522</v>
      </c>
      <c r="D107" s="8" t="s">
        <v>555</v>
      </c>
      <c r="E107" s="12" t="n">
        <v>0.079</v>
      </c>
      <c r="F107" s="50" t="n">
        <f aca="false">Exchange!$F$41</f>
        <v>0.0792079207920792</v>
      </c>
      <c r="G107" s="46" t="n">
        <f aca="false">IF(ISNUMBER(F107),F107-E107,"n/a")</f>
        <v>0.000207920792079208</v>
      </c>
      <c r="H107" s="47" t="n">
        <v>0.000500001</v>
      </c>
      <c r="I107" s="48" t="str">
        <f aca="false">IF(ISNUMBER(F107),IF(ABS(F107-E107)&lt;=H107,"PASS","FAIL"),"FAIL")</f>
        <v>PASS</v>
      </c>
      <c r="J107" s="48" t="str">
        <f aca="false">IF(ISNUMBER(F107),IF(ROUND(F107,3)=ROUND(E107,3),"same","differs"),"n/a")</f>
        <v>same</v>
      </c>
    </row>
    <row r="108" customFormat="false" ht="15" hidden="false" customHeight="false" outlineLevel="0" collapsed="false">
      <c r="B108" s="39" t="n">
        <v>101</v>
      </c>
      <c r="C108" s="8" t="s">
        <v>522</v>
      </c>
      <c r="D108" s="8" t="s">
        <v>556</v>
      </c>
      <c r="E108" s="12" t="n">
        <v>0.118</v>
      </c>
      <c r="F108" s="50" t="n">
        <f aca="false">Exchange!$F$42</f>
        <v>0.117647058823529</v>
      </c>
      <c r="G108" s="46" t="n">
        <f aca="false">IF(ISNUMBER(F108),F108-E108,"n/a")</f>
        <v>-0.000352941176470584</v>
      </c>
      <c r="H108" s="47" t="n">
        <v>0.000500001</v>
      </c>
      <c r="I108" s="48" t="str">
        <f aca="false">IF(ISNUMBER(F108),IF(ABS(F108-E108)&lt;=H108,"PASS","FAIL"),"FAIL")</f>
        <v>PASS</v>
      </c>
      <c r="J108" s="48" t="str">
        <f aca="false">IF(ISNUMBER(F108),IF(ROUND(F108,3)=ROUND(E108,3),"same","differs"),"n/a")</f>
        <v>same</v>
      </c>
    </row>
    <row r="109" customFormat="false" ht="15" hidden="false" customHeight="false" outlineLevel="0" collapsed="false">
      <c r="B109" s="39" t="n">
        <v>102</v>
      </c>
      <c r="C109" s="8" t="s">
        <v>522</v>
      </c>
      <c r="D109" s="8" t="s">
        <v>557</v>
      </c>
      <c r="E109" s="12" t="n">
        <v>0</v>
      </c>
      <c r="F109" s="50" t="n">
        <f aca="false">Exchange!$F$43</f>
        <v>0</v>
      </c>
      <c r="G109" s="46" t="n">
        <f aca="false">IF(ISNUMBER(F109),F109-E109,"n/a")</f>
        <v>0</v>
      </c>
      <c r="H109" s="47" t="n">
        <v>0.000500001</v>
      </c>
      <c r="I109" s="48" t="str">
        <f aca="false">IF(ISNUMBER(F109),IF(ABS(F109-E109)&lt;=H109,"PASS","FAIL"),"FAIL")</f>
        <v>PASS</v>
      </c>
      <c r="J109" s="48" t="str">
        <f aca="false">IF(ISNUMBER(F109),IF(ROUND(F109,3)=ROUND(E109,3),"same","differs"),"n/a")</f>
        <v>same</v>
      </c>
    </row>
    <row r="110" customFormat="false" ht="15" hidden="false" customHeight="false" outlineLevel="0" collapsed="false">
      <c r="B110" s="39" t="n">
        <v>103</v>
      </c>
      <c r="C110" s="8" t="s">
        <v>522</v>
      </c>
      <c r="D110" s="8" t="s">
        <v>485</v>
      </c>
      <c r="E110" s="12" t="n">
        <v>0</v>
      </c>
      <c r="F110" s="50" t="n">
        <f aca="false">Exchange!$F$44</f>
        <v>0</v>
      </c>
      <c r="G110" s="46" t="n">
        <f aca="false">IF(ISNUMBER(F110),F110-E110,"n/a")</f>
        <v>0</v>
      </c>
      <c r="H110" s="47" t="n">
        <v>0.000500001</v>
      </c>
      <c r="I110" s="48" t="str">
        <f aca="false">IF(ISNUMBER(F110),IF(ABS(F110-E110)&lt;=H110,"PASS","FAIL"),"FAIL")</f>
        <v>PASS</v>
      </c>
      <c r="J110" s="48" t="str">
        <f aca="false">IF(ISNUMBER(F110),IF(ROUND(F110,3)=ROUND(E110,3),"same","differs"),"n/a")</f>
        <v>same</v>
      </c>
    </row>
    <row r="111" customFormat="false" ht="15" hidden="false" customHeight="false" outlineLevel="0" collapsed="false">
      <c r="B111" s="39" t="n">
        <v>104</v>
      </c>
      <c r="C111" s="8" t="s">
        <v>522</v>
      </c>
      <c r="D111" s="8" t="s">
        <v>558</v>
      </c>
      <c r="E111" s="51" t="n">
        <v>31.7</v>
      </c>
      <c r="F111" s="52" t="n">
        <f aca="false">Exchange!$F$47</f>
        <v>31.6831683168317</v>
      </c>
      <c r="G111" s="46" t="n">
        <f aca="false">IF(ISNUMBER(F111),F111-E111,"n/a")</f>
        <v>-0.0168316831683164</v>
      </c>
      <c r="H111" s="47" t="n">
        <v>0.050000001</v>
      </c>
      <c r="I111" s="48" t="str">
        <f aca="false">IF(ISNUMBER(F111),IF(ABS(F111-E111)&lt;=H111,"PASS","FAIL"),"FAIL")</f>
        <v>PASS</v>
      </c>
      <c r="J111" s="48" t="str">
        <f aca="false">IF(ISNUMBER(F111),IF(ROUND(F111,1)=ROUND(E111,1),"same","differs"),"n/a")</f>
        <v>same</v>
      </c>
    </row>
    <row r="112" customFormat="false" ht="15" hidden="false" customHeight="false" outlineLevel="0" collapsed="false">
      <c r="B112" s="39" t="n">
        <v>105</v>
      </c>
      <c r="C112" s="8" t="s">
        <v>522</v>
      </c>
      <c r="D112" s="8" t="s">
        <v>559</v>
      </c>
      <c r="E112" s="51" t="n">
        <v>40</v>
      </c>
      <c r="F112" s="52" t="n">
        <f aca="false">Exchange!$F$48</f>
        <v>40</v>
      </c>
      <c r="G112" s="46" t="n">
        <f aca="false">IF(ISNUMBER(F112),F112-E112,"n/a")</f>
        <v>0</v>
      </c>
      <c r="H112" s="47" t="n">
        <v>0.050000001</v>
      </c>
      <c r="I112" s="48" t="str">
        <f aca="false">IF(ISNUMBER(F112),IF(ABS(F112-E112)&lt;=H112,"PASS","FAIL"),"FAIL")</f>
        <v>PASS</v>
      </c>
      <c r="J112" s="48" t="str">
        <f aca="false">IF(ISNUMBER(F112),IF(ROUND(F112,1)=ROUND(E112,1),"same","differs"),"n/a")</f>
        <v>same</v>
      </c>
    </row>
    <row r="113" customFormat="false" ht="15" hidden="false" customHeight="false" outlineLevel="0" collapsed="false">
      <c r="B113" s="39" t="n">
        <v>106</v>
      </c>
      <c r="C113" s="8" t="s">
        <v>522</v>
      </c>
      <c r="D113" s="8" t="s">
        <v>560</v>
      </c>
      <c r="E113" s="51" t="n">
        <v>8.3</v>
      </c>
      <c r="F113" s="52" t="n">
        <f aca="false">Exchange!$F$49</f>
        <v>8.31683168316832</v>
      </c>
      <c r="G113" s="46" t="n">
        <f aca="false">IF(ISNUMBER(F113),F113-E113,"n/a")</f>
        <v>0.0168316831683164</v>
      </c>
      <c r="H113" s="47" t="n">
        <v>0.050000001</v>
      </c>
      <c r="I113" s="48" t="str">
        <f aca="false">IF(ISNUMBER(F113),IF(ABS(F113-E113)&lt;=H113,"PASS","FAIL"),"FAIL")</f>
        <v>PASS</v>
      </c>
      <c r="J113" s="48" t="str">
        <f aca="false">IF(ISNUMBER(F113),IF(ROUND(F113,1)=ROUND(E113,1),"same","differs"),"n/a")</f>
        <v>same</v>
      </c>
    </row>
    <row r="114" customFormat="false" ht="15" hidden="false" customHeight="false" outlineLevel="0" collapsed="false">
      <c r="B114" s="39" t="n">
        <v>107</v>
      </c>
      <c r="C114" s="8" t="s">
        <v>522</v>
      </c>
      <c r="D114" s="8" t="s">
        <v>561</v>
      </c>
      <c r="E114" s="51" t="n">
        <v>0</v>
      </c>
      <c r="F114" s="52" t="n">
        <f aca="false">Exchange!$F$50</f>
        <v>0</v>
      </c>
      <c r="G114" s="46" t="n">
        <f aca="false">IF(ISNUMBER(F114),F114-E114,"n/a")</f>
        <v>0</v>
      </c>
      <c r="H114" s="47" t="n">
        <v>0.050000001</v>
      </c>
      <c r="I114" s="48" t="str">
        <f aca="false">IF(ISNUMBER(F114),IF(ABS(F114-E114)&lt;=H114,"PASS","FAIL"),"FAIL")</f>
        <v>PASS</v>
      </c>
      <c r="J114" s="48" t="str">
        <f aca="false">IF(ISNUMBER(F114),IF(ROUND(F114,1)=ROUND(E114,1),"same","differs"),"n/a")</f>
        <v>same</v>
      </c>
    </row>
    <row r="115" customFormat="false" ht="15" hidden="false" customHeight="false" outlineLevel="0" collapsed="false">
      <c r="B115" s="39" t="n">
        <v>108</v>
      </c>
      <c r="C115" s="8" t="s">
        <v>522</v>
      </c>
      <c r="D115" s="8" t="s">
        <v>562</v>
      </c>
      <c r="E115" s="12" t="n">
        <v>0.277</v>
      </c>
      <c r="F115" s="50" t="n">
        <f aca="false">Exchange!$G$41</f>
        <v>0.277227722772277</v>
      </c>
      <c r="G115" s="46" t="n">
        <f aca="false">IF(ISNUMBER(F115),F115-E115,"n/a")</f>
        <v>0.000227722772277228</v>
      </c>
      <c r="H115" s="47" t="n">
        <v>0.000500001</v>
      </c>
      <c r="I115" s="48" t="str">
        <f aca="false">IF(ISNUMBER(F115),IF(ABS(F115-E115)&lt;=H115,"PASS","FAIL"),"FAIL")</f>
        <v>PASS</v>
      </c>
      <c r="J115" s="48" t="str">
        <f aca="false">IF(ISNUMBER(F115),IF(ROUND(F115,3)=ROUND(E115,3),"same","differs"),"n/a")</f>
        <v>same</v>
      </c>
    </row>
    <row r="116" customFormat="false" ht="15" hidden="false" customHeight="false" outlineLevel="0" collapsed="false">
      <c r="B116" s="39" t="n">
        <v>109</v>
      </c>
      <c r="C116" s="8" t="s">
        <v>522</v>
      </c>
      <c r="D116" s="8" t="s">
        <v>563</v>
      </c>
      <c r="E116" s="12" t="n">
        <v>0.412</v>
      </c>
      <c r="F116" s="50" t="n">
        <f aca="false">Exchange!$G$42</f>
        <v>0.411764705882353</v>
      </c>
      <c r="G116" s="46" t="n">
        <f aca="false">IF(ISNUMBER(F116),F116-E116,"n/a")</f>
        <v>-0.000235294117647056</v>
      </c>
      <c r="H116" s="47" t="n">
        <v>0.000500001</v>
      </c>
      <c r="I116" s="48" t="str">
        <f aca="false">IF(ISNUMBER(F116),IF(ABS(F116-E116)&lt;=H116,"PASS","FAIL"),"FAIL")</f>
        <v>PASS</v>
      </c>
      <c r="J116" s="48" t="str">
        <f aca="false">IF(ISNUMBER(F116),IF(ROUND(F116,3)=ROUND(E116,3),"same","differs"),"n/a")</f>
        <v>same</v>
      </c>
    </row>
    <row r="117" customFormat="false" ht="15" hidden="false" customHeight="false" outlineLevel="0" collapsed="false">
      <c r="B117" s="39" t="n">
        <v>110</v>
      </c>
      <c r="C117" s="8" t="s">
        <v>522</v>
      </c>
      <c r="D117" s="8" t="s">
        <v>564</v>
      </c>
      <c r="E117" s="12" t="n">
        <v>0</v>
      </c>
      <c r="F117" s="50" t="n">
        <f aca="false">Exchange!$G$43</f>
        <v>0</v>
      </c>
      <c r="G117" s="46" t="n">
        <f aca="false">IF(ISNUMBER(F117),F117-E117,"n/a")</f>
        <v>0</v>
      </c>
      <c r="H117" s="47" t="n">
        <v>0.000500001</v>
      </c>
      <c r="I117" s="48" t="str">
        <f aca="false">IF(ISNUMBER(F117),IF(ABS(F117-E117)&lt;=H117,"PASS","FAIL"),"FAIL")</f>
        <v>PASS</v>
      </c>
      <c r="J117" s="48" t="str">
        <f aca="false">IF(ISNUMBER(F117),IF(ROUND(F117,3)=ROUND(E117,3),"same","differs"),"n/a")</f>
        <v>same</v>
      </c>
    </row>
    <row r="118" customFormat="false" ht="15" hidden="false" customHeight="false" outlineLevel="0" collapsed="false">
      <c r="B118" s="39" t="n">
        <v>111</v>
      </c>
      <c r="C118" s="8" t="s">
        <v>522</v>
      </c>
      <c r="D118" s="8" t="s">
        <v>489</v>
      </c>
      <c r="E118" s="12" t="n">
        <v>0</v>
      </c>
      <c r="F118" s="50" t="n">
        <f aca="false">Exchange!$G$44</f>
        <v>0</v>
      </c>
      <c r="G118" s="46" t="n">
        <f aca="false">IF(ISNUMBER(F118),F118-E118,"n/a")</f>
        <v>0</v>
      </c>
      <c r="H118" s="47" t="n">
        <v>0.000500001</v>
      </c>
      <c r="I118" s="48" t="str">
        <f aca="false">IF(ISNUMBER(F118),IF(ABS(F118-E118)&lt;=H118,"PASS","FAIL"),"FAIL")</f>
        <v>PASS</v>
      </c>
      <c r="J118" s="48" t="str">
        <f aca="false">IF(ISNUMBER(F118),IF(ROUND(F118,3)=ROUND(E118,3),"same","differs"),"n/a")</f>
        <v>same</v>
      </c>
    </row>
    <row r="119" customFormat="false" ht="15" hidden="false" customHeight="false" outlineLevel="0" collapsed="false">
      <c r="B119" s="39" t="n">
        <v>112</v>
      </c>
      <c r="C119" s="8" t="s">
        <v>522</v>
      </c>
      <c r="D119" s="8" t="s">
        <v>565</v>
      </c>
      <c r="E119" s="51" t="n">
        <v>110.9</v>
      </c>
      <c r="F119" s="52" t="n">
        <f aca="false">Exchange!$G$47</f>
        <v>110.891089108911</v>
      </c>
      <c r="G119" s="46" t="n">
        <f aca="false">IF(ISNUMBER(F119),F119-E119,"n/a")</f>
        <v>-0.00891089108911558</v>
      </c>
      <c r="H119" s="47" t="n">
        <v>0.050000001</v>
      </c>
      <c r="I119" s="48" t="str">
        <f aca="false">IF(ISNUMBER(F119),IF(ABS(F119-E119)&lt;=H119,"PASS","FAIL"),"FAIL")</f>
        <v>PASS</v>
      </c>
      <c r="J119" s="48" t="str">
        <f aca="false">IF(ISNUMBER(F119),IF(ROUND(F119,1)=ROUND(E119,1),"same","differs"),"n/a")</f>
        <v>same</v>
      </c>
    </row>
    <row r="120" customFormat="false" ht="15" hidden="false" customHeight="false" outlineLevel="0" collapsed="false">
      <c r="B120" s="39" t="n">
        <v>113</v>
      </c>
      <c r="C120" s="8" t="s">
        <v>522</v>
      </c>
      <c r="D120" s="8" t="s">
        <v>566</v>
      </c>
      <c r="E120" s="51" t="n">
        <v>140</v>
      </c>
      <c r="F120" s="52" t="n">
        <f aca="false">Exchange!$G$48</f>
        <v>140</v>
      </c>
      <c r="G120" s="46" t="n">
        <f aca="false">IF(ISNUMBER(F120),F120-E120,"n/a")</f>
        <v>0</v>
      </c>
      <c r="H120" s="47" t="n">
        <v>0.050000001</v>
      </c>
      <c r="I120" s="48" t="str">
        <f aca="false">IF(ISNUMBER(F120),IF(ABS(F120-E120)&lt;=H120,"PASS","FAIL"),"FAIL")</f>
        <v>PASS</v>
      </c>
      <c r="J120" s="48" t="str">
        <f aca="false">IF(ISNUMBER(F120),IF(ROUND(F120,1)=ROUND(E120,1),"same","differs"),"n/a")</f>
        <v>same</v>
      </c>
    </row>
    <row r="121" customFormat="false" ht="15" hidden="false" customHeight="false" outlineLevel="0" collapsed="false">
      <c r="B121" s="39" t="n">
        <v>114</v>
      </c>
      <c r="C121" s="8" t="s">
        <v>522</v>
      </c>
      <c r="D121" s="8" t="s">
        <v>567</v>
      </c>
      <c r="E121" s="51" t="n">
        <v>29.1</v>
      </c>
      <c r="F121" s="52" t="n">
        <f aca="false">Exchange!$G$49</f>
        <v>29.1089108910891</v>
      </c>
      <c r="G121" s="46" t="n">
        <f aca="false">IF(ISNUMBER(F121),F121-E121,"n/a")</f>
        <v>0.00891089108910848</v>
      </c>
      <c r="H121" s="47" t="n">
        <v>0.050000001</v>
      </c>
      <c r="I121" s="48" t="str">
        <f aca="false">IF(ISNUMBER(F121),IF(ABS(F121-E121)&lt;=H121,"PASS","FAIL"),"FAIL")</f>
        <v>PASS</v>
      </c>
      <c r="J121" s="48" t="str">
        <f aca="false">IF(ISNUMBER(F121),IF(ROUND(F121,1)=ROUND(E121,1),"same","differs"),"n/a")</f>
        <v>same</v>
      </c>
    </row>
    <row r="122" customFormat="false" ht="15" hidden="false" customHeight="false" outlineLevel="0" collapsed="false">
      <c r="B122" s="39" t="n">
        <v>115</v>
      </c>
      <c r="C122" s="8" t="s">
        <v>522</v>
      </c>
      <c r="D122" s="8" t="s">
        <v>568</v>
      </c>
      <c r="E122" s="51" t="n">
        <v>0</v>
      </c>
      <c r="F122" s="52" t="n">
        <f aca="false">Exchange!$G$50</f>
        <v>0</v>
      </c>
      <c r="G122" s="46" t="n">
        <f aca="false">IF(ISNUMBER(F122),F122-E122,"n/a")</f>
        <v>0</v>
      </c>
      <c r="H122" s="47" t="n">
        <v>0.050000001</v>
      </c>
      <c r="I122" s="48" t="str">
        <f aca="false">IF(ISNUMBER(F122),IF(ABS(F122-E122)&lt;=H122,"PASS","FAIL"),"FAIL")</f>
        <v>PASS</v>
      </c>
      <c r="J122" s="48" t="str">
        <f aca="false">IF(ISNUMBER(F122),IF(ROUND(F122,1)=ROUND(E122,1),"same","differs"),"n/a")</f>
        <v>same</v>
      </c>
    </row>
    <row r="123" customFormat="false" ht="15" hidden="false" customHeight="false" outlineLevel="0" collapsed="false">
      <c r="B123" s="39" t="n">
        <v>116</v>
      </c>
      <c r="C123" s="8" t="s">
        <v>522</v>
      </c>
      <c r="D123" s="8" t="s">
        <v>569</v>
      </c>
      <c r="E123" s="12" t="n">
        <v>0.475</v>
      </c>
      <c r="F123" s="50" t="n">
        <f aca="false">Exchange!$H$41</f>
        <v>0.475247524752475</v>
      </c>
      <c r="G123" s="46" t="n">
        <f aca="false">IF(ISNUMBER(F123),F123-E123,"n/a")</f>
        <v>0.000247524752475248</v>
      </c>
      <c r="H123" s="47" t="n">
        <v>0.000500001</v>
      </c>
      <c r="I123" s="48" t="str">
        <f aca="false">IF(ISNUMBER(F123),IF(ABS(F123-E123)&lt;=H123,"PASS","FAIL"),"FAIL")</f>
        <v>PASS</v>
      </c>
      <c r="J123" s="48" t="str">
        <f aca="false">IF(ISNUMBER(F123),IF(ROUND(F123,3)=ROUND(E123,3),"same","differs"),"n/a")</f>
        <v>same</v>
      </c>
    </row>
    <row r="124" customFormat="false" ht="15" hidden="false" customHeight="false" outlineLevel="0" collapsed="false">
      <c r="B124" s="39" t="n">
        <v>117</v>
      </c>
      <c r="C124" s="8" t="s">
        <v>522</v>
      </c>
      <c r="D124" s="8" t="s">
        <v>570</v>
      </c>
      <c r="E124" s="12" t="n">
        <v>0.7</v>
      </c>
      <c r="F124" s="50" t="n">
        <f aca="false">Exchange!$H$42</f>
        <v>0.7</v>
      </c>
      <c r="G124" s="46" t="n">
        <f aca="false">IF(ISNUMBER(F124),F124-E124,"n/a")</f>
        <v>0</v>
      </c>
      <c r="H124" s="47" t="n">
        <v>0.000500001</v>
      </c>
      <c r="I124" s="48" t="str">
        <f aca="false">IF(ISNUMBER(F124),IF(ABS(F124-E124)&lt;=H124,"PASS","FAIL"),"FAIL")</f>
        <v>PASS</v>
      </c>
      <c r="J124" s="48" t="str">
        <f aca="false">IF(ISNUMBER(F124),IF(ROUND(F124,3)=ROUND(E124,3),"same","differs"),"n/a")</f>
        <v>same</v>
      </c>
    </row>
    <row r="125" customFormat="false" ht="15" hidden="false" customHeight="false" outlineLevel="0" collapsed="false">
      <c r="B125" s="39" t="n">
        <v>118</v>
      </c>
      <c r="C125" s="8" t="s">
        <v>522</v>
      </c>
      <c r="D125" s="8" t="s">
        <v>571</v>
      </c>
      <c r="E125" s="12" t="n">
        <v>0.012</v>
      </c>
      <c r="F125" s="50" t="n">
        <f aca="false">Exchange!$H$43</f>
        <v>0.0121212121212123</v>
      </c>
      <c r="G125" s="46" t="n">
        <f aca="false">IF(ISNUMBER(F125),F125-E125,"n/a")</f>
        <v>0.000121212121212293</v>
      </c>
      <c r="H125" s="47" t="n">
        <v>0.000500001</v>
      </c>
      <c r="I125" s="48" t="str">
        <f aca="false">IF(ISNUMBER(F125),IF(ABS(F125-E125)&lt;=H125,"PASS","FAIL"),"FAIL")</f>
        <v>PASS</v>
      </c>
      <c r="J125" s="48" t="str">
        <f aca="false">IF(ISNUMBER(F125),IF(ROUND(F125,3)=ROUND(E125,3),"same","differs"),"n/a")</f>
        <v>same</v>
      </c>
    </row>
    <row r="126" customFormat="false" ht="15" hidden="false" customHeight="false" outlineLevel="0" collapsed="false">
      <c r="B126" s="39" t="n">
        <v>119</v>
      </c>
      <c r="C126" s="8" t="s">
        <v>522</v>
      </c>
      <c r="D126" s="8" t="s">
        <v>493</v>
      </c>
      <c r="E126" s="12" t="n">
        <v>0.012</v>
      </c>
      <c r="F126" s="50" t="n">
        <f aca="false">Exchange!$H$44</f>
        <v>0.0121212121212123</v>
      </c>
      <c r="G126" s="46" t="n">
        <f aca="false">IF(ISNUMBER(F126),F126-E126,"n/a")</f>
        <v>0.000121212121212294</v>
      </c>
      <c r="H126" s="47" t="n">
        <v>0.000500001</v>
      </c>
      <c r="I126" s="48" t="str">
        <f aca="false">IF(ISNUMBER(F126),IF(ABS(F126-E126)&lt;=H126,"PASS","FAIL"),"FAIL")</f>
        <v>PASS</v>
      </c>
      <c r="J126" s="48" t="str">
        <f aca="false">IF(ISNUMBER(F126),IF(ROUND(F126,3)=ROUND(E126,3),"same","differs"),"n/a")</f>
        <v>same</v>
      </c>
    </row>
    <row r="127" customFormat="false" ht="15" hidden="false" customHeight="false" outlineLevel="0" collapsed="false">
      <c r="B127" s="39" t="n">
        <v>120</v>
      </c>
      <c r="C127" s="8" t="s">
        <v>522</v>
      </c>
      <c r="D127" s="8" t="s">
        <v>572</v>
      </c>
      <c r="E127" s="51" t="n">
        <v>190.1</v>
      </c>
      <c r="F127" s="52" t="n">
        <f aca="false">Exchange!$H$47</f>
        <v>190.09900990099</v>
      </c>
      <c r="G127" s="46" t="n">
        <f aca="false">IF(ISNUMBER(F127),F127-E127,"n/a")</f>
        <v>-0.000990099009896994</v>
      </c>
      <c r="H127" s="47" t="n">
        <v>0.050000001</v>
      </c>
      <c r="I127" s="48" t="str">
        <f aca="false">IF(ISNUMBER(F127),IF(ABS(F127-E127)&lt;=H127,"PASS","FAIL"),"FAIL")</f>
        <v>PASS</v>
      </c>
      <c r="J127" s="48" t="str">
        <f aca="false">IF(ISNUMBER(F127),IF(ROUND(F127,1)=ROUND(E127,1),"same","differs"),"n/a")</f>
        <v>same</v>
      </c>
    </row>
    <row r="128" customFormat="false" ht="15" hidden="false" customHeight="false" outlineLevel="0" collapsed="false">
      <c r="B128" s="39" t="n">
        <v>121</v>
      </c>
      <c r="C128" s="8" t="s">
        <v>522</v>
      </c>
      <c r="D128" s="8" t="s">
        <v>573</v>
      </c>
      <c r="E128" s="51" t="n">
        <v>238.7</v>
      </c>
      <c r="F128" s="52" t="n">
        <f aca="false">Exchange!$H$48</f>
        <v>238.727272727273</v>
      </c>
      <c r="G128" s="46" t="n">
        <f aca="false">IF(ISNUMBER(F128),F128-E128,"n/a")</f>
        <v>0.0272727272727309</v>
      </c>
      <c r="H128" s="47" t="n">
        <v>0.050000001</v>
      </c>
      <c r="I128" s="48" t="str">
        <f aca="false">IF(ISNUMBER(F128),IF(ABS(F128-E128)&lt;=H128,"PASS","FAIL"),"FAIL")</f>
        <v>PASS</v>
      </c>
      <c r="J128" s="48" t="str">
        <f aca="false">IF(ISNUMBER(F128),IF(ROUND(F128,1)=ROUND(E128,1),"same","differs"),"n/a")</f>
        <v>same</v>
      </c>
    </row>
    <row r="129" customFormat="false" ht="15" hidden="false" customHeight="false" outlineLevel="0" collapsed="false">
      <c r="B129" s="39" t="n">
        <v>122</v>
      </c>
      <c r="C129" s="8" t="s">
        <v>522</v>
      </c>
      <c r="D129" s="8" t="s">
        <v>574</v>
      </c>
      <c r="E129" s="51" t="n">
        <v>49.9</v>
      </c>
      <c r="F129" s="52" t="n">
        <f aca="false">Exchange!$H$49</f>
        <v>49.9009900990099</v>
      </c>
      <c r="G129" s="46" t="n">
        <f aca="false">IF(ISNUMBER(F129),F129-E129,"n/a")</f>
        <v>0.0009900990099041</v>
      </c>
      <c r="H129" s="47" t="n">
        <v>0.050000001</v>
      </c>
      <c r="I129" s="48" t="str">
        <f aca="false">IF(ISNUMBER(F129),IF(ABS(F129-E129)&lt;=H129,"PASS","FAIL"),"FAIL")</f>
        <v>PASS</v>
      </c>
      <c r="J129" s="48" t="str">
        <f aca="false">IF(ISNUMBER(F129),IF(ROUND(F129,1)=ROUND(E129,1),"same","differs"),"n/a")</f>
        <v>same</v>
      </c>
    </row>
    <row r="130" customFormat="false" ht="15" hidden="false" customHeight="false" outlineLevel="0" collapsed="false">
      <c r="B130" s="39" t="n">
        <v>123</v>
      </c>
      <c r="C130" s="8" t="s">
        <v>522</v>
      </c>
      <c r="D130" s="8" t="s">
        <v>575</v>
      </c>
      <c r="E130" s="51" t="n">
        <v>1.3</v>
      </c>
      <c r="F130" s="52" t="n">
        <f aca="false">Exchange!$H$50</f>
        <v>1.27272727272729</v>
      </c>
      <c r="G130" s="46" t="n">
        <f aca="false">IF(ISNUMBER(F130),F130-E130,"n/a")</f>
        <v>-0.0272727272727091</v>
      </c>
      <c r="H130" s="47" t="n">
        <v>0.050000001</v>
      </c>
      <c r="I130" s="48" t="str">
        <f aca="false">IF(ISNUMBER(F130),IF(ABS(F130-E130)&lt;=H130,"PASS","FAIL"),"FAIL")</f>
        <v>PASS</v>
      </c>
      <c r="J130" s="48" t="str">
        <f aca="false">IF(ISNUMBER(F130),IF(ROUND(F130,1)=ROUND(E130,1),"same","differs"),"n/a")</f>
        <v>same</v>
      </c>
    </row>
    <row r="131" customFormat="false" ht="15" hidden="false" customHeight="false" outlineLevel="0" collapsed="false">
      <c r="B131" s="39" t="n">
        <v>124</v>
      </c>
      <c r="C131" s="8" t="s">
        <v>522</v>
      </c>
      <c r="D131" s="8" t="s">
        <v>576</v>
      </c>
      <c r="E131" s="12" t="n">
        <v>0.673</v>
      </c>
      <c r="F131" s="50" t="n">
        <f aca="false">Exchange!$I$41</f>
        <v>0.673267326732673</v>
      </c>
      <c r="G131" s="46" t="n">
        <f aca="false">IF(ISNUMBER(F131),F131-E131,"n/a")</f>
        <v>0.000267326732673379</v>
      </c>
      <c r="H131" s="47" t="n">
        <v>0.000500001</v>
      </c>
      <c r="I131" s="48" t="str">
        <f aca="false">IF(ISNUMBER(F131),IF(ABS(F131-E131)&lt;=H131,"PASS","FAIL"),"FAIL")</f>
        <v>PASS</v>
      </c>
      <c r="J131" s="48" t="str">
        <f aca="false">IF(ISNUMBER(F131),IF(ROUND(F131,3)=ROUND(E131,3),"same","differs"),"n/a")</f>
        <v>same</v>
      </c>
    </row>
    <row r="132" customFormat="false" ht="15" hidden="false" customHeight="false" outlineLevel="0" collapsed="false">
      <c r="B132" s="39" t="n">
        <v>125</v>
      </c>
      <c r="C132" s="8" t="s">
        <v>522</v>
      </c>
      <c r="D132" s="8" t="s">
        <v>577</v>
      </c>
      <c r="E132" s="12" t="n">
        <v>0.7</v>
      </c>
      <c r="F132" s="50" t="n">
        <f aca="false">Exchange!$I$42</f>
        <v>0.7</v>
      </c>
      <c r="G132" s="46" t="n">
        <f aca="false">IF(ISNUMBER(F132),F132-E132,"n/a")</f>
        <v>0</v>
      </c>
      <c r="H132" s="47" t="n">
        <v>0.000500001</v>
      </c>
      <c r="I132" s="48" t="str">
        <f aca="false">IF(ISNUMBER(F132),IF(ABS(F132-E132)&lt;=H132,"PASS","FAIL"),"FAIL")</f>
        <v>PASS</v>
      </c>
      <c r="J132" s="48" t="str">
        <f aca="false">IF(ISNUMBER(F132),IF(ROUND(F132,3)=ROUND(E132,3),"same","differs"),"n/a")</f>
        <v>same</v>
      </c>
    </row>
    <row r="133" customFormat="false" ht="15" hidden="false" customHeight="false" outlineLevel="0" collapsed="false">
      <c r="B133" s="39" t="n">
        <v>126</v>
      </c>
      <c r="C133" s="8" t="s">
        <v>522</v>
      </c>
      <c r="D133" s="8" t="s">
        <v>578</v>
      </c>
      <c r="E133" s="12" t="n">
        <v>0.618</v>
      </c>
      <c r="F133" s="50" t="n">
        <f aca="false">Exchange!$I$43</f>
        <v>0.618181818181818</v>
      </c>
      <c r="G133" s="46" t="n">
        <f aca="false">IF(ISNUMBER(F133),F133-E133,"n/a")</f>
        <v>0.000181818181818394</v>
      </c>
      <c r="H133" s="47" t="n">
        <v>0.000500001</v>
      </c>
      <c r="I133" s="48" t="str">
        <f aca="false">IF(ISNUMBER(F133),IF(ABS(F133-E133)&lt;=H133,"PASS","FAIL"),"FAIL")</f>
        <v>PASS</v>
      </c>
      <c r="J133" s="48" t="str">
        <f aca="false">IF(ISNUMBER(F133),IF(ROUND(F133,3)=ROUND(E133,3),"same","differs"),"n/a")</f>
        <v>same</v>
      </c>
    </row>
    <row r="134" customFormat="false" ht="15" hidden="false" customHeight="false" outlineLevel="0" collapsed="false">
      <c r="B134" s="39" t="n">
        <v>127</v>
      </c>
      <c r="C134" s="8" t="s">
        <v>522</v>
      </c>
      <c r="D134" s="8" t="s">
        <v>497</v>
      </c>
      <c r="E134" s="12" t="n">
        <v>0.618</v>
      </c>
      <c r="F134" s="50" t="n">
        <f aca="false">Exchange!$I$44</f>
        <v>0.618181818181818</v>
      </c>
      <c r="G134" s="46" t="n">
        <f aca="false">IF(ISNUMBER(F134),F134-E134,"n/a")</f>
        <v>0.000181818181818394</v>
      </c>
      <c r="H134" s="47" t="n">
        <v>0.000500001</v>
      </c>
      <c r="I134" s="48" t="str">
        <f aca="false">IF(ISNUMBER(F134),IF(ABS(F134-E134)&lt;=H134,"PASS","FAIL"),"FAIL")</f>
        <v>PASS</v>
      </c>
      <c r="J134" s="48" t="str">
        <f aca="false">IF(ISNUMBER(F134),IF(ROUND(F134,3)=ROUND(E134,3),"same","differs"),"n/a")</f>
        <v>same</v>
      </c>
    </row>
    <row r="135" customFormat="false" ht="15" hidden="false" customHeight="false" outlineLevel="0" collapsed="false">
      <c r="B135" s="39" t="n">
        <v>128</v>
      </c>
      <c r="C135" s="8" t="s">
        <v>522</v>
      </c>
      <c r="D135" s="8" t="s">
        <v>579</v>
      </c>
      <c r="E135" s="51" t="n">
        <v>269.3</v>
      </c>
      <c r="F135" s="52" t="n">
        <f aca="false">Exchange!$I$47</f>
        <v>269.306930693069</v>
      </c>
      <c r="G135" s="46" t="n">
        <f aca="false">IF(ISNUMBER(F135),F135-E135,"n/a")</f>
        <v>0.00693069306930738</v>
      </c>
      <c r="H135" s="47" t="n">
        <v>0.050000001</v>
      </c>
      <c r="I135" s="48" t="str">
        <f aca="false">IF(ISNUMBER(F135),IF(ABS(F135-E135)&lt;=H135,"PASS","FAIL"),"FAIL")</f>
        <v>PASS</v>
      </c>
      <c r="J135" s="48" t="str">
        <f aca="false">IF(ISNUMBER(F135),IF(ROUND(F135,1)=ROUND(E135,1),"same","differs"),"n/a")</f>
        <v>same</v>
      </c>
    </row>
    <row r="136" customFormat="false" ht="15" hidden="false" customHeight="false" outlineLevel="0" collapsed="false">
      <c r="B136" s="39" t="n">
        <v>129</v>
      </c>
      <c r="C136" s="8" t="s">
        <v>522</v>
      </c>
      <c r="D136" s="8" t="s">
        <v>580</v>
      </c>
      <c r="E136" s="51" t="n">
        <v>275.1</v>
      </c>
      <c r="F136" s="52" t="n">
        <f aca="false">Exchange!$I$48</f>
        <v>275.090909090909</v>
      </c>
      <c r="G136" s="46" t="n">
        <f aca="false">IF(ISNUMBER(F136),F136-E136,"n/a")</f>
        <v>-0.00909090909095767</v>
      </c>
      <c r="H136" s="47" t="n">
        <v>0.050000001</v>
      </c>
      <c r="I136" s="48" t="str">
        <f aca="false">IF(ISNUMBER(F136),IF(ABS(F136-E136)&lt;=H136,"PASS","FAIL"),"FAIL")</f>
        <v>PASS</v>
      </c>
      <c r="J136" s="48" t="str">
        <f aca="false">IF(ISNUMBER(F136),IF(ROUND(F136,1)=ROUND(E136,1),"same","differs"),"n/a")</f>
        <v>same</v>
      </c>
    </row>
    <row r="137" customFormat="false" ht="15" hidden="false" customHeight="false" outlineLevel="0" collapsed="false">
      <c r="B137" s="39" t="n">
        <v>130</v>
      </c>
      <c r="C137" s="8" t="s">
        <v>522</v>
      </c>
      <c r="D137" s="8" t="s">
        <v>581</v>
      </c>
      <c r="E137" s="51" t="n">
        <v>70.7</v>
      </c>
      <c r="F137" s="52" t="n">
        <f aca="false">Exchange!$I$49</f>
        <v>70.6930693069307</v>
      </c>
      <c r="G137" s="46" t="n">
        <f aca="false">IF(ISNUMBER(F137),F137-E137,"n/a")</f>
        <v>-0.00693069306930738</v>
      </c>
      <c r="H137" s="47" t="n">
        <v>0.050000001</v>
      </c>
      <c r="I137" s="48" t="str">
        <f aca="false">IF(ISNUMBER(F137),IF(ABS(F137-E137)&lt;=H137,"PASS","FAIL"),"FAIL")</f>
        <v>PASS</v>
      </c>
      <c r="J137" s="48" t="str">
        <f aca="false">IF(ISNUMBER(F137),IF(ROUND(F137,1)=ROUND(E137,1),"same","differs"),"n/a")</f>
        <v>same</v>
      </c>
    </row>
    <row r="138" customFormat="false" ht="15" hidden="false" customHeight="false" outlineLevel="0" collapsed="false">
      <c r="B138" s="39" t="n">
        <v>131</v>
      </c>
      <c r="C138" s="8" t="s">
        <v>522</v>
      </c>
      <c r="D138" s="8" t="s">
        <v>582</v>
      </c>
      <c r="E138" s="51" t="n">
        <v>64.9</v>
      </c>
      <c r="F138" s="52" t="n">
        <f aca="false">Exchange!$I$50</f>
        <v>64.9090909090909</v>
      </c>
      <c r="G138" s="46" t="n">
        <f aca="false">IF(ISNUMBER(F138),F138-E138,"n/a")</f>
        <v>0.00909090909092924</v>
      </c>
      <c r="H138" s="47" t="n">
        <v>0.050000001</v>
      </c>
      <c r="I138" s="48" t="str">
        <f aca="false">IF(ISNUMBER(F138),IF(ABS(F138-E138)&lt;=H138,"PASS","FAIL"),"FAIL")</f>
        <v>PASS</v>
      </c>
      <c r="J138" s="48" t="str">
        <f aca="false">IF(ISNUMBER(F138),IF(ROUND(F138,1)=ROUND(E138,1),"same","differs"),"n/a")</f>
        <v>same</v>
      </c>
    </row>
    <row r="139" customFormat="false" ht="15" hidden="false" customHeight="false" outlineLevel="0" collapsed="false">
      <c r="B139" s="39" t="n">
        <v>132</v>
      </c>
      <c r="C139" s="8" t="s">
        <v>583</v>
      </c>
      <c r="D139" s="8" t="s">
        <v>584</v>
      </c>
      <c r="E139" s="44" t="n">
        <v>1050</v>
      </c>
      <c r="F139" s="45" t="n">
        <f aca="false">Uptier!$C$7</f>
        <v>1050</v>
      </c>
      <c r="G139" s="46" t="n">
        <f aca="false">IF(ISNUMBER(F139),F139-E139,"n/a")</f>
        <v>0</v>
      </c>
      <c r="H139" s="47" t="n">
        <v>0.500000001</v>
      </c>
      <c r="I139" s="48" t="str">
        <f aca="false">IF(ISNUMBER(F139),IF(ABS(F139-E139)&lt;=H139,"PASS","FAIL"),"FAIL")</f>
        <v>PASS</v>
      </c>
      <c r="J139" s="48" t="str">
        <f aca="false">IF(ISNUMBER(F139),IF(ROUND(F139,0)=ROUND(E139,0),"same","differs"),"n/a")</f>
        <v>same</v>
      </c>
    </row>
    <row r="140" customFormat="false" ht="15" hidden="false" customHeight="false" outlineLevel="0" collapsed="false">
      <c r="B140" s="39" t="n">
        <v>133</v>
      </c>
      <c r="C140" s="8" t="s">
        <v>583</v>
      </c>
      <c r="D140" s="8" t="s">
        <v>585</v>
      </c>
      <c r="E140" s="44" t="n">
        <v>525</v>
      </c>
      <c r="F140" s="45" t="n">
        <f aca="false">Uptier!$C$8</f>
        <v>525</v>
      </c>
      <c r="G140" s="46" t="n">
        <f aca="false">IF(ISNUMBER(F140),F140-E140,"n/a")</f>
        <v>0</v>
      </c>
      <c r="H140" s="47" t="n">
        <v>0.500000001</v>
      </c>
      <c r="I140" s="48" t="str">
        <f aca="false">IF(ISNUMBER(F140),IF(ABS(F140-E140)&lt;=H140,"PASS","FAIL"),"FAIL")</f>
        <v>PASS</v>
      </c>
      <c r="J140" s="48" t="str">
        <f aca="false">IF(ISNUMBER(F140),IF(ROUND(F140,0)=ROUND(E140,0),"same","differs"),"n/a")</f>
        <v>same</v>
      </c>
    </row>
    <row r="141" customFormat="false" ht="15" hidden="false" customHeight="false" outlineLevel="0" collapsed="false">
      <c r="B141" s="39" t="n">
        <v>134</v>
      </c>
      <c r="C141" s="8" t="s">
        <v>583</v>
      </c>
      <c r="D141" s="8" t="s">
        <v>586</v>
      </c>
      <c r="E141" s="12" t="n">
        <v>0.571</v>
      </c>
      <c r="F141" s="50" t="n">
        <f aca="false">Uptier!$C$9</f>
        <v>0.571428571428571</v>
      </c>
      <c r="G141" s="46" t="n">
        <f aca="false">IF(ISNUMBER(F141),F141-E141,"n/a")</f>
        <v>0.000428571428571334</v>
      </c>
      <c r="H141" s="47" t="n">
        <v>0.000500001</v>
      </c>
      <c r="I141" s="48" t="str">
        <f aca="false">IF(ISNUMBER(F141),IF(ABS(F141-E141)&lt;=H141,"PASS","FAIL"),"FAIL")</f>
        <v>PASS</v>
      </c>
      <c r="J141" s="48" t="str">
        <f aca="false">IF(ISNUMBER(F141),IF(ROUND(F141,3)=ROUND(E141,3),"same","differs"),"n/a")</f>
        <v>same</v>
      </c>
    </row>
    <row r="142" customFormat="false" ht="15" hidden="false" customHeight="false" outlineLevel="0" collapsed="false">
      <c r="B142" s="39" t="n">
        <v>135</v>
      </c>
      <c r="C142" s="8" t="s">
        <v>583</v>
      </c>
      <c r="D142" s="8" t="s">
        <v>587</v>
      </c>
      <c r="E142" s="9" t="n">
        <v>0.108</v>
      </c>
      <c r="F142" s="49" t="n">
        <f aca="false">Uptier!$C$14</f>
        <v>0.108</v>
      </c>
      <c r="G142" s="46" t="n">
        <f aca="false">IF(ISNUMBER(F142),F142-E142,"n/a")</f>
        <v>0</v>
      </c>
      <c r="H142" s="47" t="n">
        <v>5.0001E-005</v>
      </c>
      <c r="I142" s="48" t="str">
        <f aca="false">IF(ISNUMBER(F142),IF(ABS(F142-E142)&lt;=H142,"PASS","FAIL"),"FAIL")</f>
        <v>PASS</v>
      </c>
      <c r="J142" s="48" t="str">
        <f aca="false">IF(ISNUMBER(F142),IF(ROUND(F142,4)=ROUND(E142,4),"same","differs"),"n/a")</f>
        <v>same</v>
      </c>
    </row>
    <row r="143" customFormat="false" ht="15" hidden="false" customHeight="false" outlineLevel="0" collapsed="false">
      <c r="B143" s="39" t="n">
        <v>136</v>
      </c>
      <c r="C143" s="8" t="s">
        <v>583</v>
      </c>
      <c r="D143" s="8" t="s">
        <v>588</v>
      </c>
      <c r="E143" s="44" t="n">
        <v>196</v>
      </c>
      <c r="F143" s="45" t="n">
        <f aca="false">Uptier!$C$15</f>
        <v>196</v>
      </c>
      <c r="G143" s="46" t="n">
        <f aca="false">IF(ISNUMBER(F143),F143-E143,"n/a")</f>
        <v>0</v>
      </c>
      <c r="H143" s="47" t="n">
        <v>0.500000001</v>
      </c>
      <c r="I143" s="48" t="str">
        <f aca="false">IF(ISNUMBER(F143),IF(ABS(F143-E143)&lt;=H143,"PASS","FAIL"),"FAIL")</f>
        <v>PASS</v>
      </c>
      <c r="J143" s="48" t="str">
        <f aca="false">IF(ISNUMBER(F143),IF(ROUND(F143,0)=ROUND(E143,0),"same","differs"),"n/a")</f>
        <v>same</v>
      </c>
    </row>
    <row r="144" customFormat="false" ht="15" hidden="false" customHeight="false" outlineLevel="0" collapsed="false">
      <c r="B144" s="39" t="n">
        <v>137</v>
      </c>
      <c r="C144" s="8" t="s">
        <v>583</v>
      </c>
      <c r="D144" s="8" t="s">
        <v>423</v>
      </c>
      <c r="E144" s="44" t="n">
        <v>570</v>
      </c>
      <c r="F144" s="45" t="n">
        <f aca="false">Uptier!$C$16</f>
        <v>570</v>
      </c>
      <c r="G144" s="46" t="n">
        <f aca="false">IF(ISNUMBER(F144),F144-E144,"n/a")</f>
        <v>0</v>
      </c>
      <c r="H144" s="47" t="n">
        <v>0.500000001</v>
      </c>
      <c r="I144" s="48" t="str">
        <f aca="false">IF(ISNUMBER(F144),IF(ABS(F144-E144)&lt;=H144,"PASS","FAIL"),"FAIL")</f>
        <v>PASS</v>
      </c>
      <c r="J144" s="48" t="str">
        <f aca="false">IF(ISNUMBER(F144),IF(ROUND(F144,0)=ROUND(E144,0),"same","differs"),"n/a")</f>
        <v>same</v>
      </c>
    </row>
    <row r="145" customFormat="false" ht="15" hidden="false" customHeight="false" outlineLevel="0" collapsed="false">
      <c r="B145" s="39" t="n">
        <v>138</v>
      </c>
      <c r="C145" s="8" t="s">
        <v>583</v>
      </c>
      <c r="D145" s="8" t="s">
        <v>276</v>
      </c>
      <c r="E145" s="44" t="n">
        <v>300</v>
      </c>
      <c r="F145" s="45" t="n">
        <f aca="false">Uptier!$C$17</f>
        <v>300</v>
      </c>
      <c r="G145" s="46" t="n">
        <f aca="false">IF(ISNUMBER(F145),F145-E145,"n/a")</f>
        <v>0</v>
      </c>
      <c r="H145" s="47" t="n">
        <v>0.500000001</v>
      </c>
      <c r="I145" s="48" t="str">
        <f aca="false">IF(ISNUMBER(F145),IF(ABS(F145-E145)&lt;=H145,"PASS","FAIL"),"FAIL")</f>
        <v>PASS</v>
      </c>
      <c r="J145" s="48" t="str">
        <f aca="false">IF(ISNUMBER(F145),IF(ROUND(F145,0)=ROUND(E145,0),"same","differs"),"n/a")</f>
        <v>same</v>
      </c>
    </row>
    <row r="146" customFormat="false" ht="15" hidden="false" customHeight="false" outlineLevel="0" collapsed="false">
      <c r="B146" s="39" t="n">
        <v>139</v>
      </c>
      <c r="C146" s="8" t="s">
        <v>583</v>
      </c>
      <c r="D146" s="8" t="s">
        <v>589</v>
      </c>
      <c r="E146" s="44" t="n">
        <v>134</v>
      </c>
      <c r="F146" s="45" t="n">
        <f aca="false">Uptier!$C$19</f>
        <v>134</v>
      </c>
      <c r="G146" s="46" t="n">
        <f aca="false">IF(ISNUMBER(F146),F146-E146,"n/a")</f>
        <v>0</v>
      </c>
      <c r="H146" s="47" t="n">
        <v>0.500000001</v>
      </c>
      <c r="I146" s="48" t="str">
        <f aca="false">IF(ISNUMBER(F146),IF(ABS(F146-E146)&lt;=H146,"PASS","FAIL"),"FAIL")</f>
        <v>PASS</v>
      </c>
      <c r="J146" s="48" t="str">
        <f aca="false">IF(ISNUMBER(F146),IF(ROUND(F146,0)=ROUND(E146,0),"same","differs"),"n/a")</f>
        <v>same</v>
      </c>
    </row>
    <row r="147" customFormat="false" ht="15" hidden="false" customHeight="false" outlineLevel="0" collapsed="false">
      <c r="B147" s="39" t="n">
        <v>140</v>
      </c>
      <c r="C147" s="8" t="s">
        <v>583</v>
      </c>
      <c r="D147" s="8" t="s">
        <v>590</v>
      </c>
      <c r="E147" s="44" t="n">
        <v>179</v>
      </c>
      <c r="F147" s="45" t="n">
        <f aca="false">Uptier!$C$20</f>
        <v>179</v>
      </c>
      <c r="G147" s="46" t="n">
        <f aca="false">IF(ISNUMBER(F147),F147-E147,"n/a")</f>
        <v>0</v>
      </c>
      <c r="H147" s="47" t="n">
        <v>0.500000001</v>
      </c>
      <c r="I147" s="48" t="str">
        <f aca="false">IF(ISNUMBER(F147),IF(ABS(F147-E147)&lt;=H147,"PASS","FAIL"),"FAIL")</f>
        <v>PASS</v>
      </c>
      <c r="J147" s="48" t="str">
        <f aca="false">IF(ISNUMBER(F147),IF(ROUND(F147,0)=ROUND(E147,0),"same","differs"),"n/a")</f>
        <v>same</v>
      </c>
    </row>
    <row r="148" customFormat="false" ht="15" hidden="false" customHeight="false" outlineLevel="0" collapsed="false">
      <c r="B148" s="39" t="n">
        <v>141</v>
      </c>
      <c r="C148" s="8" t="s">
        <v>583</v>
      </c>
      <c r="D148" s="8" t="s">
        <v>250</v>
      </c>
      <c r="E148" s="44" t="n">
        <v>154</v>
      </c>
      <c r="F148" s="45" t="n">
        <f aca="false">Uptier!$C$21</f>
        <v>154</v>
      </c>
      <c r="G148" s="46" t="n">
        <f aca="false">IF(ISNUMBER(F148),F148-E148,"n/a")</f>
        <v>0</v>
      </c>
      <c r="H148" s="47" t="n">
        <v>0.500000001</v>
      </c>
      <c r="I148" s="48" t="str">
        <f aca="false">IF(ISNUMBER(F148),IF(ABS(F148-E148)&lt;=H148,"PASS","FAIL"),"FAIL")</f>
        <v>PASS</v>
      </c>
      <c r="J148" s="48" t="str">
        <f aca="false">IF(ISNUMBER(F148),IF(ROUND(F148,0)=ROUND(E148,0),"same","differs"),"n/a")</f>
        <v>same</v>
      </c>
    </row>
    <row r="149" customFormat="false" ht="15" hidden="false" customHeight="false" outlineLevel="0" collapsed="false">
      <c r="B149" s="39" t="n">
        <v>142</v>
      </c>
      <c r="C149" s="8" t="s">
        <v>583</v>
      </c>
      <c r="D149" s="8" t="s">
        <v>251</v>
      </c>
      <c r="E149" s="44" t="n">
        <v>1470</v>
      </c>
      <c r="F149" s="45" t="n">
        <f aca="false">Uptier!$C$22</f>
        <v>1470</v>
      </c>
      <c r="G149" s="46" t="n">
        <f aca="false">IF(ISNUMBER(F149),F149-E149,"n/a")</f>
        <v>0</v>
      </c>
      <c r="H149" s="47" t="n">
        <v>0.500000001</v>
      </c>
      <c r="I149" s="48" t="str">
        <f aca="false">IF(ISNUMBER(F149),IF(ABS(F149-E149)&lt;=H149,"PASS","FAIL"),"FAIL")</f>
        <v>PASS</v>
      </c>
      <c r="J149" s="48" t="str">
        <f aca="false">IF(ISNUMBER(F149),IF(ROUND(F149,0)=ROUND(E149,0),"same","differs"),"n/a")</f>
        <v>same</v>
      </c>
    </row>
    <row r="150" customFormat="false" ht="15" hidden="false" customHeight="false" outlineLevel="0" collapsed="false">
      <c r="B150" s="39" t="n">
        <v>143</v>
      </c>
      <c r="C150" s="8" t="s">
        <v>583</v>
      </c>
      <c r="D150" s="8" t="s">
        <v>252</v>
      </c>
      <c r="E150" s="44" t="n">
        <v>1350</v>
      </c>
      <c r="F150" s="45" t="n">
        <f aca="false">Uptier!$C$23</f>
        <v>1350</v>
      </c>
      <c r="G150" s="46" t="n">
        <f aca="false">IF(ISNUMBER(F150),F150-E150,"n/a")</f>
        <v>0</v>
      </c>
      <c r="H150" s="47" t="n">
        <v>0.500000001</v>
      </c>
      <c r="I150" s="48" t="str">
        <f aca="false">IF(ISNUMBER(F150),IF(ABS(F150-E150)&lt;=H150,"PASS","FAIL"),"FAIL")</f>
        <v>PASS</v>
      </c>
      <c r="J150" s="48" t="str">
        <f aca="false">IF(ISNUMBER(F150),IF(ROUND(F150,0)=ROUND(E150,0),"same","differs"),"n/a")</f>
        <v>same</v>
      </c>
    </row>
    <row r="151" customFormat="false" ht="15" hidden="false" customHeight="false" outlineLevel="0" collapsed="false">
      <c r="B151" s="39" t="n">
        <v>144</v>
      </c>
      <c r="C151" s="8" t="s">
        <v>583</v>
      </c>
      <c r="D151" s="8" t="s">
        <v>591</v>
      </c>
      <c r="E151" s="44" t="n">
        <v>120</v>
      </c>
      <c r="F151" s="45" t="n">
        <f aca="false">Uptier!$C$24</f>
        <v>120</v>
      </c>
      <c r="G151" s="46" t="n">
        <f aca="false">IF(ISNUMBER(F151),F151-E151,"n/a")</f>
        <v>0</v>
      </c>
      <c r="H151" s="47" t="n">
        <v>0.500000001</v>
      </c>
      <c r="I151" s="48" t="str">
        <f aca="false">IF(ISNUMBER(F151),IF(ABS(F151-E151)&lt;=H151,"PASS","FAIL"),"FAIL")</f>
        <v>PASS</v>
      </c>
      <c r="J151" s="48" t="str">
        <f aca="false">IF(ISNUMBER(F151),IF(ROUND(F151,0)=ROUND(E151,0),"same","differs"),"n/a")</f>
        <v>same</v>
      </c>
    </row>
    <row r="152" customFormat="false" ht="15" hidden="false" customHeight="false" outlineLevel="0" collapsed="false">
      <c r="B152" s="39" t="n">
        <v>145</v>
      </c>
      <c r="C152" s="8" t="s">
        <v>583</v>
      </c>
      <c r="D152" s="8" t="s">
        <v>529</v>
      </c>
      <c r="E152" s="53" t="n">
        <v>122.81</v>
      </c>
      <c r="F152" s="54" t="n">
        <f aca="false">Uptier!$C$25</f>
        <v>122.81</v>
      </c>
      <c r="G152" s="46" t="n">
        <f aca="false">IF(ISNUMBER(F152),F152-E152,"n/a")</f>
        <v>0</v>
      </c>
      <c r="H152" s="47" t="n">
        <v>0.005000001</v>
      </c>
      <c r="I152" s="48" t="str">
        <f aca="false">IF(ISNUMBER(F152),IF(ABS(F152-E152)&lt;=H152,"PASS","FAIL"),"FAIL")</f>
        <v>PASS</v>
      </c>
      <c r="J152" s="48" t="str">
        <f aca="false">IF(ISNUMBER(F152),IF(ROUND(F152,2)=ROUND(E152,2),"same","differs"),"n/a")</f>
        <v>same</v>
      </c>
    </row>
    <row r="153" customFormat="false" ht="15" hidden="false" customHeight="false" outlineLevel="0" collapsed="false">
      <c r="B153" s="39" t="n">
        <v>146</v>
      </c>
      <c r="C153" s="8" t="s">
        <v>583</v>
      </c>
      <c r="D153" s="8" t="s">
        <v>526</v>
      </c>
      <c r="E153" s="53" t="n">
        <v>108.1</v>
      </c>
      <c r="F153" s="54" t="n">
        <f aca="false">Uptier!$C$26</f>
        <v>108.1</v>
      </c>
      <c r="G153" s="46" t="n">
        <f aca="false">IF(ISNUMBER(F153),F153-E153,"n/a")</f>
        <v>0</v>
      </c>
      <c r="H153" s="47" t="n">
        <v>0.005000001</v>
      </c>
      <c r="I153" s="48" t="str">
        <f aca="false">IF(ISNUMBER(F153),IF(ABS(F153-E153)&lt;=H153,"PASS","FAIL"),"FAIL")</f>
        <v>PASS</v>
      </c>
      <c r="J153" s="48" t="str">
        <f aca="false">IF(ISNUMBER(F153),IF(ROUND(F153,2)=ROUND(E153,2),"same","differs"),"n/a")</f>
        <v>same</v>
      </c>
    </row>
    <row r="154" customFormat="false" ht="15" hidden="false" customHeight="false" outlineLevel="0" collapsed="false">
      <c r="B154" s="39" t="n">
        <v>147</v>
      </c>
      <c r="C154" s="8" t="s">
        <v>583</v>
      </c>
      <c r="D154" s="8" t="s">
        <v>592</v>
      </c>
      <c r="E154" s="53" t="n">
        <v>14.71</v>
      </c>
      <c r="F154" s="54" t="n">
        <f aca="false">Uptier!$C$27</f>
        <v>14.71</v>
      </c>
      <c r="G154" s="46" t="n">
        <f aca="false">IF(ISNUMBER(F154),F154-E154,"n/a")</f>
        <v>0</v>
      </c>
      <c r="H154" s="47" t="n">
        <v>0.005000001</v>
      </c>
      <c r="I154" s="48" t="str">
        <f aca="false">IF(ISNUMBER(F154),IF(ABS(F154-E154)&lt;=H154,"PASS","FAIL"),"FAIL")</f>
        <v>PASS</v>
      </c>
      <c r="J154" s="48" t="str">
        <f aca="false">IF(ISNUMBER(F154),IF(ROUND(F154,2)=ROUND(E154,2),"same","differs"),"n/a")</f>
        <v>same</v>
      </c>
    </row>
    <row r="155" customFormat="false" ht="15" hidden="false" customHeight="false" outlineLevel="0" collapsed="false">
      <c r="B155" s="39" t="n">
        <v>148</v>
      </c>
      <c r="C155" s="8" t="s">
        <v>583</v>
      </c>
      <c r="D155" s="8" t="s">
        <v>260</v>
      </c>
      <c r="E155" s="51" t="n">
        <v>-6</v>
      </c>
      <c r="F155" s="52" t="n">
        <f aca="false">Uptier!$C$29</f>
        <v>-6</v>
      </c>
      <c r="G155" s="46" t="n">
        <f aca="false">IF(ISNUMBER(F155),F155-E155,"n/a")</f>
        <v>0</v>
      </c>
      <c r="H155" s="47" t="n">
        <v>0.050000001</v>
      </c>
      <c r="I155" s="48" t="str">
        <f aca="false">IF(ISNUMBER(F155),IF(ABS(F155-E155)&lt;=H155,"PASS","FAIL"),"FAIL")</f>
        <v>PASS</v>
      </c>
      <c r="J155" s="48" t="str">
        <f aca="false">IF(ISNUMBER(F155),IF(ROUND(F155,1)=ROUND(E155,1),"same","differs"),"n/a")</f>
        <v>same</v>
      </c>
    </row>
    <row r="156" customFormat="false" ht="15" hidden="false" customHeight="false" outlineLevel="0" collapsed="false">
      <c r="B156" s="39" t="n">
        <v>149</v>
      </c>
      <c r="C156" s="8" t="s">
        <v>583</v>
      </c>
      <c r="D156" s="8" t="s">
        <v>593</v>
      </c>
      <c r="E156" s="51" t="n">
        <v>3</v>
      </c>
      <c r="F156" s="52" t="n">
        <f aca="false">Uptier!$C$28</f>
        <v>3</v>
      </c>
      <c r="G156" s="46" t="n">
        <f aca="false">IF(ISNUMBER(F156),F156-E156,"n/a")</f>
        <v>0</v>
      </c>
      <c r="H156" s="47" t="n">
        <v>0.050000001</v>
      </c>
      <c r="I156" s="48" t="str">
        <f aca="false">IF(ISNUMBER(F156),IF(ABS(F156-E156)&lt;=H156,"PASS","FAIL"),"FAIL")</f>
        <v>PASS</v>
      </c>
      <c r="J156" s="48" t="str">
        <f aca="false">IF(ISNUMBER(F156),IF(ROUND(F156,1)=ROUND(E156,1),"same","differs"),"n/a")</f>
        <v>same</v>
      </c>
    </row>
    <row r="157" customFormat="false" ht="15" hidden="false" customHeight="false" outlineLevel="0" collapsed="false">
      <c r="B157" s="39" t="n">
        <v>150</v>
      </c>
      <c r="C157" s="8" t="s">
        <v>583</v>
      </c>
      <c r="D157" s="8" t="s">
        <v>519</v>
      </c>
      <c r="E157" s="53" t="n">
        <v>-39.81</v>
      </c>
      <c r="F157" s="54" t="n">
        <f aca="false">Uptier!$C$30</f>
        <v>-39.81</v>
      </c>
      <c r="G157" s="46" t="n">
        <f aca="false">IF(ISNUMBER(F157),F157-E157,"n/a")</f>
        <v>0</v>
      </c>
      <c r="H157" s="47" t="n">
        <v>0.005000001</v>
      </c>
      <c r="I157" s="48" t="str">
        <f aca="false">IF(ISNUMBER(F157),IF(ABS(F157-E157)&lt;=H157,"PASS","FAIL"),"FAIL")</f>
        <v>PASS</v>
      </c>
      <c r="J157" s="48" t="str">
        <f aca="false">IF(ISNUMBER(F157),IF(ROUND(F157,2)=ROUND(E157,2),"same","differs"),"n/a")</f>
        <v>same</v>
      </c>
    </row>
    <row r="158" customFormat="false" ht="15" hidden="false" customHeight="false" outlineLevel="0" collapsed="false">
      <c r="B158" s="39" t="n">
        <v>151</v>
      </c>
      <c r="C158" s="8" t="s">
        <v>583</v>
      </c>
      <c r="D158" s="8" t="s">
        <v>518</v>
      </c>
      <c r="E158" s="53" t="n">
        <v>-31.1</v>
      </c>
      <c r="F158" s="54" t="n">
        <f aca="false">Uptier!$C$31</f>
        <v>-31.1</v>
      </c>
      <c r="G158" s="46" t="n">
        <f aca="false">IF(ISNUMBER(F158),F158-E158,"n/a")</f>
        <v>0</v>
      </c>
      <c r="H158" s="47" t="n">
        <v>0.005000001</v>
      </c>
      <c r="I158" s="48" t="str">
        <f aca="false">IF(ISNUMBER(F158),IF(ABS(F158-E158)&lt;=H158,"PASS","FAIL"),"FAIL")</f>
        <v>PASS</v>
      </c>
      <c r="J158" s="48" t="str">
        <f aca="false">IF(ISNUMBER(F158),IF(ROUND(F158,2)=ROUND(E158,2),"same","differs"),"n/a")</f>
        <v>same</v>
      </c>
    </row>
    <row r="159" customFormat="false" ht="15" hidden="false" customHeight="false" outlineLevel="0" collapsed="false">
      <c r="B159" s="39" t="n">
        <v>152</v>
      </c>
      <c r="C159" s="8" t="s">
        <v>583</v>
      </c>
      <c r="D159" s="8" t="s">
        <v>594</v>
      </c>
      <c r="E159" s="51" t="n">
        <v>3.9</v>
      </c>
      <c r="F159" s="52" t="n">
        <f aca="false">Uptier!$C$32</f>
        <v>3.86837478020598</v>
      </c>
      <c r="G159" s="46" t="n">
        <f aca="false">IF(ISNUMBER(F159),F159-E159,"n/a")</f>
        <v>-0.0316252197940217</v>
      </c>
      <c r="H159" s="47" t="n">
        <v>0.050000001</v>
      </c>
      <c r="I159" s="48" t="str">
        <f aca="false">IF(ISNUMBER(F159),IF(ABS(F159-E159)&lt;=H159,"PASS","FAIL"),"FAIL")</f>
        <v>PASS</v>
      </c>
      <c r="J159" s="48" t="str">
        <f aca="false">IF(ISNUMBER(F159),IF(ROUND(F159,1)=ROUND(E159,1),"same","differs"),"n/a")</f>
        <v>same</v>
      </c>
    </row>
    <row r="160" customFormat="false" ht="15" hidden="false" customHeight="false" outlineLevel="0" collapsed="false">
      <c r="B160" s="39" t="n">
        <v>153</v>
      </c>
      <c r="C160" s="8" t="s">
        <v>583</v>
      </c>
      <c r="D160" s="8" t="s">
        <v>595</v>
      </c>
      <c r="E160" s="44" t="n">
        <v>913</v>
      </c>
      <c r="F160" s="45" t="n">
        <f aca="false">Uptier!$C$33</f>
        <v>912.5</v>
      </c>
      <c r="G160" s="46" t="n">
        <f aca="false">IF(ISNUMBER(F160),F160-E160,"n/a")</f>
        <v>-0.5</v>
      </c>
      <c r="H160" s="47" t="n">
        <v>0.500000001</v>
      </c>
      <c r="I160" s="48" t="str">
        <f aca="false">IF(ISNUMBER(F160),IF(ABS(F160-E160)&lt;=H160,"PASS","FAIL"),"FAIL")</f>
        <v>PASS</v>
      </c>
      <c r="J160" s="48" t="str">
        <f aca="false">IF(ISNUMBER(F160),IF(ROUND(F160,0)=ROUND(E160,0),"same","differs"),"n/a")</f>
        <v>same</v>
      </c>
    </row>
    <row r="161" customFormat="false" ht="15" hidden="false" customHeight="false" outlineLevel="0" collapsed="false">
      <c r="B161" s="39" t="n">
        <v>154</v>
      </c>
      <c r="C161" s="8" t="s">
        <v>583</v>
      </c>
      <c r="D161" s="8" t="s">
        <v>596</v>
      </c>
      <c r="E161" s="12" t="n">
        <v>0.726</v>
      </c>
      <c r="F161" s="50" t="n">
        <f aca="false">Uptier!$C$38</f>
        <v>0.726315789473684</v>
      </c>
      <c r="G161" s="46" t="n">
        <f aca="false">IF(ISNUMBER(F161),F161-E161,"n/a")</f>
        <v>0.000315789473684269</v>
      </c>
      <c r="H161" s="47" t="n">
        <v>0.000500001</v>
      </c>
      <c r="I161" s="48" t="str">
        <f aca="false">IF(ISNUMBER(F161),IF(ABS(F161-E161)&lt;=H161,"PASS","FAIL"),"FAIL")</f>
        <v>PASS</v>
      </c>
      <c r="J161" s="48" t="str">
        <f aca="false">IF(ISNUMBER(F161),IF(ROUND(F161,3)=ROUND(E161,3),"same","differs"),"n/a")</f>
        <v>same</v>
      </c>
    </row>
    <row r="162" customFormat="false" ht="15" hidden="false" customHeight="false" outlineLevel="0" collapsed="false">
      <c r="B162" s="39" t="n">
        <v>155</v>
      </c>
      <c r="C162" s="8" t="s">
        <v>583</v>
      </c>
      <c r="D162" s="8" t="s">
        <v>597</v>
      </c>
      <c r="E162" s="51" t="n">
        <v>435.8</v>
      </c>
      <c r="F162" s="52" t="n">
        <f aca="false">Uptier!$C$39</f>
        <v>435.789473684211</v>
      </c>
      <c r="G162" s="46" t="n">
        <f aca="false">IF(ISNUMBER(F162),F162-E162,"n/a")</f>
        <v>-0.010526315789491</v>
      </c>
      <c r="H162" s="47" t="n">
        <v>0.050000001</v>
      </c>
      <c r="I162" s="48" t="str">
        <f aca="false">IF(ISNUMBER(F162),IF(ABS(F162-E162)&lt;=H162,"PASS","FAIL"),"FAIL")</f>
        <v>PASS</v>
      </c>
      <c r="J162" s="48" t="str">
        <f aca="false">IF(ISNUMBER(F162),IF(ROUND(F162,1)=ROUND(E162,1),"same","differs"),"n/a")</f>
        <v>same</v>
      </c>
    </row>
    <row r="163" customFormat="false" ht="15" hidden="false" customHeight="false" outlineLevel="0" collapsed="false">
      <c r="B163" s="39" t="n">
        <v>156</v>
      </c>
      <c r="C163" s="8" t="s">
        <v>583</v>
      </c>
      <c r="D163" s="8" t="s">
        <v>598</v>
      </c>
      <c r="E163" s="51" t="n">
        <v>570</v>
      </c>
      <c r="F163" s="52" t="n">
        <f aca="false">Uptier!$C$49</f>
        <v>570</v>
      </c>
      <c r="G163" s="46" t="n">
        <f aca="false">IF(ISNUMBER(F163),F163-E163,"n/a")</f>
        <v>0</v>
      </c>
      <c r="H163" s="47" t="n">
        <v>0.050000001</v>
      </c>
      <c r="I163" s="48" t="str">
        <f aca="false">IF(ISNUMBER(F163),IF(ABS(F163-E163)&lt;=H163,"PASS","FAIL"),"FAIL")</f>
        <v>PASS</v>
      </c>
      <c r="J163" s="48" t="str">
        <f aca="false">IF(ISNUMBER(F163),IF(ROUND(F163,1)=ROUND(E163,1),"same","differs"),"n/a")</f>
        <v>same</v>
      </c>
    </row>
    <row r="164" customFormat="false" ht="15" hidden="false" customHeight="false" outlineLevel="0" collapsed="false">
      <c r="B164" s="39" t="n">
        <v>157</v>
      </c>
      <c r="C164" s="8" t="s">
        <v>583</v>
      </c>
      <c r="D164" s="8" t="s">
        <v>599</v>
      </c>
      <c r="E164" s="12" t="n">
        <v>0.95</v>
      </c>
      <c r="F164" s="50" t="n">
        <f aca="false">Uptier!$C$50</f>
        <v>0.95</v>
      </c>
      <c r="G164" s="46" t="n">
        <f aca="false">IF(ISNUMBER(F164),F164-E164,"n/a")</f>
        <v>0</v>
      </c>
      <c r="H164" s="47" t="n">
        <v>0.000500001</v>
      </c>
      <c r="I164" s="48" t="str">
        <f aca="false">IF(ISNUMBER(F164),IF(ABS(F164-E164)&lt;=H164,"PASS","FAIL"),"FAIL")</f>
        <v>PASS</v>
      </c>
      <c r="J164" s="48" t="str">
        <f aca="false">IF(ISNUMBER(F164),IF(ROUND(F164,3)=ROUND(E164,3),"same","differs"),"n/a")</f>
        <v>same</v>
      </c>
    </row>
    <row r="165" customFormat="false" ht="15" hidden="false" customHeight="false" outlineLevel="0" collapsed="false">
      <c r="B165" s="39" t="n">
        <v>158</v>
      </c>
      <c r="C165" s="8" t="s">
        <v>583</v>
      </c>
      <c r="D165" s="8" t="s">
        <v>600</v>
      </c>
      <c r="E165" s="51" t="n">
        <v>217.9</v>
      </c>
      <c r="F165" s="52" t="n">
        <f aca="false">Uptier!$C$40</f>
        <v>217.894736842105</v>
      </c>
      <c r="G165" s="46" t="n">
        <f aca="false">IF(ISNUMBER(F165),F165-E165,"n/a")</f>
        <v>-0.00526315789474552</v>
      </c>
      <c r="H165" s="47" t="n">
        <v>0.050000001</v>
      </c>
      <c r="I165" s="48" t="str">
        <f aca="false">IF(ISNUMBER(F165),IF(ABS(F165-E165)&lt;=H165,"PASS","FAIL"),"FAIL")</f>
        <v>PASS</v>
      </c>
      <c r="J165" s="48" t="str">
        <f aca="false">IF(ISNUMBER(F165),IF(ROUND(F165,1)=ROUND(E165,1),"same","differs"),"n/a")</f>
        <v>same</v>
      </c>
    </row>
    <row r="166" customFormat="false" ht="15" hidden="false" customHeight="false" outlineLevel="0" collapsed="false">
      <c r="B166" s="39" t="n">
        <v>159</v>
      </c>
      <c r="C166" s="8" t="s">
        <v>583</v>
      </c>
      <c r="D166" s="8" t="s">
        <v>601</v>
      </c>
      <c r="E166" s="51" t="n">
        <v>54</v>
      </c>
      <c r="F166" s="52" t="n">
        <f aca="false">Uptier!$C$51</f>
        <v>54</v>
      </c>
      <c r="G166" s="46" t="n">
        <f aca="false">IF(ISNUMBER(F166),F166-E166,"n/a")</f>
        <v>0</v>
      </c>
      <c r="H166" s="47" t="n">
        <v>0.050000001</v>
      </c>
      <c r="I166" s="48" t="str">
        <f aca="false">IF(ISNUMBER(F166),IF(ABS(F166-E166)&lt;=H166,"PASS","FAIL"),"FAIL")</f>
        <v>PASS</v>
      </c>
      <c r="J166" s="48" t="str">
        <f aca="false">IF(ISNUMBER(F166),IF(ROUND(F166,1)=ROUND(E166,1),"same","differs"),"n/a")</f>
        <v>same</v>
      </c>
    </row>
    <row r="167" customFormat="false" ht="15" hidden="false" customHeight="false" outlineLevel="0" collapsed="false">
      <c r="B167" s="39" t="n">
        <v>160</v>
      </c>
      <c r="C167" s="8" t="s">
        <v>583</v>
      </c>
      <c r="D167" s="8" t="s">
        <v>602</v>
      </c>
      <c r="E167" s="12" t="n">
        <v>0.18</v>
      </c>
      <c r="F167" s="50" t="n">
        <f aca="false">Uptier!$C$52</f>
        <v>0.18</v>
      </c>
      <c r="G167" s="46" t="n">
        <f aca="false">IF(ISNUMBER(F167),F167-E167,"n/a")</f>
        <v>0</v>
      </c>
      <c r="H167" s="47" t="n">
        <v>0.000500001</v>
      </c>
      <c r="I167" s="48" t="str">
        <f aca="false">IF(ISNUMBER(F167),IF(ABS(F167-E167)&lt;=H167,"PASS","FAIL"),"FAIL")</f>
        <v>PASS</v>
      </c>
      <c r="J167" s="48" t="str">
        <f aca="false">IF(ISNUMBER(F167),IF(ROUND(F167,3)=ROUND(E167,3),"same","differs"),"n/a")</f>
        <v>same</v>
      </c>
    </row>
    <row r="168" customFormat="false" ht="15" hidden="false" customHeight="false" outlineLevel="0" collapsed="false">
      <c r="B168" s="39" t="n">
        <v>161</v>
      </c>
      <c r="C168" s="8" t="s">
        <v>583</v>
      </c>
      <c r="D168" s="8" t="s">
        <v>603</v>
      </c>
      <c r="E168" s="51" t="n">
        <v>36.3</v>
      </c>
      <c r="F168" s="52" t="n">
        <f aca="false">Uptier!$C$41</f>
        <v>36.3157894736842</v>
      </c>
      <c r="G168" s="46" t="n">
        <f aca="false">IF(ISNUMBER(F168),F168-E168,"n/a")</f>
        <v>0.0157894736842152</v>
      </c>
      <c r="H168" s="47" t="n">
        <v>0.050000001</v>
      </c>
      <c r="I168" s="48" t="str">
        <f aca="false">IF(ISNUMBER(F168),IF(ABS(F168-E168)&lt;=H168,"PASS","FAIL"),"FAIL")</f>
        <v>PASS</v>
      </c>
      <c r="J168" s="48" t="str">
        <f aca="false">IF(ISNUMBER(F168),IF(ROUND(F168,1)=ROUND(E168,1),"same","differs"),"n/a")</f>
        <v>same</v>
      </c>
    </row>
    <row r="169" customFormat="false" ht="15" hidden="false" customHeight="false" outlineLevel="0" collapsed="false">
      <c r="B169" s="39" t="n">
        <v>162</v>
      </c>
      <c r="C169" s="8" t="s">
        <v>583</v>
      </c>
      <c r="D169" s="8" t="s">
        <v>604</v>
      </c>
      <c r="E169" s="51" t="n">
        <v>50</v>
      </c>
      <c r="F169" s="52" t="n">
        <f aca="false">Uptier!$C$53</f>
        <v>50</v>
      </c>
      <c r="G169" s="46" t="n">
        <f aca="false">IF(ISNUMBER(F169),F169-E169,"n/a")</f>
        <v>0</v>
      </c>
      <c r="H169" s="47" t="n">
        <v>0.050000001</v>
      </c>
      <c r="I169" s="48" t="str">
        <f aca="false">IF(ISNUMBER(F169),IF(ABS(F169-E169)&lt;=H169,"PASS","FAIL"),"FAIL")</f>
        <v>PASS</v>
      </c>
      <c r="J169" s="48" t="str">
        <f aca="false">IF(ISNUMBER(F169),IF(ROUND(F169,1)=ROUND(E169,1),"same","differs"),"n/a")</f>
        <v>same</v>
      </c>
    </row>
    <row r="170" customFormat="false" ht="15" hidden="false" customHeight="false" outlineLevel="0" collapsed="false">
      <c r="B170" s="39" t="n">
        <v>163</v>
      </c>
      <c r="C170" s="8" t="s">
        <v>583</v>
      </c>
      <c r="D170" s="8" t="s">
        <v>605</v>
      </c>
      <c r="E170" s="51" t="n">
        <v>0</v>
      </c>
      <c r="F170" s="52" t="n">
        <f aca="false">Uptier!$C$42</f>
        <v>0</v>
      </c>
      <c r="G170" s="46" t="n">
        <f aca="false">IF(ISNUMBER(F170),F170-E170,"n/a")</f>
        <v>0</v>
      </c>
      <c r="H170" s="47" t="n">
        <v>0.050000001</v>
      </c>
      <c r="I170" s="48" t="str">
        <f aca="false">IF(ISNUMBER(F170),IF(ABS(F170-E170)&lt;=H170,"PASS","FAIL"),"FAIL")</f>
        <v>PASS</v>
      </c>
      <c r="J170" s="48" t="str">
        <f aca="false">IF(ISNUMBER(F170),IF(ROUND(F170,1)=ROUND(E170,1),"same","differs"),"n/a")</f>
        <v>same</v>
      </c>
    </row>
    <row r="171" customFormat="false" ht="15" hidden="false" customHeight="false" outlineLevel="0" collapsed="false">
      <c r="B171" s="39" t="n">
        <v>164</v>
      </c>
      <c r="C171" s="8" t="s">
        <v>583</v>
      </c>
      <c r="D171" s="8" t="s">
        <v>606</v>
      </c>
      <c r="E171" s="51" t="n">
        <v>0</v>
      </c>
      <c r="F171" s="52" t="n">
        <f aca="false">Uptier!$C$54</f>
        <v>0</v>
      </c>
      <c r="G171" s="46" t="n">
        <f aca="false">IF(ISNUMBER(F171),F171-E171,"n/a")</f>
        <v>0</v>
      </c>
      <c r="H171" s="47" t="n">
        <v>0.050000001</v>
      </c>
      <c r="I171" s="48" t="str">
        <f aca="false">IF(ISNUMBER(F171),IF(ABS(F171-E171)&lt;=H171,"PASS","FAIL"),"FAIL")</f>
        <v>PASS</v>
      </c>
      <c r="J171" s="48" t="str">
        <f aca="false">IF(ISNUMBER(F171),IF(ROUND(F171,1)=ROUND(E171,1),"same","differs"),"n/a")</f>
        <v>same</v>
      </c>
    </row>
    <row r="172" customFormat="false" ht="15" hidden="false" customHeight="false" outlineLevel="0" collapsed="false">
      <c r="B172" s="39" t="n">
        <v>165</v>
      </c>
      <c r="C172" s="8" t="s">
        <v>583</v>
      </c>
      <c r="D172" s="8" t="s">
        <v>607</v>
      </c>
      <c r="E172" s="51" t="n">
        <v>134.2</v>
      </c>
      <c r="F172" s="52" t="n">
        <f aca="false">Uptier!$C$55</f>
        <v>134.210526315789</v>
      </c>
      <c r="G172" s="46" t="n">
        <f aca="false">IF(ISNUMBER(F172),F172-E172,"n/a")</f>
        <v>0.010526315789491</v>
      </c>
      <c r="H172" s="47" t="n">
        <v>0.050000001</v>
      </c>
      <c r="I172" s="48" t="str">
        <f aca="false">IF(ISNUMBER(F172),IF(ABS(F172-E172)&lt;=H172,"PASS","FAIL"),"FAIL")</f>
        <v>PASS</v>
      </c>
      <c r="J172" s="48" t="str">
        <f aca="false">IF(ISNUMBER(F172),IF(ROUND(F172,1)=ROUND(E172,1),"same","differs"),"n/a")</f>
        <v>same</v>
      </c>
    </row>
    <row r="173" customFormat="false" ht="15" hidden="false" customHeight="false" outlineLevel="0" collapsed="false">
      <c r="B173" s="39" t="n">
        <v>166</v>
      </c>
      <c r="C173" s="8" t="s">
        <v>583</v>
      </c>
      <c r="D173" s="8" t="s">
        <v>608</v>
      </c>
      <c r="E173" s="57" t="n">
        <v>1</v>
      </c>
      <c r="F173" s="17" t="n">
        <f aca="false">Uptier!$C$56</f>
        <v>1</v>
      </c>
      <c r="G173" s="46" t="n">
        <f aca="false">IF(ISNUMBER(F173),F173-E173,"n/a")</f>
        <v>0</v>
      </c>
      <c r="H173" s="47" t="n">
        <v>0.005000001</v>
      </c>
      <c r="I173" s="48" t="str">
        <f aca="false">IF(ISNUMBER(F173),IF(ABS(F173-E173)&lt;=H173,"PASS","FAIL"),"FAIL")</f>
        <v>PASS</v>
      </c>
      <c r="J173" s="48" t="str">
        <f aca="false">IF(ISNUMBER(F173),IF(ROUND(F173,2)=ROUND(E173,2),"same","differs"),"n/a")</f>
        <v>same</v>
      </c>
    </row>
    <row r="174" customFormat="false" ht="15" hidden="false" customHeight="false" outlineLevel="0" collapsed="false">
      <c r="B174" s="39" t="n">
        <v>167</v>
      </c>
      <c r="C174" s="8" t="s">
        <v>583</v>
      </c>
      <c r="D174" s="8" t="s">
        <v>609</v>
      </c>
      <c r="E174" s="12" t="n">
        <v>0.832</v>
      </c>
      <c r="F174" s="50" t="n">
        <f aca="false">Uptier!$D$38</f>
        <v>0.831578947368421</v>
      </c>
      <c r="G174" s="46" t="n">
        <f aca="false">IF(ISNUMBER(F174),F174-E174,"n/a")</f>
        <v>-0.000421052631578989</v>
      </c>
      <c r="H174" s="47" t="n">
        <v>0.000500001</v>
      </c>
      <c r="I174" s="48" t="str">
        <f aca="false">IF(ISNUMBER(F174),IF(ABS(F174-E174)&lt;=H174,"PASS","FAIL"),"FAIL")</f>
        <v>PASS</v>
      </c>
      <c r="J174" s="48" t="str">
        <f aca="false">IF(ISNUMBER(F174),IF(ROUND(F174,3)=ROUND(E174,3),"same","differs"),"n/a")</f>
        <v>same</v>
      </c>
    </row>
    <row r="175" customFormat="false" ht="15" hidden="false" customHeight="false" outlineLevel="0" collapsed="false">
      <c r="B175" s="39" t="n">
        <v>168</v>
      </c>
      <c r="C175" s="8" t="s">
        <v>583</v>
      </c>
      <c r="D175" s="8" t="s">
        <v>610</v>
      </c>
      <c r="E175" s="51" t="n">
        <v>498.9</v>
      </c>
      <c r="F175" s="52" t="n">
        <f aca="false">Uptier!$D$39</f>
        <v>498.947368421053</v>
      </c>
      <c r="G175" s="46" t="n">
        <f aca="false">IF(ISNUMBER(F175),F175-E175,"n/a")</f>
        <v>0.0473684210526812</v>
      </c>
      <c r="H175" s="47" t="n">
        <v>0.050000001</v>
      </c>
      <c r="I175" s="48" t="str">
        <f aca="false">IF(ISNUMBER(F175),IF(ABS(F175-E175)&lt;=H175,"PASS","FAIL"),"FAIL")</f>
        <v>PASS</v>
      </c>
      <c r="J175" s="48" t="str">
        <f aca="false">IF(ISNUMBER(F175),IF(ROUND(F175,1)=ROUND(E175,1),"same","differs"),"n/a")</f>
        <v>same</v>
      </c>
    </row>
    <row r="176" customFormat="false" ht="15" hidden="false" customHeight="false" outlineLevel="0" collapsed="false">
      <c r="B176" s="39" t="n">
        <v>169</v>
      </c>
      <c r="C176" s="8" t="s">
        <v>583</v>
      </c>
      <c r="D176" s="8" t="s">
        <v>611</v>
      </c>
      <c r="E176" s="51" t="n">
        <v>570</v>
      </c>
      <c r="F176" s="52" t="n">
        <f aca="false">Uptier!$D$49</f>
        <v>570</v>
      </c>
      <c r="G176" s="46" t="n">
        <f aca="false">IF(ISNUMBER(F176),F176-E176,"n/a")</f>
        <v>0</v>
      </c>
      <c r="H176" s="47" t="n">
        <v>0.050000001</v>
      </c>
      <c r="I176" s="48" t="str">
        <f aca="false">IF(ISNUMBER(F176),IF(ABS(F176-E176)&lt;=H176,"PASS","FAIL"),"FAIL")</f>
        <v>PASS</v>
      </c>
      <c r="J176" s="48" t="str">
        <f aca="false">IF(ISNUMBER(F176),IF(ROUND(F176,1)=ROUND(E176,1),"same","differs"),"n/a")</f>
        <v>same</v>
      </c>
    </row>
    <row r="177" customFormat="false" ht="15" hidden="false" customHeight="false" outlineLevel="0" collapsed="false">
      <c r="B177" s="39" t="n">
        <v>170</v>
      </c>
      <c r="C177" s="8" t="s">
        <v>583</v>
      </c>
      <c r="D177" s="8" t="s">
        <v>612</v>
      </c>
      <c r="E177" s="12" t="n">
        <v>0.95</v>
      </c>
      <c r="F177" s="50" t="n">
        <f aca="false">Uptier!$D$50</f>
        <v>0.95</v>
      </c>
      <c r="G177" s="46" t="n">
        <f aca="false">IF(ISNUMBER(F177),F177-E177,"n/a")</f>
        <v>0</v>
      </c>
      <c r="H177" s="47" t="n">
        <v>0.000500001</v>
      </c>
      <c r="I177" s="48" t="str">
        <f aca="false">IF(ISNUMBER(F177),IF(ABS(F177-E177)&lt;=H177,"PASS","FAIL"),"FAIL")</f>
        <v>PASS</v>
      </c>
      <c r="J177" s="48" t="str">
        <f aca="false">IF(ISNUMBER(F177),IF(ROUND(F177,3)=ROUND(E177,3),"same","differs"),"n/a")</f>
        <v>same</v>
      </c>
    </row>
    <row r="178" customFormat="false" ht="15" hidden="false" customHeight="false" outlineLevel="0" collapsed="false">
      <c r="B178" s="39" t="n">
        <v>171</v>
      </c>
      <c r="C178" s="8" t="s">
        <v>583</v>
      </c>
      <c r="D178" s="8" t="s">
        <v>613</v>
      </c>
      <c r="E178" s="51" t="n">
        <v>249.5</v>
      </c>
      <c r="F178" s="52" t="n">
        <f aca="false">Uptier!$D$40</f>
        <v>249.473684210526</v>
      </c>
      <c r="G178" s="46" t="n">
        <f aca="false">IF(ISNUMBER(F178),F178-E178,"n/a")</f>
        <v>-0.0263157894736707</v>
      </c>
      <c r="H178" s="47" t="n">
        <v>0.050000001</v>
      </c>
      <c r="I178" s="48" t="str">
        <f aca="false">IF(ISNUMBER(F178),IF(ABS(F178-E178)&lt;=H178,"PASS","FAIL"),"FAIL")</f>
        <v>PASS</v>
      </c>
      <c r="J178" s="48" t="str">
        <f aca="false">IF(ISNUMBER(F178),IF(ROUND(F178,1)=ROUND(E178,1),"same","differs"),"n/a")</f>
        <v>same</v>
      </c>
    </row>
    <row r="179" customFormat="false" ht="15" hidden="false" customHeight="false" outlineLevel="0" collapsed="false">
      <c r="B179" s="39" t="n">
        <v>172</v>
      </c>
      <c r="C179" s="8" t="s">
        <v>583</v>
      </c>
      <c r="D179" s="8" t="s">
        <v>614</v>
      </c>
      <c r="E179" s="51" t="n">
        <v>154</v>
      </c>
      <c r="F179" s="52" t="n">
        <f aca="false">Uptier!$D$51</f>
        <v>154</v>
      </c>
      <c r="G179" s="46" t="n">
        <f aca="false">IF(ISNUMBER(F179),F179-E179,"n/a")</f>
        <v>0</v>
      </c>
      <c r="H179" s="47" t="n">
        <v>0.050000001</v>
      </c>
      <c r="I179" s="48" t="str">
        <f aca="false">IF(ISNUMBER(F179),IF(ABS(F179-E179)&lt;=H179,"PASS","FAIL"),"FAIL")</f>
        <v>PASS</v>
      </c>
      <c r="J179" s="48" t="str">
        <f aca="false">IF(ISNUMBER(F179),IF(ROUND(F179,1)=ROUND(E179,1),"same","differs"),"n/a")</f>
        <v>same</v>
      </c>
    </row>
    <row r="180" customFormat="false" ht="15" hidden="false" customHeight="false" outlineLevel="0" collapsed="false">
      <c r="B180" s="39" t="n">
        <v>173</v>
      </c>
      <c r="C180" s="8" t="s">
        <v>583</v>
      </c>
      <c r="D180" s="8" t="s">
        <v>615</v>
      </c>
      <c r="E180" s="12" t="n">
        <v>0.513</v>
      </c>
      <c r="F180" s="50" t="n">
        <f aca="false">Uptier!$D$52</f>
        <v>0.513333333333333</v>
      </c>
      <c r="G180" s="46" t="n">
        <f aca="false">IF(ISNUMBER(F180),F180-E180,"n/a")</f>
        <v>0.000333333333333297</v>
      </c>
      <c r="H180" s="47" t="n">
        <v>0.000500001</v>
      </c>
      <c r="I180" s="48" t="str">
        <f aca="false">IF(ISNUMBER(F180),IF(ABS(F180-E180)&lt;=H180,"PASS","FAIL"),"FAIL")</f>
        <v>PASS</v>
      </c>
      <c r="J180" s="48" t="str">
        <f aca="false">IF(ISNUMBER(F180),IF(ROUND(F180,3)=ROUND(E180,3),"same","differs"),"n/a")</f>
        <v>same</v>
      </c>
    </row>
    <row r="181" customFormat="false" ht="15" hidden="false" customHeight="false" outlineLevel="0" collapsed="false">
      <c r="B181" s="39" t="n">
        <v>174</v>
      </c>
      <c r="C181" s="8" t="s">
        <v>583</v>
      </c>
      <c r="D181" s="8" t="s">
        <v>616</v>
      </c>
      <c r="E181" s="51" t="n">
        <v>41.6</v>
      </c>
      <c r="F181" s="52" t="n">
        <f aca="false">Uptier!$D$41</f>
        <v>41.5789473684211</v>
      </c>
      <c r="G181" s="46" t="n">
        <f aca="false">IF(ISNUMBER(F181),F181-E181,"n/a")</f>
        <v>-0.0210526315789465</v>
      </c>
      <c r="H181" s="47" t="n">
        <v>0.050000001</v>
      </c>
      <c r="I181" s="48" t="str">
        <f aca="false">IF(ISNUMBER(F181),IF(ABS(F181-E181)&lt;=H181,"PASS","FAIL"),"FAIL")</f>
        <v>PASS</v>
      </c>
      <c r="J181" s="48" t="str">
        <f aca="false">IF(ISNUMBER(F181),IF(ROUND(F181,1)=ROUND(E181,1),"same","differs"),"n/a")</f>
        <v>same</v>
      </c>
    </row>
    <row r="182" customFormat="false" ht="15" hidden="false" customHeight="false" outlineLevel="0" collapsed="false">
      <c r="B182" s="39" t="n">
        <v>175</v>
      </c>
      <c r="C182" s="8" t="s">
        <v>583</v>
      </c>
      <c r="D182" s="8" t="s">
        <v>617</v>
      </c>
      <c r="E182" s="51" t="n">
        <v>50</v>
      </c>
      <c r="F182" s="52" t="n">
        <f aca="false">Uptier!$D$53</f>
        <v>50</v>
      </c>
      <c r="G182" s="46" t="n">
        <f aca="false">IF(ISNUMBER(F182),F182-E182,"n/a")</f>
        <v>0</v>
      </c>
      <c r="H182" s="47" t="n">
        <v>0.050000001</v>
      </c>
      <c r="I182" s="48" t="str">
        <f aca="false">IF(ISNUMBER(F182),IF(ABS(F182-E182)&lt;=H182,"PASS","FAIL"),"FAIL")</f>
        <v>PASS</v>
      </c>
      <c r="J182" s="48" t="str">
        <f aca="false">IF(ISNUMBER(F182),IF(ROUND(F182,1)=ROUND(E182,1),"same","differs"),"n/a")</f>
        <v>same</v>
      </c>
    </row>
    <row r="183" customFormat="false" ht="15" hidden="false" customHeight="false" outlineLevel="0" collapsed="false">
      <c r="B183" s="39" t="n">
        <v>176</v>
      </c>
      <c r="C183" s="8" t="s">
        <v>583</v>
      </c>
      <c r="D183" s="8" t="s">
        <v>618</v>
      </c>
      <c r="E183" s="51" t="n">
        <v>0</v>
      </c>
      <c r="F183" s="52" t="n">
        <f aca="false">Uptier!$D$42</f>
        <v>0</v>
      </c>
      <c r="G183" s="46" t="n">
        <f aca="false">IF(ISNUMBER(F183),F183-E183,"n/a")</f>
        <v>0</v>
      </c>
      <c r="H183" s="47" t="n">
        <v>0.050000001</v>
      </c>
      <c r="I183" s="48" t="str">
        <f aca="false">IF(ISNUMBER(F183),IF(ABS(F183-E183)&lt;=H183,"PASS","FAIL"),"FAIL")</f>
        <v>PASS</v>
      </c>
      <c r="J183" s="48" t="str">
        <f aca="false">IF(ISNUMBER(F183),IF(ROUND(F183,1)=ROUND(E183,1),"same","differs"),"n/a")</f>
        <v>same</v>
      </c>
    </row>
    <row r="184" customFormat="false" ht="15" hidden="false" customHeight="false" outlineLevel="0" collapsed="false">
      <c r="B184" s="39" t="n">
        <v>177</v>
      </c>
      <c r="C184" s="8" t="s">
        <v>583</v>
      </c>
      <c r="D184" s="8" t="s">
        <v>619</v>
      </c>
      <c r="E184" s="51" t="n">
        <v>0</v>
      </c>
      <c r="F184" s="52" t="n">
        <f aca="false">Uptier!$D$54</f>
        <v>0</v>
      </c>
      <c r="G184" s="46" t="n">
        <f aca="false">IF(ISNUMBER(F184),F184-E184,"n/a")</f>
        <v>0</v>
      </c>
      <c r="H184" s="47" t="n">
        <v>0.050000001</v>
      </c>
      <c r="I184" s="48" t="str">
        <f aca="false">IF(ISNUMBER(F184),IF(ABS(F184-E184)&lt;=H184,"PASS","FAIL"),"FAIL")</f>
        <v>PASS</v>
      </c>
      <c r="J184" s="48" t="str">
        <f aca="false">IF(ISNUMBER(F184),IF(ROUND(F184,1)=ROUND(E184,1),"same","differs"),"n/a")</f>
        <v>same</v>
      </c>
    </row>
    <row r="185" customFormat="false" ht="15" hidden="false" customHeight="false" outlineLevel="0" collapsed="false">
      <c r="B185" s="39" t="n">
        <v>178</v>
      </c>
      <c r="C185" s="8" t="s">
        <v>583</v>
      </c>
      <c r="D185" s="8" t="s">
        <v>620</v>
      </c>
      <c r="E185" s="51" t="n">
        <v>71.1</v>
      </c>
      <c r="F185" s="52" t="n">
        <f aca="false">Uptier!$D$55</f>
        <v>71.0526315789473</v>
      </c>
      <c r="G185" s="46" t="n">
        <f aca="false">IF(ISNUMBER(F185),F185-E185,"n/a")</f>
        <v>-0.0473684210526528</v>
      </c>
      <c r="H185" s="47" t="n">
        <v>0.050000001</v>
      </c>
      <c r="I185" s="48" t="str">
        <f aca="false">IF(ISNUMBER(F185),IF(ABS(F185-E185)&lt;=H185,"PASS","FAIL"),"FAIL")</f>
        <v>PASS</v>
      </c>
      <c r="J185" s="48" t="str">
        <f aca="false">IF(ISNUMBER(F185),IF(ROUND(F185,1)=ROUND(E185,1),"same","differs"),"n/a")</f>
        <v>same</v>
      </c>
    </row>
    <row r="186" customFormat="false" ht="15" hidden="false" customHeight="false" outlineLevel="0" collapsed="false">
      <c r="B186" s="39" t="n">
        <v>179</v>
      </c>
      <c r="C186" s="8" t="s">
        <v>583</v>
      </c>
      <c r="D186" s="8" t="s">
        <v>621</v>
      </c>
      <c r="E186" s="57" t="n">
        <v>1</v>
      </c>
      <c r="F186" s="17" t="n">
        <f aca="false">Uptier!$D$56</f>
        <v>1</v>
      </c>
      <c r="G186" s="46" t="n">
        <f aca="false">IF(ISNUMBER(F186),F186-E186,"n/a")</f>
        <v>0</v>
      </c>
      <c r="H186" s="47" t="n">
        <v>0.005000001</v>
      </c>
      <c r="I186" s="48" t="str">
        <f aca="false">IF(ISNUMBER(F186),IF(ABS(F186-E186)&lt;=H186,"PASS","FAIL"),"FAIL")</f>
        <v>PASS</v>
      </c>
      <c r="J186" s="48" t="str">
        <f aca="false">IF(ISNUMBER(F186),IF(ROUND(F186,2)=ROUND(E186,2),"same","differs"),"n/a")</f>
        <v>same</v>
      </c>
    </row>
    <row r="187" customFormat="false" ht="15" hidden="false" customHeight="false" outlineLevel="0" collapsed="false">
      <c r="B187" s="39" t="n">
        <v>180</v>
      </c>
      <c r="C187" s="8" t="s">
        <v>583</v>
      </c>
      <c r="D187" s="8" t="s">
        <v>622</v>
      </c>
      <c r="E187" s="12" t="n">
        <v>0.937</v>
      </c>
      <c r="F187" s="50" t="n">
        <f aca="false">Uptier!$E$38</f>
        <v>0.936842105263158</v>
      </c>
      <c r="G187" s="46" t="n">
        <f aca="false">IF(ISNUMBER(F187),F187-E187,"n/a")</f>
        <v>-0.000157894736842135</v>
      </c>
      <c r="H187" s="47" t="n">
        <v>0.000500001</v>
      </c>
      <c r="I187" s="48" t="str">
        <f aca="false">IF(ISNUMBER(F187),IF(ABS(F187-E187)&lt;=H187,"PASS","FAIL"),"FAIL")</f>
        <v>PASS</v>
      </c>
      <c r="J187" s="48" t="str">
        <f aca="false">IF(ISNUMBER(F187),IF(ROUND(F187,3)=ROUND(E187,3),"same","differs"),"n/a")</f>
        <v>same</v>
      </c>
    </row>
    <row r="188" customFormat="false" ht="15" hidden="false" customHeight="false" outlineLevel="0" collapsed="false">
      <c r="B188" s="39" t="n">
        <v>181</v>
      </c>
      <c r="C188" s="8" t="s">
        <v>583</v>
      </c>
      <c r="D188" s="8" t="s">
        <v>623</v>
      </c>
      <c r="E188" s="51" t="n">
        <v>562.1</v>
      </c>
      <c r="F188" s="52" t="n">
        <f aca="false">Uptier!$E$39</f>
        <v>562.105263157895</v>
      </c>
      <c r="G188" s="46" t="n">
        <f aca="false">IF(ISNUMBER(F188),F188-E188,"n/a")</f>
        <v>0.00526315789477394</v>
      </c>
      <c r="H188" s="47" t="n">
        <v>0.050000001</v>
      </c>
      <c r="I188" s="48" t="str">
        <f aca="false">IF(ISNUMBER(F188),IF(ABS(F188-E188)&lt;=H188,"PASS","FAIL"),"FAIL")</f>
        <v>PASS</v>
      </c>
      <c r="J188" s="48" t="str">
        <f aca="false">IF(ISNUMBER(F188),IF(ROUND(F188,1)=ROUND(E188,1),"same","differs"),"n/a")</f>
        <v>same</v>
      </c>
    </row>
    <row r="189" customFormat="false" ht="15" hidden="false" customHeight="false" outlineLevel="0" collapsed="false">
      <c r="B189" s="39" t="n">
        <v>182</v>
      </c>
      <c r="C189" s="8" t="s">
        <v>583</v>
      </c>
      <c r="D189" s="8" t="s">
        <v>624</v>
      </c>
      <c r="E189" s="51" t="n">
        <v>570</v>
      </c>
      <c r="F189" s="52" t="n">
        <f aca="false">Uptier!$E$49</f>
        <v>570</v>
      </c>
      <c r="G189" s="46" t="n">
        <f aca="false">IF(ISNUMBER(F189),F189-E189,"n/a")</f>
        <v>0</v>
      </c>
      <c r="H189" s="47" t="n">
        <v>0.050000001</v>
      </c>
      <c r="I189" s="48" t="str">
        <f aca="false">IF(ISNUMBER(F189),IF(ABS(F189-E189)&lt;=H189,"PASS","FAIL"),"FAIL")</f>
        <v>PASS</v>
      </c>
      <c r="J189" s="48" t="str">
        <f aca="false">IF(ISNUMBER(F189),IF(ROUND(F189,1)=ROUND(E189,1),"same","differs"),"n/a")</f>
        <v>same</v>
      </c>
    </row>
    <row r="190" customFormat="false" ht="15" hidden="false" customHeight="false" outlineLevel="0" collapsed="false">
      <c r="B190" s="39" t="n">
        <v>183</v>
      </c>
      <c r="C190" s="8" t="s">
        <v>583</v>
      </c>
      <c r="D190" s="8" t="s">
        <v>625</v>
      </c>
      <c r="E190" s="12" t="n">
        <v>0.95</v>
      </c>
      <c r="F190" s="50" t="n">
        <f aca="false">Uptier!$E$50</f>
        <v>0.95</v>
      </c>
      <c r="G190" s="46" t="n">
        <f aca="false">IF(ISNUMBER(F190),F190-E190,"n/a")</f>
        <v>0</v>
      </c>
      <c r="H190" s="47" t="n">
        <v>0.000500001</v>
      </c>
      <c r="I190" s="48" t="str">
        <f aca="false">IF(ISNUMBER(F190),IF(ABS(F190-E190)&lt;=H190,"PASS","FAIL"),"FAIL")</f>
        <v>PASS</v>
      </c>
      <c r="J190" s="48" t="str">
        <f aca="false">IF(ISNUMBER(F190),IF(ROUND(F190,3)=ROUND(E190,3),"same","differs"),"n/a")</f>
        <v>same</v>
      </c>
    </row>
    <row r="191" customFormat="false" ht="15" hidden="false" customHeight="false" outlineLevel="0" collapsed="false">
      <c r="B191" s="39" t="n">
        <v>184</v>
      </c>
      <c r="C191" s="8" t="s">
        <v>583</v>
      </c>
      <c r="D191" s="8" t="s">
        <v>626</v>
      </c>
      <c r="E191" s="51" t="n">
        <v>281.1</v>
      </c>
      <c r="F191" s="52" t="n">
        <f aca="false">Uptier!$E$40</f>
        <v>281.052631578947</v>
      </c>
      <c r="G191" s="46" t="n">
        <f aca="false">IF(ISNUMBER(F191),F191-E191,"n/a")</f>
        <v>-0.0473684210526244</v>
      </c>
      <c r="H191" s="47" t="n">
        <v>0.050000001</v>
      </c>
      <c r="I191" s="48" t="str">
        <f aca="false">IF(ISNUMBER(F191),IF(ABS(F191-E191)&lt;=H191,"PASS","FAIL"),"FAIL")</f>
        <v>PASS</v>
      </c>
      <c r="J191" s="48" t="str">
        <f aca="false">IF(ISNUMBER(F191),IF(ROUND(F191,1)=ROUND(E191,1),"same","differs"),"n/a")</f>
        <v>same</v>
      </c>
    </row>
    <row r="192" customFormat="false" ht="15" hidden="false" customHeight="false" outlineLevel="0" collapsed="false">
      <c r="B192" s="39" t="n">
        <v>185</v>
      </c>
      <c r="C192" s="8" t="s">
        <v>583</v>
      </c>
      <c r="D192" s="8" t="s">
        <v>627</v>
      </c>
      <c r="E192" s="51" t="n">
        <v>254</v>
      </c>
      <c r="F192" s="52" t="n">
        <f aca="false">Uptier!$E$51</f>
        <v>254</v>
      </c>
      <c r="G192" s="46" t="n">
        <f aca="false">IF(ISNUMBER(F192),F192-E192,"n/a")</f>
        <v>0</v>
      </c>
      <c r="H192" s="47" t="n">
        <v>0.050000001</v>
      </c>
      <c r="I192" s="48" t="str">
        <f aca="false">IF(ISNUMBER(F192),IF(ABS(F192-E192)&lt;=H192,"PASS","FAIL"),"FAIL")</f>
        <v>PASS</v>
      </c>
      <c r="J192" s="48" t="str">
        <f aca="false">IF(ISNUMBER(F192),IF(ROUND(F192,1)=ROUND(E192,1),"same","differs"),"n/a")</f>
        <v>same</v>
      </c>
    </row>
    <row r="193" customFormat="false" ht="15" hidden="false" customHeight="false" outlineLevel="0" collapsed="false">
      <c r="B193" s="39" t="n">
        <v>186</v>
      </c>
      <c r="C193" s="8" t="s">
        <v>583</v>
      </c>
      <c r="D193" s="8" t="s">
        <v>628</v>
      </c>
      <c r="E193" s="12" t="n">
        <v>0.847</v>
      </c>
      <c r="F193" s="50" t="n">
        <f aca="false">Uptier!$E$52</f>
        <v>0.846666666666667</v>
      </c>
      <c r="G193" s="46" t="n">
        <f aca="false">IF(ISNUMBER(F193),F193-E193,"n/a")</f>
        <v>-0.000333333333333297</v>
      </c>
      <c r="H193" s="47" t="n">
        <v>0.000500001</v>
      </c>
      <c r="I193" s="48" t="str">
        <f aca="false">IF(ISNUMBER(F193),IF(ABS(F193-E193)&lt;=H193,"PASS","FAIL"),"FAIL")</f>
        <v>PASS</v>
      </c>
      <c r="J193" s="48" t="str">
        <f aca="false">IF(ISNUMBER(F193),IF(ROUND(F193,3)=ROUND(E193,3),"same","differs"),"n/a")</f>
        <v>same</v>
      </c>
    </row>
    <row r="194" customFormat="false" ht="15" hidden="false" customHeight="false" outlineLevel="0" collapsed="false">
      <c r="B194" s="39" t="n">
        <v>187</v>
      </c>
      <c r="C194" s="8" t="s">
        <v>583</v>
      </c>
      <c r="D194" s="8" t="s">
        <v>629</v>
      </c>
      <c r="E194" s="51" t="n">
        <v>46.8</v>
      </c>
      <c r="F194" s="52" t="n">
        <f aca="false">Uptier!$E$41</f>
        <v>46.8421052631579</v>
      </c>
      <c r="G194" s="46" t="n">
        <f aca="false">IF(ISNUMBER(F194),F194-E194,"n/a")</f>
        <v>0.0421052631579002</v>
      </c>
      <c r="H194" s="47" t="n">
        <v>0.050000001</v>
      </c>
      <c r="I194" s="48" t="str">
        <f aca="false">IF(ISNUMBER(F194),IF(ABS(F194-E194)&lt;=H194,"PASS","FAIL"),"FAIL")</f>
        <v>PASS</v>
      </c>
      <c r="J194" s="48" t="str">
        <f aca="false">IF(ISNUMBER(F194),IF(ROUND(F194,1)=ROUND(E194,1),"same","differs"),"n/a")</f>
        <v>same</v>
      </c>
    </row>
    <row r="195" customFormat="false" ht="15" hidden="false" customHeight="false" outlineLevel="0" collapsed="false">
      <c r="B195" s="39" t="n">
        <v>188</v>
      </c>
      <c r="C195" s="8" t="s">
        <v>583</v>
      </c>
      <c r="D195" s="8" t="s">
        <v>630</v>
      </c>
      <c r="E195" s="51" t="n">
        <v>50</v>
      </c>
      <c r="F195" s="52" t="n">
        <f aca="false">Uptier!$E$53</f>
        <v>50</v>
      </c>
      <c r="G195" s="46" t="n">
        <f aca="false">IF(ISNUMBER(F195),F195-E195,"n/a")</f>
        <v>0</v>
      </c>
      <c r="H195" s="47" t="n">
        <v>0.050000001</v>
      </c>
      <c r="I195" s="48" t="str">
        <f aca="false">IF(ISNUMBER(F195),IF(ABS(F195-E195)&lt;=H195,"PASS","FAIL"),"FAIL")</f>
        <v>PASS</v>
      </c>
      <c r="J195" s="48" t="str">
        <f aca="false">IF(ISNUMBER(F195),IF(ROUND(F195,1)=ROUND(E195,1),"same","differs"),"n/a")</f>
        <v>same</v>
      </c>
    </row>
    <row r="196" customFormat="false" ht="15" hidden="false" customHeight="false" outlineLevel="0" collapsed="false">
      <c r="B196" s="39" t="n">
        <v>189</v>
      </c>
      <c r="C196" s="8" t="s">
        <v>583</v>
      </c>
      <c r="D196" s="8" t="s">
        <v>631</v>
      </c>
      <c r="E196" s="51" t="n">
        <v>0</v>
      </c>
      <c r="F196" s="52" t="n">
        <f aca="false">Uptier!$E$42</f>
        <v>0</v>
      </c>
      <c r="G196" s="46" t="n">
        <f aca="false">IF(ISNUMBER(F196),F196-E196,"n/a")</f>
        <v>0</v>
      </c>
      <c r="H196" s="47" t="n">
        <v>0.050000001</v>
      </c>
      <c r="I196" s="48" t="str">
        <f aca="false">IF(ISNUMBER(F196),IF(ABS(F196-E196)&lt;=H196,"PASS","FAIL"),"FAIL")</f>
        <v>PASS</v>
      </c>
      <c r="J196" s="48" t="str">
        <f aca="false">IF(ISNUMBER(F196),IF(ROUND(F196,1)=ROUND(E196,1),"same","differs"),"n/a")</f>
        <v>same</v>
      </c>
    </row>
    <row r="197" customFormat="false" ht="15" hidden="false" customHeight="false" outlineLevel="0" collapsed="false">
      <c r="B197" s="39" t="n">
        <v>190</v>
      </c>
      <c r="C197" s="8" t="s">
        <v>583</v>
      </c>
      <c r="D197" s="8" t="s">
        <v>632</v>
      </c>
      <c r="E197" s="51" t="n">
        <v>0</v>
      </c>
      <c r="F197" s="52" t="n">
        <f aca="false">Uptier!$E$54</f>
        <v>0</v>
      </c>
      <c r="G197" s="46" t="n">
        <f aca="false">IF(ISNUMBER(F197),F197-E197,"n/a")</f>
        <v>0</v>
      </c>
      <c r="H197" s="47" t="n">
        <v>0.050000001</v>
      </c>
      <c r="I197" s="48" t="str">
        <f aca="false">IF(ISNUMBER(F197),IF(ABS(F197-E197)&lt;=H197,"PASS","FAIL"),"FAIL")</f>
        <v>PASS</v>
      </c>
      <c r="J197" s="48" t="str">
        <f aca="false">IF(ISNUMBER(F197),IF(ROUND(F197,1)=ROUND(E197,1),"same","differs"),"n/a")</f>
        <v>same</v>
      </c>
    </row>
    <row r="198" customFormat="false" ht="15" hidden="false" customHeight="false" outlineLevel="0" collapsed="false">
      <c r="B198" s="39" t="n">
        <v>191</v>
      </c>
      <c r="C198" s="8" t="s">
        <v>583</v>
      </c>
      <c r="D198" s="8" t="s">
        <v>633</v>
      </c>
      <c r="E198" s="51" t="n">
        <v>7.9</v>
      </c>
      <c r="F198" s="52" t="n">
        <f aca="false">Uptier!$E$55</f>
        <v>7.8947368421052</v>
      </c>
      <c r="G198" s="46" t="n">
        <f aca="false">IF(ISNUMBER(F198),F198-E198,"n/a")</f>
        <v>-0.00526315789479703</v>
      </c>
      <c r="H198" s="47" t="n">
        <v>0.050000001</v>
      </c>
      <c r="I198" s="48" t="str">
        <f aca="false">IF(ISNUMBER(F198),IF(ABS(F198-E198)&lt;=H198,"PASS","FAIL"),"FAIL")</f>
        <v>PASS</v>
      </c>
      <c r="J198" s="48" t="str">
        <f aca="false">IF(ISNUMBER(F198),IF(ROUND(F198,1)=ROUND(E198,1),"same","differs"),"n/a")</f>
        <v>same</v>
      </c>
    </row>
    <row r="199" customFormat="false" ht="15" hidden="false" customHeight="false" outlineLevel="0" collapsed="false">
      <c r="B199" s="39" t="n">
        <v>192</v>
      </c>
      <c r="C199" s="8" t="s">
        <v>583</v>
      </c>
      <c r="D199" s="8" t="s">
        <v>634</v>
      </c>
      <c r="E199" s="57" t="n">
        <v>1</v>
      </c>
      <c r="F199" s="17" t="n">
        <f aca="false">Uptier!$E$56</f>
        <v>1</v>
      </c>
      <c r="G199" s="46" t="n">
        <f aca="false">IF(ISNUMBER(F199),F199-E199,"n/a")</f>
        <v>0</v>
      </c>
      <c r="H199" s="47" t="n">
        <v>0.005000001</v>
      </c>
      <c r="I199" s="48" t="str">
        <f aca="false">IF(ISNUMBER(F199),IF(ABS(F199-E199)&lt;=H199,"PASS","FAIL"),"FAIL")</f>
        <v>PASS</v>
      </c>
      <c r="J199" s="48" t="str">
        <f aca="false">IF(ISNUMBER(F199),IF(ROUND(F199,2)=ROUND(E199,2),"same","differs"),"n/a")</f>
        <v>same</v>
      </c>
    </row>
    <row r="200" customFormat="false" ht="15" hidden="false" customHeight="false" outlineLevel="0" collapsed="false">
      <c r="B200" s="39" t="n">
        <v>193</v>
      </c>
      <c r="C200" s="8" t="s">
        <v>583</v>
      </c>
      <c r="D200" s="8" t="s">
        <v>635</v>
      </c>
      <c r="E200" s="12" t="n">
        <v>1</v>
      </c>
      <c r="F200" s="50" t="n">
        <f aca="false">Uptier!$F$38</f>
        <v>1</v>
      </c>
      <c r="G200" s="46" t="n">
        <f aca="false">IF(ISNUMBER(F200),F200-E200,"n/a")</f>
        <v>0</v>
      </c>
      <c r="H200" s="47" t="n">
        <v>0.000500001</v>
      </c>
      <c r="I200" s="48" t="str">
        <f aca="false">IF(ISNUMBER(F200),IF(ABS(F200-E200)&lt;=H200,"PASS","FAIL"),"FAIL")</f>
        <v>PASS</v>
      </c>
      <c r="J200" s="48" t="str">
        <f aca="false">IF(ISNUMBER(F200),IF(ROUND(F200,3)=ROUND(E200,3),"same","differs"),"n/a")</f>
        <v>same</v>
      </c>
    </row>
    <row r="201" customFormat="false" ht="15" hidden="false" customHeight="false" outlineLevel="0" collapsed="false">
      <c r="B201" s="39" t="n">
        <v>194</v>
      </c>
      <c r="C201" s="8" t="s">
        <v>583</v>
      </c>
      <c r="D201" s="8" t="s">
        <v>636</v>
      </c>
      <c r="E201" s="51" t="n">
        <v>600</v>
      </c>
      <c r="F201" s="52" t="n">
        <f aca="false">Uptier!$F$39</f>
        <v>600</v>
      </c>
      <c r="G201" s="46" t="n">
        <f aca="false">IF(ISNUMBER(F201),F201-E201,"n/a")</f>
        <v>0</v>
      </c>
      <c r="H201" s="47" t="n">
        <v>0.050000001</v>
      </c>
      <c r="I201" s="48" t="str">
        <f aca="false">IF(ISNUMBER(F201),IF(ABS(F201-E201)&lt;=H201,"PASS","FAIL"),"FAIL")</f>
        <v>PASS</v>
      </c>
      <c r="J201" s="48" t="str">
        <f aca="false">IF(ISNUMBER(F201),IF(ROUND(F201,1)=ROUND(E201,1),"same","differs"),"n/a")</f>
        <v>same</v>
      </c>
    </row>
    <row r="202" customFormat="false" ht="15" hidden="false" customHeight="false" outlineLevel="0" collapsed="false">
      <c r="B202" s="39" t="n">
        <v>195</v>
      </c>
      <c r="C202" s="8" t="s">
        <v>583</v>
      </c>
      <c r="D202" s="8" t="s">
        <v>637</v>
      </c>
      <c r="E202" s="51" t="n">
        <v>570</v>
      </c>
      <c r="F202" s="52" t="n">
        <f aca="false">Uptier!$F$49</f>
        <v>570</v>
      </c>
      <c r="G202" s="46" t="n">
        <f aca="false">IF(ISNUMBER(F202),F202-E202,"n/a")</f>
        <v>0</v>
      </c>
      <c r="H202" s="47" t="n">
        <v>0.050000001</v>
      </c>
      <c r="I202" s="48" t="str">
        <f aca="false">IF(ISNUMBER(F202),IF(ABS(F202-E202)&lt;=H202,"PASS","FAIL"),"FAIL")</f>
        <v>PASS</v>
      </c>
      <c r="J202" s="48" t="str">
        <f aca="false">IF(ISNUMBER(F202),IF(ROUND(F202,1)=ROUND(E202,1),"same","differs"),"n/a")</f>
        <v>same</v>
      </c>
    </row>
    <row r="203" customFormat="false" ht="15" hidden="false" customHeight="false" outlineLevel="0" collapsed="false">
      <c r="B203" s="39" t="n">
        <v>196</v>
      </c>
      <c r="C203" s="8" t="s">
        <v>583</v>
      </c>
      <c r="D203" s="8" t="s">
        <v>638</v>
      </c>
      <c r="E203" s="12" t="n">
        <v>0.95</v>
      </c>
      <c r="F203" s="50" t="n">
        <f aca="false">Uptier!$F$50</f>
        <v>0.95</v>
      </c>
      <c r="G203" s="46" t="n">
        <f aca="false">IF(ISNUMBER(F203),F203-E203,"n/a")</f>
        <v>0</v>
      </c>
      <c r="H203" s="47" t="n">
        <v>0.000500001</v>
      </c>
      <c r="I203" s="48" t="str">
        <f aca="false">IF(ISNUMBER(F203),IF(ABS(F203-E203)&lt;=H203,"PASS","FAIL"),"FAIL")</f>
        <v>PASS</v>
      </c>
      <c r="J203" s="48" t="str">
        <f aca="false">IF(ISNUMBER(F203),IF(ROUND(F203,3)=ROUND(E203,3),"same","differs"),"n/a")</f>
        <v>same</v>
      </c>
    </row>
    <row r="204" customFormat="false" ht="15" hidden="false" customHeight="false" outlineLevel="0" collapsed="false">
      <c r="B204" s="39" t="n">
        <v>197</v>
      </c>
      <c r="C204" s="8" t="s">
        <v>583</v>
      </c>
      <c r="D204" s="8" t="s">
        <v>639</v>
      </c>
      <c r="E204" s="51" t="n">
        <v>300</v>
      </c>
      <c r="F204" s="52" t="n">
        <f aca="false">Uptier!$F$40</f>
        <v>300</v>
      </c>
      <c r="G204" s="46" t="n">
        <f aca="false">IF(ISNUMBER(F204),F204-E204,"n/a")</f>
        <v>0</v>
      </c>
      <c r="H204" s="47" t="n">
        <v>0.050000001</v>
      </c>
      <c r="I204" s="48" t="str">
        <f aca="false">IF(ISNUMBER(F204),IF(ABS(F204-E204)&lt;=H204,"PASS","FAIL"),"FAIL")</f>
        <v>PASS</v>
      </c>
      <c r="J204" s="48" t="str">
        <f aca="false">IF(ISNUMBER(F204),IF(ROUND(F204,1)=ROUND(E204,1),"same","differs"),"n/a")</f>
        <v>same</v>
      </c>
    </row>
    <row r="205" customFormat="false" ht="15" hidden="false" customHeight="false" outlineLevel="0" collapsed="false">
      <c r="B205" s="39" t="n">
        <v>198</v>
      </c>
      <c r="C205" s="8" t="s">
        <v>583</v>
      </c>
      <c r="D205" s="8" t="s">
        <v>640</v>
      </c>
      <c r="E205" s="51" t="n">
        <v>300</v>
      </c>
      <c r="F205" s="52" t="n">
        <f aca="false">Uptier!$F$51</f>
        <v>300</v>
      </c>
      <c r="G205" s="46" t="n">
        <f aca="false">IF(ISNUMBER(F205),F205-E205,"n/a")</f>
        <v>0</v>
      </c>
      <c r="H205" s="47" t="n">
        <v>0.050000001</v>
      </c>
      <c r="I205" s="48" t="str">
        <f aca="false">IF(ISNUMBER(F205),IF(ABS(F205-E205)&lt;=H205,"PASS","FAIL"),"FAIL")</f>
        <v>PASS</v>
      </c>
      <c r="J205" s="48" t="str">
        <f aca="false">IF(ISNUMBER(F205),IF(ROUND(F205,1)=ROUND(E205,1),"same","differs"),"n/a")</f>
        <v>same</v>
      </c>
    </row>
    <row r="206" customFormat="false" ht="15" hidden="false" customHeight="false" outlineLevel="0" collapsed="false">
      <c r="B206" s="39" t="n">
        <v>199</v>
      </c>
      <c r="C206" s="8" t="s">
        <v>583</v>
      </c>
      <c r="D206" s="8" t="s">
        <v>641</v>
      </c>
      <c r="E206" s="12" t="n">
        <v>1</v>
      </c>
      <c r="F206" s="50" t="n">
        <f aca="false">Uptier!$F$52</f>
        <v>1</v>
      </c>
      <c r="G206" s="46" t="n">
        <f aca="false">IF(ISNUMBER(F206),F206-E206,"n/a")</f>
        <v>0</v>
      </c>
      <c r="H206" s="47" t="n">
        <v>0.000500001</v>
      </c>
      <c r="I206" s="48" t="str">
        <f aca="false">IF(ISNUMBER(F206),IF(ABS(F206-E206)&lt;=H206,"PASS","FAIL"),"FAIL")</f>
        <v>PASS</v>
      </c>
      <c r="J206" s="48" t="str">
        <f aca="false">IF(ISNUMBER(F206),IF(ROUND(F206,3)=ROUND(E206,3),"same","differs"),"n/a")</f>
        <v>same</v>
      </c>
    </row>
    <row r="207" customFormat="false" ht="15" hidden="false" customHeight="false" outlineLevel="0" collapsed="false">
      <c r="B207" s="39" t="n">
        <v>200</v>
      </c>
      <c r="C207" s="8" t="s">
        <v>583</v>
      </c>
      <c r="D207" s="8" t="s">
        <v>642</v>
      </c>
      <c r="E207" s="51" t="n">
        <v>50</v>
      </c>
      <c r="F207" s="52" t="n">
        <f aca="false">Uptier!$F$41</f>
        <v>50</v>
      </c>
      <c r="G207" s="46" t="n">
        <f aca="false">IF(ISNUMBER(F207),F207-E207,"n/a")</f>
        <v>0</v>
      </c>
      <c r="H207" s="47" t="n">
        <v>0.050000001</v>
      </c>
      <c r="I207" s="48" t="str">
        <f aca="false">IF(ISNUMBER(F207),IF(ABS(F207-E207)&lt;=H207,"PASS","FAIL"),"FAIL")</f>
        <v>PASS</v>
      </c>
      <c r="J207" s="48" t="str">
        <f aca="false">IF(ISNUMBER(F207),IF(ROUND(F207,1)=ROUND(E207,1),"same","differs"),"n/a")</f>
        <v>same</v>
      </c>
    </row>
    <row r="208" customFormat="false" ht="15" hidden="false" customHeight="false" outlineLevel="0" collapsed="false">
      <c r="B208" s="39" t="n">
        <v>201</v>
      </c>
      <c r="C208" s="8" t="s">
        <v>583</v>
      </c>
      <c r="D208" s="8" t="s">
        <v>643</v>
      </c>
      <c r="E208" s="51" t="n">
        <v>50</v>
      </c>
      <c r="F208" s="52" t="n">
        <f aca="false">Uptier!$F$53</f>
        <v>50</v>
      </c>
      <c r="G208" s="46" t="n">
        <f aca="false">IF(ISNUMBER(F208),F208-E208,"n/a")</f>
        <v>0</v>
      </c>
      <c r="H208" s="47" t="n">
        <v>0.050000001</v>
      </c>
      <c r="I208" s="48" t="str">
        <f aca="false">IF(ISNUMBER(F208),IF(ABS(F208-E208)&lt;=H208,"PASS","FAIL"),"FAIL")</f>
        <v>PASS</v>
      </c>
      <c r="J208" s="48" t="str">
        <f aca="false">IF(ISNUMBER(F208),IF(ROUND(F208,1)=ROUND(E208,1),"same","differs"),"n/a")</f>
        <v>same</v>
      </c>
    </row>
    <row r="209" customFormat="false" ht="15" hidden="false" customHeight="false" outlineLevel="0" collapsed="false">
      <c r="B209" s="39" t="n">
        <v>202</v>
      </c>
      <c r="C209" s="8" t="s">
        <v>583</v>
      </c>
      <c r="D209" s="8" t="s">
        <v>644</v>
      </c>
      <c r="E209" s="51" t="n">
        <v>31.7</v>
      </c>
      <c r="F209" s="52" t="n">
        <f aca="false">Uptier!$F$42</f>
        <v>31.6831683168317</v>
      </c>
      <c r="G209" s="46" t="n">
        <f aca="false">IF(ISNUMBER(F209),F209-E209,"n/a")</f>
        <v>-0.0168316831683164</v>
      </c>
      <c r="H209" s="47" t="n">
        <v>0.050000001</v>
      </c>
      <c r="I209" s="48" t="str">
        <f aca="false">IF(ISNUMBER(F209),IF(ABS(F209-E209)&lt;=H209,"PASS","FAIL"),"FAIL")</f>
        <v>PASS</v>
      </c>
      <c r="J209" s="48" t="str">
        <f aca="false">IF(ISNUMBER(F209),IF(ROUND(F209,1)=ROUND(E209,1),"same","differs"),"n/a")</f>
        <v>same</v>
      </c>
    </row>
    <row r="210" customFormat="false" ht="15" hidden="false" customHeight="false" outlineLevel="0" collapsed="false">
      <c r="B210" s="39" t="n">
        <v>203</v>
      </c>
      <c r="C210" s="8" t="s">
        <v>583</v>
      </c>
      <c r="D210" s="8" t="s">
        <v>645</v>
      </c>
      <c r="E210" s="51" t="n">
        <v>42.8</v>
      </c>
      <c r="F210" s="52" t="n">
        <f aca="false">Uptier!$F$54</f>
        <v>42.7722772277228</v>
      </c>
      <c r="G210" s="46" t="n">
        <f aca="false">IF(ISNUMBER(F210),F210-E210,"n/a")</f>
        <v>-0.0277227722772224</v>
      </c>
      <c r="H210" s="47" t="n">
        <v>0.050000001</v>
      </c>
      <c r="I210" s="48" t="str">
        <f aca="false">IF(ISNUMBER(F210),IF(ABS(F210-E210)&lt;=H210,"PASS","FAIL"),"FAIL")</f>
        <v>PASS</v>
      </c>
      <c r="J210" s="48" t="str">
        <f aca="false">IF(ISNUMBER(F210),IF(ROUND(F210,1)=ROUND(E210,1),"same","differs"),"n/a")</f>
        <v>same</v>
      </c>
    </row>
    <row r="211" customFormat="false" ht="15" hidden="false" customHeight="false" outlineLevel="0" collapsed="false">
      <c r="B211" s="39" t="n">
        <v>204</v>
      </c>
      <c r="C211" s="8" t="s">
        <v>583</v>
      </c>
      <c r="D211" s="8" t="s">
        <v>646</v>
      </c>
      <c r="E211" s="51" t="n">
        <v>-30</v>
      </c>
      <c r="F211" s="52" t="n">
        <f aca="false">Uptier!$F$55</f>
        <v>-30</v>
      </c>
      <c r="G211" s="46" t="n">
        <f aca="false">IF(ISNUMBER(F211),F211-E211,"n/a")</f>
        <v>0</v>
      </c>
      <c r="H211" s="47" t="n">
        <v>0.050000001</v>
      </c>
      <c r="I211" s="48" t="str">
        <f aca="false">IF(ISNUMBER(F211),IF(ABS(F211-E211)&lt;=H211,"PASS","FAIL"),"FAIL")</f>
        <v>PASS</v>
      </c>
      <c r="J211" s="48" t="str">
        <f aca="false">IF(ISNUMBER(F211),IF(ROUND(F211,1)=ROUND(E211,1),"same","differs"),"n/a")</f>
        <v>same</v>
      </c>
    </row>
    <row r="212" customFormat="false" ht="15" hidden="false" customHeight="false" outlineLevel="0" collapsed="false">
      <c r="B212" s="39" t="n">
        <v>205</v>
      </c>
      <c r="C212" s="8" t="s">
        <v>583</v>
      </c>
      <c r="D212" s="8" t="s">
        <v>647</v>
      </c>
      <c r="E212" s="57" t="n">
        <v>1</v>
      </c>
      <c r="F212" s="17" t="n">
        <f aca="false">Uptier!$F$56</f>
        <v>1</v>
      </c>
      <c r="G212" s="46" t="n">
        <f aca="false">IF(ISNUMBER(F212),F212-E212,"n/a")</f>
        <v>0</v>
      </c>
      <c r="H212" s="47" t="n">
        <v>0.005000001</v>
      </c>
      <c r="I212" s="48" t="str">
        <f aca="false">IF(ISNUMBER(F212),IF(ABS(F212-E212)&lt;=H212,"PASS","FAIL"),"FAIL")</f>
        <v>PASS</v>
      </c>
      <c r="J212" s="48" t="str">
        <f aca="false">IF(ISNUMBER(F212),IF(ROUND(F212,2)=ROUND(E212,2),"same","differs"),"n/a")</f>
        <v>same</v>
      </c>
    </row>
    <row r="213" customFormat="false" ht="15" hidden="false" customHeight="false" outlineLevel="0" collapsed="false">
      <c r="B213" s="39" t="n">
        <v>206</v>
      </c>
      <c r="C213" s="8" t="s">
        <v>583</v>
      </c>
      <c r="D213" s="8" t="s">
        <v>648</v>
      </c>
      <c r="E213" s="12" t="n">
        <v>1</v>
      </c>
      <c r="F213" s="50" t="n">
        <f aca="false">Uptier!$G$38</f>
        <v>1</v>
      </c>
      <c r="G213" s="46" t="n">
        <f aca="false">IF(ISNUMBER(F213),F213-E213,"n/a")</f>
        <v>0</v>
      </c>
      <c r="H213" s="47" t="n">
        <v>0.000500001</v>
      </c>
      <c r="I213" s="48" t="str">
        <f aca="false">IF(ISNUMBER(F213),IF(ABS(F213-E213)&lt;=H213,"PASS","FAIL"),"FAIL")</f>
        <v>PASS</v>
      </c>
      <c r="J213" s="48" t="str">
        <f aca="false">IF(ISNUMBER(F213),IF(ROUND(F213,3)=ROUND(E213,3),"same","differs"),"n/a")</f>
        <v>same</v>
      </c>
    </row>
    <row r="214" customFormat="false" ht="15" hidden="false" customHeight="false" outlineLevel="0" collapsed="false">
      <c r="B214" s="39" t="n">
        <v>207</v>
      </c>
      <c r="C214" s="8" t="s">
        <v>583</v>
      </c>
      <c r="D214" s="8" t="s">
        <v>649</v>
      </c>
      <c r="E214" s="51" t="n">
        <v>600</v>
      </c>
      <c r="F214" s="52" t="n">
        <f aca="false">Uptier!$G$39</f>
        <v>600</v>
      </c>
      <c r="G214" s="46" t="n">
        <f aca="false">IF(ISNUMBER(F214),F214-E214,"n/a")</f>
        <v>0</v>
      </c>
      <c r="H214" s="47" t="n">
        <v>0.050000001</v>
      </c>
      <c r="I214" s="48" t="str">
        <f aca="false">IF(ISNUMBER(F214),IF(ABS(F214-E214)&lt;=H214,"PASS","FAIL"),"FAIL")</f>
        <v>PASS</v>
      </c>
      <c r="J214" s="48" t="str">
        <f aca="false">IF(ISNUMBER(F214),IF(ROUND(F214,1)=ROUND(E214,1),"same","differs"),"n/a")</f>
        <v>same</v>
      </c>
    </row>
    <row r="215" customFormat="false" ht="15" hidden="false" customHeight="false" outlineLevel="0" collapsed="false">
      <c r="B215" s="39" t="n">
        <v>208</v>
      </c>
      <c r="C215" s="8" t="s">
        <v>583</v>
      </c>
      <c r="D215" s="8" t="s">
        <v>650</v>
      </c>
      <c r="E215" s="51" t="n">
        <v>570</v>
      </c>
      <c r="F215" s="52" t="n">
        <f aca="false">Uptier!$G$49</f>
        <v>570</v>
      </c>
      <c r="G215" s="46" t="n">
        <f aca="false">IF(ISNUMBER(F215),F215-E215,"n/a")</f>
        <v>0</v>
      </c>
      <c r="H215" s="47" t="n">
        <v>0.050000001</v>
      </c>
      <c r="I215" s="48" t="str">
        <f aca="false">IF(ISNUMBER(F215),IF(ABS(F215-E215)&lt;=H215,"PASS","FAIL"),"FAIL")</f>
        <v>PASS</v>
      </c>
      <c r="J215" s="48" t="str">
        <f aca="false">IF(ISNUMBER(F215),IF(ROUND(F215,1)=ROUND(E215,1),"same","differs"),"n/a")</f>
        <v>same</v>
      </c>
    </row>
    <row r="216" customFormat="false" ht="15" hidden="false" customHeight="false" outlineLevel="0" collapsed="false">
      <c r="B216" s="39" t="n">
        <v>209</v>
      </c>
      <c r="C216" s="8" t="s">
        <v>583</v>
      </c>
      <c r="D216" s="8" t="s">
        <v>651</v>
      </c>
      <c r="E216" s="12" t="n">
        <v>0.95</v>
      </c>
      <c r="F216" s="50" t="n">
        <f aca="false">Uptier!$G$50</f>
        <v>0.95</v>
      </c>
      <c r="G216" s="46" t="n">
        <f aca="false">IF(ISNUMBER(F216),F216-E216,"n/a")</f>
        <v>0</v>
      </c>
      <c r="H216" s="47" t="n">
        <v>0.000500001</v>
      </c>
      <c r="I216" s="48" t="str">
        <f aca="false">IF(ISNUMBER(F216),IF(ABS(F216-E216)&lt;=H216,"PASS","FAIL"),"FAIL")</f>
        <v>PASS</v>
      </c>
      <c r="J216" s="48" t="str">
        <f aca="false">IF(ISNUMBER(F216),IF(ROUND(F216,3)=ROUND(E216,3),"same","differs"),"n/a")</f>
        <v>same</v>
      </c>
    </row>
    <row r="217" customFormat="false" ht="15" hidden="false" customHeight="false" outlineLevel="0" collapsed="false">
      <c r="B217" s="39" t="n">
        <v>210</v>
      </c>
      <c r="C217" s="8" t="s">
        <v>583</v>
      </c>
      <c r="D217" s="8" t="s">
        <v>652</v>
      </c>
      <c r="E217" s="51" t="n">
        <v>300</v>
      </c>
      <c r="F217" s="52" t="n">
        <f aca="false">Uptier!$G$40</f>
        <v>300</v>
      </c>
      <c r="G217" s="46" t="n">
        <f aca="false">IF(ISNUMBER(F217),F217-E217,"n/a")</f>
        <v>0</v>
      </c>
      <c r="H217" s="47" t="n">
        <v>0.050000001</v>
      </c>
      <c r="I217" s="48" t="str">
        <f aca="false">IF(ISNUMBER(F217),IF(ABS(F217-E217)&lt;=H217,"PASS","FAIL"),"FAIL")</f>
        <v>PASS</v>
      </c>
      <c r="J217" s="48" t="str">
        <f aca="false">IF(ISNUMBER(F217),IF(ROUND(F217,1)=ROUND(E217,1),"same","differs"),"n/a")</f>
        <v>same</v>
      </c>
    </row>
    <row r="218" customFormat="false" ht="15" hidden="false" customHeight="false" outlineLevel="0" collapsed="false">
      <c r="B218" s="39" t="n">
        <v>211</v>
      </c>
      <c r="C218" s="8" t="s">
        <v>583</v>
      </c>
      <c r="D218" s="8" t="s">
        <v>653</v>
      </c>
      <c r="E218" s="51" t="n">
        <v>300</v>
      </c>
      <c r="F218" s="52" t="n">
        <f aca="false">Uptier!$G$51</f>
        <v>300</v>
      </c>
      <c r="G218" s="46" t="n">
        <f aca="false">IF(ISNUMBER(F218),F218-E218,"n/a")</f>
        <v>0</v>
      </c>
      <c r="H218" s="47" t="n">
        <v>0.050000001</v>
      </c>
      <c r="I218" s="48" t="str">
        <f aca="false">IF(ISNUMBER(F218),IF(ABS(F218-E218)&lt;=H218,"PASS","FAIL"),"FAIL")</f>
        <v>PASS</v>
      </c>
      <c r="J218" s="48" t="str">
        <f aca="false">IF(ISNUMBER(F218),IF(ROUND(F218,1)=ROUND(E218,1),"same","differs"),"n/a")</f>
        <v>same</v>
      </c>
    </row>
    <row r="219" customFormat="false" ht="15" hidden="false" customHeight="false" outlineLevel="0" collapsed="false">
      <c r="B219" s="39" t="n">
        <v>212</v>
      </c>
      <c r="C219" s="8" t="s">
        <v>583</v>
      </c>
      <c r="D219" s="8" t="s">
        <v>654</v>
      </c>
      <c r="E219" s="12" t="n">
        <v>1</v>
      </c>
      <c r="F219" s="50" t="n">
        <f aca="false">Uptier!$G$52</f>
        <v>1</v>
      </c>
      <c r="G219" s="46" t="n">
        <f aca="false">IF(ISNUMBER(F219),F219-E219,"n/a")</f>
        <v>0</v>
      </c>
      <c r="H219" s="47" t="n">
        <v>0.000500001</v>
      </c>
      <c r="I219" s="48" t="str">
        <f aca="false">IF(ISNUMBER(F219),IF(ABS(F219-E219)&lt;=H219,"PASS","FAIL"),"FAIL")</f>
        <v>PASS</v>
      </c>
      <c r="J219" s="48" t="str">
        <f aca="false">IF(ISNUMBER(F219),IF(ROUND(F219,3)=ROUND(E219,3),"same","differs"),"n/a")</f>
        <v>same</v>
      </c>
    </row>
    <row r="220" customFormat="false" ht="15" hidden="false" customHeight="false" outlineLevel="0" collapsed="false">
      <c r="B220" s="39" t="n">
        <v>213</v>
      </c>
      <c r="C220" s="8" t="s">
        <v>583</v>
      </c>
      <c r="D220" s="8" t="s">
        <v>655</v>
      </c>
      <c r="E220" s="51" t="n">
        <v>50</v>
      </c>
      <c r="F220" s="52" t="n">
        <f aca="false">Uptier!$G$41</f>
        <v>50</v>
      </c>
      <c r="G220" s="46" t="n">
        <f aca="false">IF(ISNUMBER(F220),F220-E220,"n/a")</f>
        <v>0</v>
      </c>
      <c r="H220" s="47" t="n">
        <v>0.050000001</v>
      </c>
      <c r="I220" s="48" t="str">
        <f aca="false">IF(ISNUMBER(F220),IF(ABS(F220-E220)&lt;=H220,"PASS","FAIL"),"FAIL")</f>
        <v>PASS</v>
      </c>
      <c r="J220" s="48" t="str">
        <f aca="false">IF(ISNUMBER(F220),IF(ROUND(F220,1)=ROUND(E220,1),"same","differs"),"n/a")</f>
        <v>same</v>
      </c>
    </row>
    <row r="221" customFormat="false" ht="15" hidden="false" customHeight="false" outlineLevel="0" collapsed="false">
      <c r="B221" s="39" t="n">
        <v>214</v>
      </c>
      <c r="C221" s="8" t="s">
        <v>583</v>
      </c>
      <c r="D221" s="8" t="s">
        <v>656</v>
      </c>
      <c r="E221" s="51" t="n">
        <v>50</v>
      </c>
      <c r="F221" s="52" t="n">
        <f aca="false">Uptier!$G$53</f>
        <v>50</v>
      </c>
      <c r="G221" s="46" t="n">
        <f aca="false">IF(ISNUMBER(F221),F221-E221,"n/a")</f>
        <v>0</v>
      </c>
      <c r="H221" s="47" t="n">
        <v>0.050000001</v>
      </c>
      <c r="I221" s="48" t="str">
        <f aca="false">IF(ISNUMBER(F221),IF(ABS(F221-E221)&lt;=H221,"PASS","FAIL"),"FAIL")</f>
        <v>PASS</v>
      </c>
      <c r="J221" s="48" t="str">
        <f aca="false">IF(ISNUMBER(F221),IF(ROUND(F221,1)=ROUND(E221,1),"same","differs"),"n/a")</f>
        <v>same</v>
      </c>
    </row>
    <row r="222" customFormat="false" ht="15" hidden="false" customHeight="false" outlineLevel="0" collapsed="false">
      <c r="B222" s="39" t="n">
        <v>215</v>
      </c>
      <c r="C222" s="8" t="s">
        <v>583</v>
      </c>
      <c r="D222" s="8" t="s">
        <v>657</v>
      </c>
      <c r="E222" s="51" t="n">
        <v>110.9</v>
      </c>
      <c r="F222" s="52" t="n">
        <f aca="false">Uptier!$G$42</f>
        <v>110.891089108911</v>
      </c>
      <c r="G222" s="46" t="n">
        <f aca="false">IF(ISNUMBER(F222),F222-E222,"n/a")</f>
        <v>-0.00891089108911558</v>
      </c>
      <c r="H222" s="47" t="n">
        <v>0.050000001</v>
      </c>
      <c r="I222" s="48" t="str">
        <f aca="false">IF(ISNUMBER(F222),IF(ABS(F222-E222)&lt;=H222,"PASS","FAIL"),"FAIL")</f>
        <v>PASS</v>
      </c>
      <c r="J222" s="48" t="str">
        <f aca="false">IF(ISNUMBER(F222),IF(ROUND(F222,1)=ROUND(E222,1),"same","differs"),"n/a")</f>
        <v>same</v>
      </c>
    </row>
    <row r="223" customFormat="false" ht="15" hidden="false" customHeight="false" outlineLevel="0" collapsed="false">
      <c r="B223" s="39" t="n">
        <v>216</v>
      </c>
      <c r="C223" s="8" t="s">
        <v>583</v>
      </c>
      <c r="D223" s="8" t="s">
        <v>658</v>
      </c>
      <c r="E223" s="51" t="n">
        <v>122</v>
      </c>
      <c r="F223" s="52" t="n">
        <f aca="false">Uptier!$G$54</f>
        <v>121.980198019802</v>
      </c>
      <c r="G223" s="46" t="n">
        <f aca="false">IF(ISNUMBER(F223),F223-E223,"n/a")</f>
        <v>-0.0198019801980252</v>
      </c>
      <c r="H223" s="47" t="n">
        <v>0.050000001</v>
      </c>
      <c r="I223" s="48" t="str">
        <f aca="false">IF(ISNUMBER(F223),IF(ABS(F223-E223)&lt;=H223,"PASS","FAIL"),"FAIL")</f>
        <v>PASS</v>
      </c>
      <c r="J223" s="48" t="str">
        <f aca="false">IF(ISNUMBER(F223),IF(ROUND(F223,1)=ROUND(E223,1),"same","differs"),"n/a")</f>
        <v>same</v>
      </c>
    </row>
    <row r="224" customFormat="false" ht="15" hidden="false" customHeight="false" outlineLevel="0" collapsed="false">
      <c r="B224" s="39" t="n">
        <v>217</v>
      </c>
      <c r="C224" s="8" t="s">
        <v>583</v>
      </c>
      <c r="D224" s="8" t="s">
        <v>659</v>
      </c>
      <c r="E224" s="51" t="n">
        <v>-30</v>
      </c>
      <c r="F224" s="52" t="n">
        <f aca="false">Uptier!$G$55</f>
        <v>-30</v>
      </c>
      <c r="G224" s="46" t="n">
        <f aca="false">IF(ISNUMBER(F224),F224-E224,"n/a")</f>
        <v>0</v>
      </c>
      <c r="H224" s="47" t="n">
        <v>0.050000001</v>
      </c>
      <c r="I224" s="48" t="str">
        <f aca="false">IF(ISNUMBER(F224),IF(ABS(F224-E224)&lt;=H224,"PASS","FAIL"),"FAIL")</f>
        <v>PASS</v>
      </c>
      <c r="J224" s="48" t="str">
        <f aca="false">IF(ISNUMBER(F224),IF(ROUND(F224,1)=ROUND(E224,1),"same","differs"),"n/a")</f>
        <v>same</v>
      </c>
    </row>
    <row r="225" customFormat="false" ht="15" hidden="false" customHeight="false" outlineLevel="0" collapsed="false">
      <c r="B225" s="39" t="n">
        <v>218</v>
      </c>
      <c r="C225" s="8" t="s">
        <v>583</v>
      </c>
      <c r="D225" s="8" t="s">
        <v>660</v>
      </c>
      <c r="E225" s="57" t="n">
        <v>1</v>
      </c>
      <c r="F225" s="17" t="n">
        <f aca="false">Uptier!$G$56</f>
        <v>1</v>
      </c>
      <c r="G225" s="46" t="n">
        <f aca="false">IF(ISNUMBER(F225),F225-E225,"n/a")</f>
        <v>0</v>
      </c>
      <c r="H225" s="47" t="n">
        <v>0.005000001</v>
      </c>
      <c r="I225" s="48" t="str">
        <f aca="false">IF(ISNUMBER(F225),IF(ABS(F225-E225)&lt;=H225,"PASS","FAIL"),"FAIL")</f>
        <v>PASS</v>
      </c>
      <c r="J225" s="48" t="str">
        <f aca="false">IF(ISNUMBER(F225),IF(ROUND(F225,2)=ROUND(E225,2),"same","differs"),"n/a")</f>
        <v>same</v>
      </c>
    </row>
    <row r="226" customFormat="false" ht="15" hidden="false" customHeight="false" outlineLevel="0" collapsed="false">
      <c r="B226" s="39" t="n">
        <v>219</v>
      </c>
      <c r="C226" s="8" t="s">
        <v>583</v>
      </c>
      <c r="D226" s="8" t="s">
        <v>661</v>
      </c>
      <c r="E226" s="12" t="n">
        <v>1</v>
      </c>
      <c r="F226" s="50" t="n">
        <f aca="false">Uptier!$H$38</f>
        <v>1</v>
      </c>
      <c r="G226" s="46" t="n">
        <f aca="false">IF(ISNUMBER(F226),F226-E226,"n/a")</f>
        <v>0</v>
      </c>
      <c r="H226" s="47" t="n">
        <v>0.000500001</v>
      </c>
      <c r="I226" s="48" t="str">
        <f aca="false">IF(ISNUMBER(F226),IF(ABS(F226-E226)&lt;=H226,"PASS","FAIL"),"FAIL")</f>
        <v>PASS</v>
      </c>
      <c r="J226" s="48" t="str">
        <f aca="false">IF(ISNUMBER(F226),IF(ROUND(F226,3)=ROUND(E226,3),"same","differs"),"n/a")</f>
        <v>same</v>
      </c>
    </row>
    <row r="227" customFormat="false" ht="15" hidden="false" customHeight="false" outlineLevel="0" collapsed="false">
      <c r="B227" s="39" t="n">
        <v>220</v>
      </c>
      <c r="C227" s="8" t="s">
        <v>583</v>
      </c>
      <c r="D227" s="8" t="s">
        <v>662</v>
      </c>
      <c r="E227" s="51" t="n">
        <v>600</v>
      </c>
      <c r="F227" s="52" t="n">
        <f aca="false">Uptier!$H$39</f>
        <v>600</v>
      </c>
      <c r="G227" s="46" t="n">
        <f aca="false">IF(ISNUMBER(F227),F227-E227,"n/a")</f>
        <v>0</v>
      </c>
      <c r="H227" s="47" t="n">
        <v>0.050000001</v>
      </c>
      <c r="I227" s="48" t="str">
        <f aca="false">IF(ISNUMBER(F227),IF(ABS(F227-E227)&lt;=H227,"PASS","FAIL"),"FAIL")</f>
        <v>PASS</v>
      </c>
      <c r="J227" s="48" t="str">
        <f aca="false">IF(ISNUMBER(F227),IF(ROUND(F227,1)=ROUND(E227,1),"same","differs"),"n/a")</f>
        <v>same</v>
      </c>
    </row>
    <row r="228" customFormat="false" ht="15" hidden="false" customHeight="false" outlineLevel="0" collapsed="false">
      <c r="B228" s="39" t="n">
        <v>221</v>
      </c>
      <c r="C228" s="8" t="s">
        <v>583</v>
      </c>
      <c r="D228" s="8" t="s">
        <v>663</v>
      </c>
      <c r="E228" s="51" t="n">
        <v>570</v>
      </c>
      <c r="F228" s="52" t="n">
        <f aca="false">Uptier!$H$49</f>
        <v>570</v>
      </c>
      <c r="G228" s="46" t="n">
        <f aca="false">IF(ISNUMBER(F228),F228-E228,"n/a")</f>
        <v>0</v>
      </c>
      <c r="H228" s="47" t="n">
        <v>0.050000001</v>
      </c>
      <c r="I228" s="48" t="str">
        <f aca="false">IF(ISNUMBER(F228),IF(ABS(F228-E228)&lt;=H228,"PASS","FAIL"),"FAIL")</f>
        <v>PASS</v>
      </c>
      <c r="J228" s="48" t="str">
        <f aca="false">IF(ISNUMBER(F228),IF(ROUND(F228,1)=ROUND(E228,1),"same","differs"),"n/a")</f>
        <v>same</v>
      </c>
    </row>
    <row r="229" customFormat="false" ht="15" hidden="false" customHeight="false" outlineLevel="0" collapsed="false">
      <c r="B229" s="39" t="n">
        <v>222</v>
      </c>
      <c r="C229" s="8" t="s">
        <v>583</v>
      </c>
      <c r="D229" s="8" t="s">
        <v>664</v>
      </c>
      <c r="E229" s="12" t="n">
        <v>0.95</v>
      </c>
      <c r="F229" s="50" t="n">
        <f aca="false">Uptier!$H$50</f>
        <v>0.95</v>
      </c>
      <c r="G229" s="46" t="n">
        <f aca="false">IF(ISNUMBER(F229),F229-E229,"n/a")</f>
        <v>0</v>
      </c>
      <c r="H229" s="47" t="n">
        <v>0.000500001</v>
      </c>
      <c r="I229" s="48" t="str">
        <f aca="false">IF(ISNUMBER(F229),IF(ABS(F229-E229)&lt;=H229,"PASS","FAIL"),"FAIL")</f>
        <v>PASS</v>
      </c>
      <c r="J229" s="48" t="str">
        <f aca="false">IF(ISNUMBER(F229),IF(ROUND(F229,3)=ROUND(E229,3),"same","differs"),"n/a")</f>
        <v>same</v>
      </c>
    </row>
    <row r="230" customFormat="false" ht="15" hidden="false" customHeight="false" outlineLevel="0" collapsed="false">
      <c r="B230" s="39" t="n">
        <v>223</v>
      </c>
      <c r="C230" s="8" t="s">
        <v>583</v>
      </c>
      <c r="D230" s="8" t="s">
        <v>665</v>
      </c>
      <c r="E230" s="51" t="n">
        <v>300</v>
      </c>
      <c r="F230" s="52" t="n">
        <f aca="false">Uptier!$H$40</f>
        <v>300</v>
      </c>
      <c r="G230" s="46" t="n">
        <f aca="false">IF(ISNUMBER(F230),F230-E230,"n/a")</f>
        <v>0</v>
      </c>
      <c r="H230" s="47" t="n">
        <v>0.050000001</v>
      </c>
      <c r="I230" s="48" t="str">
        <f aca="false">IF(ISNUMBER(F230),IF(ABS(F230-E230)&lt;=H230,"PASS","FAIL"),"FAIL")</f>
        <v>PASS</v>
      </c>
      <c r="J230" s="48" t="str">
        <f aca="false">IF(ISNUMBER(F230),IF(ROUND(F230,1)=ROUND(E230,1),"same","differs"),"n/a")</f>
        <v>same</v>
      </c>
    </row>
    <row r="231" customFormat="false" ht="15" hidden="false" customHeight="false" outlineLevel="0" collapsed="false">
      <c r="B231" s="39" t="n">
        <v>224</v>
      </c>
      <c r="C231" s="8" t="s">
        <v>583</v>
      </c>
      <c r="D231" s="8" t="s">
        <v>666</v>
      </c>
      <c r="E231" s="51" t="n">
        <v>300</v>
      </c>
      <c r="F231" s="52" t="n">
        <f aca="false">Uptier!$H$51</f>
        <v>300</v>
      </c>
      <c r="G231" s="46" t="n">
        <f aca="false">IF(ISNUMBER(F231),F231-E231,"n/a")</f>
        <v>0</v>
      </c>
      <c r="H231" s="47" t="n">
        <v>0.050000001</v>
      </c>
      <c r="I231" s="48" t="str">
        <f aca="false">IF(ISNUMBER(F231),IF(ABS(F231-E231)&lt;=H231,"PASS","FAIL"),"FAIL")</f>
        <v>PASS</v>
      </c>
      <c r="J231" s="48" t="str">
        <f aca="false">IF(ISNUMBER(F231),IF(ROUND(F231,1)=ROUND(E231,1),"same","differs"),"n/a")</f>
        <v>same</v>
      </c>
    </row>
    <row r="232" customFormat="false" ht="15" hidden="false" customHeight="false" outlineLevel="0" collapsed="false">
      <c r="B232" s="39" t="n">
        <v>225</v>
      </c>
      <c r="C232" s="8" t="s">
        <v>583</v>
      </c>
      <c r="D232" s="8" t="s">
        <v>667</v>
      </c>
      <c r="E232" s="12" t="n">
        <v>1</v>
      </c>
      <c r="F232" s="50" t="n">
        <f aca="false">Uptier!$H$52</f>
        <v>1</v>
      </c>
      <c r="G232" s="46" t="n">
        <f aca="false">IF(ISNUMBER(F232),F232-E232,"n/a")</f>
        <v>0</v>
      </c>
      <c r="H232" s="47" t="n">
        <v>0.000500001</v>
      </c>
      <c r="I232" s="48" t="str">
        <f aca="false">IF(ISNUMBER(F232),IF(ABS(F232-E232)&lt;=H232,"PASS","FAIL"),"FAIL")</f>
        <v>PASS</v>
      </c>
      <c r="J232" s="48" t="str">
        <f aca="false">IF(ISNUMBER(F232),IF(ROUND(F232,3)=ROUND(E232,3),"same","differs"),"n/a")</f>
        <v>same</v>
      </c>
    </row>
    <row r="233" customFormat="false" ht="15" hidden="false" customHeight="false" outlineLevel="0" collapsed="false">
      <c r="B233" s="39" t="n">
        <v>226</v>
      </c>
      <c r="C233" s="8" t="s">
        <v>583</v>
      </c>
      <c r="D233" s="8" t="s">
        <v>668</v>
      </c>
      <c r="E233" s="51" t="n">
        <v>50</v>
      </c>
      <c r="F233" s="52" t="n">
        <f aca="false">Uptier!$H$41</f>
        <v>50</v>
      </c>
      <c r="G233" s="46" t="n">
        <f aca="false">IF(ISNUMBER(F233),F233-E233,"n/a")</f>
        <v>0</v>
      </c>
      <c r="H233" s="47" t="n">
        <v>0.050000001</v>
      </c>
      <c r="I233" s="48" t="str">
        <f aca="false">IF(ISNUMBER(F233),IF(ABS(F233-E233)&lt;=H233,"PASS","FAIL"),"FAIL")</f>
        <v>PASS</v>
      </c>
      <c r="J233" s="48" t="str">
        <f aca="false">IF(ISNUMBER(F233),IF(ROUND(F233,1)=ROUND(E233,1),"same","differs"),"n/a")</f>
        <v>same</v>
      </c>
    </row>
    <row r="234" customFormat="false" ht="15" hidden="false" customHeight="false" outlineLevel="0" collapsed="false">
      <c r="B234" s="39" t="n">
        <v>227</v>
      </c>
      <c r="C234" s="8" t="s">
        <v>583</v>
      </c>
      <c r="D234" s="8" t="s">
        <v>669</v>
      </c>
      <c r="E234" s="51" t="n">
        <v>50</v>
      </c>
      <c r="F234" s="52" t="n">
        <f aca="false">Uptier!$H$53</f>
        <v>50</v>
      </c>
      <c r="G234" s="46" t="n">
        <f aca="false">IF(ISNUMBER(F234),F234-E234,"n/a")</f>
        <v>0</v>
      </c>
      <c r="H234" s="47" t="n">
        <v>0.050000001</v>
      </c>
      <c r="I234" s="48" t="str">
        <f aca="false">IF(ISNUMBER(F234),IF(ABS(F234-E234)&lt;=H234,"PASS","FAIL"),"FAIL")</f>
        <v>PASS</v>
      </c>
      <c r="J234" s="48" t="str">
        <f aca="false">IF(ISNUMBER(F234),IF(ROUND(F234,1)=ROUND(E234,1),"same","differs"),"n/a")</f>
        <v>same</v>
      </c>
    </row>
    <row r="235" customFormat="false" ht="15" hidden="false" customHeight="false" outlineLevel="0" collapsed="false">
      <c r="B235" s="39" t="n">
        <v>228</v>
      </c>
      <c r="C235" s="8" t="s">
        <v>583</v>
      </c>
      <c r="D235" s="8" t="s">
        <v>670</v>
      </c>
      <c r="E235" s="51" t="n">
        <v>190.1</v>
      </c>
      <c r="F235" s="52" t="n">
        <f aca="false">Uptier!$H$42</f>
        <v>190.09900990099</v>
      </c>
      <c r="G235" s="46" t="n">
        <f aca="false">IF(ISNUMBER(F235),F235-E235,"n/a")</f>
        <v>-0.000990099009896994</v>
      </c>
      <c r="H235" s="47" t="n">
        <v>0.050000001</v>
      </c>
      <c r="I235" s="48" t="str">
        <f aca="false">IF(ISNUMBER(F235),IF(ABS(F235-E235)&lt;=H235,"PASS","FAIL"),"FAIL")</f>
        <v>PASS</v>
      </c>
      <c r="J235" s="48" t="str">
        <f aca="false">IF(ISNUMBER(F235),IF(ROUND(F235,1)=ROUND(E235,1),"same","differs"),"n/a")</f>
        <v>same</v>
      </c>
    </row>
    <row r="236" customFormat="false" ht="15" hidden="false" customHeight="false" outlineLevel="0" collapsed="false">
      <c r="B236" s="39" t="n">
        <v>229</v>
      </c>
      <c r="C236" s="8" t="s">
        <v>583</v>
      </c>
      <c r="D236" s="8" t="s">
        <v>671</v>
      </c>
      <c r="E236" s="51" t="n">
        <v>201.2</v>
      </c>
      <c r="F236" s="52" t="n">
        <f aca="false">Uptier!$H$54</f>
        <v>201.188118811881</v>
      </c>
      <c r="G236" s="46" t="n">
        <f aca="false">IF(ISNUMBER(F236),F236-E236,"n/a")</f>
        <v>-0.0118811881187924</v>
      </c>
      <c r="H236" s="47" t="n">
        <v>0.050000001</v>
      </c>
      <c r="I236" s="48" t="str">
        <f aca="false">IF(ISNUMBER(F236),IF(ABS(F236-E236)&lt;=H236,"PASS","FAIL"),"FAIL")</f>
        <v>PASS</v>
      </c>
      <c r="J236" s="48" t="str">
        <f aca="false">IF(ISNUMBER(F236),IF(ROUND(F236,1)=ROUND(E236,1),"same","differs"),"n/a")</f>
        <v>same</v>
      </c>
    </row>
    <row r="237" customFormat="false" ht="15" hidden="false" customHeight="false" outlineLevel="0" collapsed="false">
      <c r="B237" s="39" t="n">
        <v>230</v>
      </c>
      <c r="C237" s="8" t="s">
        <v>583</v>
      </c>
      <c r="D237" s="8" t="s">
        <v>672</v>
      </c>
      <c r="E237" s="51" t="n">
        <v>-30</v>
      </c>
      <c r="F237" s="52" t="n">
        <f aca="false">Uptier!$H$55</f>
        <v>-30</v>
      </c>
      <c r="G237" s="46" t="n">
        <f aca="false">IF(ISNUMBER(F237),F237-E237,"n/a")</f>
        <v>0</v>
      </c>
      <c r="H237" s="47" t="n">
        <v>0.050000001</v>
      </c>
      <c r="I237" s="48" t="str">
        <f aca="false">IF(ISNUMBER(F237),IF(ABS(F237-E237)&lt;=H237,"PASS","FAIL"),"FAIL")</f>
        <v>PASS</v>
      </c>
      <c r="J237" s="48" t="str">
        <f aca="false">IF(ISNUMBER(F237),IF(ROUND(F237,1)=ROUND(E237,1),"same","differs"),"n/a")</f>
        <v>same</v>
      </c>
    </row>
    <row r="238" customFormat="false" ht="15" hidden="false" customHeight="false" outlineLevel="0" collapsed="false">
      <c r="B238" s="39" t="n">
        <v>231</v>
      </c>
      <c r="C238" s="8" t="s">
        <v>583</v>
      </c>
      <c r="D238" s="8" t="s">
        <v>673</v>
      </c>
      <c r="E238" s="57" t="n">
        <v>1</v>
      </c>
      <c r="F238" s="17" t="n">
        <f aca="false">Uptier!$H$56</f>
        <v>1</v>
      </c>
      <c r="G238" s="46" t="n">
        <f aca="false">IF(ISNUMBER(F238),F238-E238,"n/a")</f>
        <v>0</v>
      </c>
      <c r="H238" s="47" t="n">
        <v>0.005000001</v>
      </c>
      <c r="I238" s="48" t="str">
        <f aca="false">IF(ISNUMBER(F238),IF(ABS(F238-E238)&lt;=H238,"PASS","FAIL"),"FAIL")</f>
        <v>PASS</v>
      </c>
      <c r="J238" s="48" t="str">
        <f aca="false">IF(ISNUMBER(F238),IF(ROUND(F238,2)=ROUND(E238,2),"same","differs"),"n/a")</f>
        <v>same</v>
      </c>
    </row>
    <row r="239" customFormat="false" ht="15" hidden="false" customHeight="false" outlineLevel="0" collapsed="false">
      <c r="B239" s="39" t="n">
        <v>232</v>
      </c>
      <c r="C239" s="8" t="s">
        <v>583</v>
      </c>
      <c r="D239" s="8" t="s">
        <v>674</v>
      </c>
      <c r="E239" s="12" t="n">
        <v>1</v>
      </c>
      <c r="F239" s="50" t="n">
        <f aca="false">Uptier!$I$38</f>
        <v>1</v>
      </c>
      <c r="G239" s="46" t="n">
        <f aca="false">IF(ISNUMBER(F239),F239-E239,"n/a")</f>
        <v>0</v>
      </c>
      <c r="H239" s="47" t="n">
        <v>0.000500001</v>
      </c>
      <c r="I239" s="48" t="str">
        <f aca="false">IF(ISNUMBER(F239),IF(ABS(F239-E239)&lt;=H239,"PASS","FAIL"),"FAIL")</f>
        <v>PASS</v>
      </c>
      <c r="J239" s="48" t="str">
        <f aca="false">IF(ISNUMBER(F239),IF(ROUND(F239,3)=ROUND(E239,3),"same","differs"),"n/a")</f>
        <v>same</v>
      </c>
    </row>
    <row r="240" customFormat="false" ht="15" hidden="false" customHeight="false" outlineLevel="0" collapsed="false">
      <c r="B240" s="39" t="n">
        <v>233</v>
      </c>
      <c r="C240" s="8" t="s">
        <v>583</v>
      </c>
      <c r="D240" s="8" t="s">
        <v>675</v>
      </c>
      <c r="E240" s="51" t="n">
        <v>600</v>
      </c>
      <c r="F240" s="52" t="n">
        <f aca="false">Uptier!$I$39</f>
        <v>600</v>
      </c>
      <c r="G240" s="46" t="n">
        <f aca="false">IF(ISNUMBER(F240),F240-E240,"n/a")</f>
        <v>0</v>
      </c>
      <c r="H240" s="47" t="n">
        <v>0.050000001</v>
      </c>
      <c r="I240" s="48" t="str">
        <f aca="false">IF(ISNUMBER(F240),IF(ABS(F240-E240)&lt;=H240,"PASS","FAIL"),"FAIL")</f>
        <v>PASS</v>
      </c>
      <c r="J240" s="48" t="str">
        <f aca="false">IF(ISNUMBER(F240),IF(ROUND(F240,1)=ROUND(E240,1),"same","differs"),"n/a")</f>
        <v>same</v>
      </c>
    </row>
    <row r="241" customFormat="false" ht="15" hidden="false" customHeight="false" outlineLevel="0" collapsed="false">
      <c r="B241" s="39" t="n">
        <v>234</v>
      </c>
      <c r="C241" s="8" t="s">
        <v>583</v>
      </c>
      <c r="D241" s="8" t="s">
        <v>676</v>
      </c>
      <c r="E241" s="51" t="n">
        <v>570</v>
      </c>
      <c r="F241" s="52" t="n">
        <f aca="false">Uptier!$I$49</f>
        <v>570</v>
      </c>
      <c r="G241" s="46" t="n">
        <f aca="false">IF(ISNUMBER(F241),F241-E241,"n/a")</f>
        <v>0</v>
      </c>
      <c r="H241" s="47" t="n">
        <v>0.050000001</v>
      </c>
      <c r="I241" s="48" t="str">
        <f aca="false">IF(ISNUMBER(F241),IF(ABS(F241-E241)&lt;=H241,"PASS","FAIL"),"FAIL")</f>
        <v>PASS</v>
      </c>
      <c r="J241" s="48" t="str">
        <f aca="false">IF(ISNUMBER(F241),IF(ROUND(F241,1)=ROUND(E241,1),"same","differs"),"n/a")</f>
        <v>same</v>
      </c>
    </row>
    <row r="242" customFormat="false" ht="15" hidden="false" customHeight="false" outlineLevel="0" collapsed="false">
      <c r="B242" s="39" t="n">
        <v>235</v>
      </c>
      <c r="C242" s="8" t="s">
        <v>583</v>
      </c>
      <c r="D242" s="8" t="s">
        <v>677</v>
      </c>
      <c r="E242" s="12" t="n">
        <v>0.95</v>
      </c>
      <c r="F242" s="50" t="n">
        <f aca="false">Uptier!$I$50</f>
        <v>0.95</v>
      </c>
      <c r="G242" s="46" t="n">
        <f aca="false">IF(ISNUMBER(F242),F242-E242,"n/a")</f>
        <v>0</v>
      </c>
      <c r="H242" s="47" t="n">
        <v>0.000500001</v>
      </c>
      <c r="I242" s="48" t="str">
        <f aca="false">IF(ISNUMBER(F242),IF(ABS(F242-E242)&lt;=H242,"PASS","FAIL"),"FAIL")</f>
        <v>PASS</v>
      </c>
      <c r="J242" s="48" t="str">
        <f aca="false">IF(ISNUMBER(F242),IF(ROUND(F242,3)=ROUND(E242,3),"same","differs"),"n/a")</f>
        <v>same</v>
      </c>
    </row>
    <row r="243" customFormat="false" ht="15" hidden="false" customHeight="false" outlineLevel="0" collapsed="false">
      <c r="B243" s="39" t="n">
        <v>236</v>
      </c>
      <c r="C243" s="8" t="s">
        <v>583</v>
      </c>
      <c r="D243" s="8" t="s">
        <v>678</v>
      </c>
      <c r="E243" s="51" t="n">
        <v>300</v>
      </c>
      <c r="F243" s="52" t="n">
        <f aca="false">Uptier!$I$40</f>
        <v>300</v>
      </c>
      <c r="G243" s="46" t="n">
        <f aca="false">IF(ISNUMBER(F243),F243-E243,"n/a")</f>
        <v>0</v>
      </c>
      <c r="H243" s="47" t="n">
        <v>0.050000001</v>
      </c>
      <c r="I243" s="48" t="str">
        <f aca="false">IF(ISNUMBER(F243),IF(ABS(F243-E243)&lt;=H243,"PASS","FAIL"),"FAIL")</f>
        <v>PASS</v>
      </c>
      <c r="J243" s="48" t="str">
        <f aca="false">IF(ISNUMBER(F243),IF(ROUND(F243,1)=ROUND(E243,1),"same","differs"),"n/a")</f>
        <v>same</v>
      </c>
    </row>
    <row r="244" customFormat="false" ht="15" hidden="false" customHeight="false" outlineLevel="0" collapsed="false">
      <c r="B244" s="39" t="n">
        <v>237</v>
      </c>
      <c r="C244" s="8" t="s">
        <v>583</v>
      </c>
      <c r="D244" s="8" t="s">
        <v>679</v>
      </c>
      <c r="E244" s="51" t="n">
        <v>300</v>
      </c>
      <c r="F244" s="52" t="n">
        <f aca="false">Uptier!$I$51</f>
        <v>300</v>
      </c>
      <c r="G244" s="46" t="n">
        <f aca="false">IF(ISNUMBER(F244),F244-E244,"n/a")</f>
        <v>0</v>
      </c>
      <c r="H244" s="47" t="n">
        <v>0.050000001</v>
      </c>
      <c r="I244" s="48" t="str">
        <f aca="false">IF(ISNUMBER(F244),IF(ABS(F244-E244)&lt;=H244,"PASS","FAIL"),"FAIL")</f>
        <v>PASS</v>
      </c>
      <c r="J244" s="48" t="str">
        <f aca="false">IF(ISNUMBER(F244),IF(ROUND(F244,1)=ROUND(E244,1),"same","differs"),"n/a")</f>
        <v>same</v>
      </c>
    </row>
    <row r="245" customFormat="false" ht="15" hidden="false" customHeight="false" outlineLevel="0" collapsed="false">
      <c r="B245" s="39" t="n">
        <v>238</v>
      </c>
      <c r="C245" s="8" t="s">
        <v>583</v>
      </c>
      <c r="D245" s="8" t="s">
        <v>680</v>
      </c>
      <c r="E245" s="12" t="n">
        <v>1</v>
      </c>
      <c r="F245" s="50" t="n">
        <f aca="false">Uptier!$I$52</f>
        <v>1</v>
      </c>
      <c r="G245" s="46" t="n">
        <f aca="false">IF(ISNUMBER(F245),F245-E245,"n/a")</f>
        <v>0</v>
      </c>
      <c r="H245" s="47" t="n">
        <v>0.000500001</v>
      </c>
      <c r="I245" s="48" t="str">
        <f aca="false">IF(ISNUMBER(F245),IF(ABS(F245-E245)&lt;=H245,"PASS","FAIL"),"FAIL")</f>
        <v>PASS</v>
      </c>
      <c r="J245" s="48" t="str">
        <f aca="false">IF(ISNUMBER(F245),IF(ROUND(F245,3)=ROUND(E245,3),"same","differs"),"n/a")</f>
        <v>same</v>
      </c>
    </row>
    <row r="246" customFormat="false" ht="15" hidden="false" customHeight="false" outlineLevel="0" collapsed="false">
      <c r="B246" s="39" t="n">
        <v>239</v>
      </c>
      <c r="C246" s="8" t="s">
        <v>583</v>
      </c>
      <c r="D246" s="8" t="s">
        <v>681</v>
      </c>
      <c r="E246" s="51" t="n">
        <v>50</v>
      </c>
      <c r="F246" s="52" t="n">
        <f aca="false">Uptier!$I$41</f>
        <v>50</v>
      </c>
      <c r="G246" s="46" t="n">
        <f aca="false">IF(ISNUMBER(F246),F246-E246,"n/a")</f>
        <v>0</v>
      </c>
      <c r="H246" s="47" t="n">
        <v>0.050000001</v>
      </c>
      <c r="I246" s="48" t="str">
        <f aca="false">IF(ISNUMBER(F246),IF(ABS(F246-E246)&lt;=H246,"PASS","FAIL"),"FAIL")</f>
        <v>PASS</v>
      </c>
      <c r="J246" s="48" t="str">
        <f aca="false">IF(ISNUMBER(F246),IF(ROUND(F246,1)=ROUND(E246,1),"same","differs"),"n/a")</f>
        <v>same</v>
      </c>
    </row>
    <row r="247" customFormat="false" ht="15" hidden="false" customHeight="false" outlineLevel="0" collapsed="false">
      <c r="B247" s="39" t="n">
        <v>240</v>
      </c>
      <c r="C247" s="8" t="s">
        <v>583</v>
      </c>
      <c r="D247" s="8" t="s">
        <v>682</v>
      </c>
      <c r="E247" s="51" t="n">
        <v>50</v>
      </c>
      <c r="F247" s="52" t="n">
        <f aca="false">Uptier!$I$53</f>
        <v>50</v>
      </c>
      <c r="G247" s="46" t="n">
        <f aca="false">IF(ISNUMBER(F247),F247-E247,"n/a")</f>
        <v>0</v>
      </c>
      <c r="H247" s="47" t="n">
        <v>0.050000001</v>
      </c>
      <c r="I247" s="48" t="str">
        <f aca="false">IF(ISNUMBER(F247),IF(ABS(F247-E247)&lt;=H247,"PASS","FAIL"),"FAIL")</f>
        <v>PASS</v>
      </c>
      <c r="J247" s="48" t="str">
        <f aca="false">IF(ISNUMBER(F247),IF(ROUND(F247,1)=ROUND(E247,1),"same","differs"),"n/a")</f>
        <v>same</v>
      </c>
    </row>
    <row r="248" customFormat="false" ht="15" hidden="false" customHeight="false" outlineLevel="0" collapsed="false">
      <c r="B248" s="39" t="n">
        <v>241</v>
      </c>
      <c r="C248" s="8" t="s">
        <v>583</v>
      </c>
      <c r="D248" s="8" t="s">
        <v>683</v>
      </c>
      <c r="E248" s="51" t="n">
        <v>269.3</v>
      </c>
      <c r="F248" s="52" t="n">
        <f aca="false">Uptier!$I$42</f>
        <v>269.306930693069</v>
      </c>
      <c r="G248" s="46" t="n">
        <f aca="false">IF(ISNUMBER(F248),F248-E248,"n/a")</f>
        <v>0.00693069306930738</v>
      </c>
      <c r="H248" s="47" t="n">
        <v>0.050000001</v>
      </c>
      <c r="I248" s="48" t="str">
        <f aca="false">IF(ISNUMBER(F248),IF(ABS(F248-E248)&lt;=H248,"PASS","FAIL"),"FAIL")</f>
        <v>PASS</v>
      </c>
      <c r="J248" s="48" t="str">
        <f aca="false">IF(ISNUMBER(F248),IF(ROUND(F248,1)=ROUND(E248,1),"same","differs"),"n/a")</f>
        <v>same</v>
      </c>
    </row>
    <row r="249" customFormat="false" ht="15" hidden="false" customHeight="false" outlineLevel="0" collapsed="false">
      <c r="B249" s="39" t="n">
        <v>242</v>
      </c>
      <c r="C249" s="8" t="s">
        <v>583</v>
      </c>
      <c r="D249" s="8" t="s">
        <v>684</v>
      </c>
      <c r="E249" s="51" t="n">
        <v>280.4</v>
      </c>
      <c r="F249" s="52" t="n">
        <f aca="false">Uptier!$I$54</f>
        <v>280.39603960396</v>
      </c>
      <c r="G249" s="46" t="n">
        <f aca="false">IF(ISNUMBER(F249),F249-E249,"n/a")</f>
        <v>-0.00396039603958798</v>
      </c>
      <c r="H249" s="47" t="n">
        <v>0.050000001</v>
      </c>
      <c r="I249" s="48" t="str">
        <f aca="false">IF(ISNUMBER(F249),IF(ABS(F249-E249)&lt;=H249,"PASS","FAIL"),"FAIL")</f>
        <v>PASS</v>
      </c>
      <c r="J249" s="48" t="str">
        <f aca="false">IF(ISNUMBER(F249),IF(ROUND(F249,1)=ROUND(E249,1),"same","differs"),"n/a")</f>
        <v>same</v>
      </c>
    </row>
    <row r="250" customFormat="false" ht="15" hidden="false" customHeight="false" outlineLevel="0" collapsed="false">
      <c r="B250" s="39" t="n">
        <v>243</v>
      </c>
      <c r="C250" s="8" t="s">
        <v>583</v>
      </c>
      <c r="D250" s="8" t="s">
        <v>685</v>
      </c>
      <c r="E250" s="51" t="n">
        <v>-30</v>
      </c>
      <c r="F250" s="52" t="n">
        <f aca="false">Uptier!$I$55</f>
        <v>-30</v>
      </c>
      <c r="G250" s="46" t="n">
        <f aca="false">IF(ISNUMBER(F250),F250-E250,"n/a")</f>
        <v>0</v>
      </c>
      <c r="H250" s="47" t="n">
        <v>0.050000001</v>
      </c>
      <c r="I250" s="48" t="str">
        <f aca="false">IF(ISNUMBER(F250),IF(ABS(F250-E250)&lt;=H250,"PASS","FAIL"),"FAIL")</f>
        <v>PASS</v>
      </c>
      <c r="J250" s="48" t="str">
        <f aca="false">IF(ISNUMBER(F250),IF(ROUND(F250,1)=ROUND(E250,1),"same","differs"),"n/a")</f>
        <v>same</v>
      </c>
    </row>
    <row r="251" customFormat="false" ht="15" hidden="false" customHeight="false" outlineLevel="0" collapsed="false">
      <c r="B251" s="39" t="n">
        <v>244</v>
      </c>
      <c r="C251" s="8" t="s">
        <v>583</v>
      </c>
      <c r="D251" s="8" t="s">
        <v>686</v>
      </c>
      <c r="E251" s="57" t="n">
        <v>1</v>
      </c>
      <c r="F251" s="17" t="n">
        <f aca="false">Uptier!$I$56</f>
        <v>1</v>
      </c>
      <c r="G251" s="46" t="n">
        <f aca="false">IF(ISNUMBER(F251),F251-E251,"n/a")</f>
        <v>0</v>
      </c>
      <c r="H251" s="47" t="n">
        <v>0.005000001</v>
      </c>
      <c r="I251" s="48" t="str">
        <f aca="false">IF(ISNUMBER(F251),IF(ABS(F251-E251)&lt;=H251,"PASS","FAIL"),"FAIL")</f>
        <v>PASS</v>
      </c>
      <c r="J251" s="48" t="str">
        <f aca="false">IF(ISNUMBER(F251),IF(ROUND(F251,2)=ROUND(E251,2),"same","differs"),"n/a")</f>
        <v>same</v>
      </c>
    </row>
    <row r="252" customFormat="false" ht="15" hidden="false" customHeight="false" outlineLevel="0" collapsed="false">
      <c r="B252" s="39" t="n">
        <v>245</v>
      </c>
      <c r="C252" s="8" t="s">
        <v>687</v>
      </c>
      <c r="D252" s="8" t="s">
        <v>688</v>
      </c>
      <c r="E252" s="44" t="n">
        <v>210</v>
      </c>
      <c r="F252" s="45" t="n">
        <f aca="false">Drop_Down!$C$7</f>
        <v>210</v>
      </c>
      <c r="G252" s="46" t="n">
        <f aca="false">IF(ISNUMBER(F252),F252-E252,"n/a")</f>
        <v>0</v>
      </c>
      <c r="H252" s="47" t="n">
        <v>0.500000001</v>
      </c>
      <c r="I252" s="48" t="str">
        <f aca="false">IF(ISNUMBER(F252),IF(ABS(F252-E252)&lt;=H252,"PASS","FAIL"),"FAIL")</f>
        <v>PASS</v>
      </c>
      <c r="J252" s="48" t="str">
        <f aca="false">IF(ISNUMBER(F252),IF(ROUND(F252,0)=ROUND(E252,0),"same","differs"),"n/a")</f>
        <v>same</v>
      </c>
    </row>
    <row r="253" customFormat="false" ht="15" hidden="false" customHeight="false" outlineLevel="0" collapsed="false">
      <c r="B253" s="39" t="n">
        <v>246</v>
      </c>
      <c r="C253" s="8" t="s">
        <v>687</v>
      </c>
      <c r="D253" s="8" t="s">
        <v>689</v>
      </c>
      <c r="E253" s="44" t="n">
        <v>33</v>
      </c>
      <c r="F253" s="45" t="n">
        <f aca="false">Drop_Down!$C$9</f>
        <v>33</v>
      </c>
      <c r="G253" s="46" t="n">
        <f aca="false">IF(ISNUMBER(F253),F253-E253,"n/a")</f>
        <v>0</v>
      </c>
      <c r="H253" s="47" t="n">
        <v>0.500000001</v>
      </c>
      <c r="I253" s="48" t="str">
        <f aca="false">IF(ISNUMBER(F253),IF(ABS(F253-E253)&lt;=H253,"PASS","FAIL"),"FAIL")</f>
        <v>PASS</v>
      </c>
      <c r="J253" s="48" t="str">
        <f aca="false">IF(ISNUMBER(F253),IF(ROUND(F253,0)=ROUND(E253,0),"same","differs"),"n/a")</f>
        <v>same</v>
      </c>
    </row>
    <row r="254" customFormat="false" ht="15" hidden="false" customHeight="false" outlineLevel="0" collapsed="false">
      <c r="B254" s="39" t="n">
        <v>247</v>
      </c>
      <c r="C254" s="8" t="s">
        <v>687</v>
      </c>
      <c r="D254" s="8" t="s">
        <v>690</v>
      </c>
      <c r="E254" s="44" t="n">
        <v>218</v>
      </c>
      <c r="F254" s="45" t="n">
        <f aca="false">Drop_Down!$C$12</f>
        <v>218</v>
      </c>
      <c r="G254" s="46" t="n">
        <f aca="false">IF(ISNUMBER(F254),F254-E254,"n/a")</f>
        <v>0</v>
      </c>
      <c r="H254" s="47" t="n">
        <v>0.500000001</v>
      </c>
      <c r="I254" s="48" t="str">
        <f aca="false">IF(ISNUMBER(F254),IF(ABS(F254-E254)&lt;=H254,"PASS","FAIL"),"FAIL")</f>
        <v>PASS</v>
      </c>
      <c r="J254" s="48" t="str">
        <f aca="false">IF(ISNUMBER(F254),IF(ROUND(F254,0)=ROUND(E254,0),"same","differs"),"n/a")</f>
        <v>same</v>
      </c>
    </row>
    <row r="255" customFormat="false" ht="15" hidden="false" customHeight="false" outlineLevel="0" collapsed="false">
      <c r="B255" s="39" t="n">
        <v>248</v>
      </c>
      <c r="C255" s="8" t="s">
        <v>687</v>
      </c>
      <c r="D255" s="8" t="s">
        <v>691</v>
      </c>
      <c r="E255" s="9" t="n">
        <v>0.113</v>
      </c>
      <c r="F255" s="49" t="n">
        <f aca="false">Drop_Down!$C$14</f>
        <v>0.113</v>
      </c>
      <c r="G255" s="46" t="n">
        <f aca="false">IF(ISNUMBER(F255),F255-E255,"n/a")</f>
        <v>0</v>
      </c>
      <c r="H255" s="47" t="n">
        <v>5.0001E-005</v>
      </c>
      <c r="I255" s="48" t="str">
        <f aca="false">IF(ISNUMBER(F255),IF(ABS(F255-E255)&lt;=H255,"PASS","FAIL"),"FAIL")</f>
        <v>PASS</v>
      </c>
      <c r="J255" s="48" t="str">
        <f aca="false">IF(ISNUMBER(F255),IF(ROUND(F255,4)=ROUND(E255,4),"same","differs"),"n/a")</f>
        <v>same</v>
      </c>
    </row>
    <row r="256" customFormat="false" ht="15" hidden="false" customHeight="false" outlineLevel="0" collapsed="false">
      <c r="B256" s="39" t="n">
        <v>249</v>
      </c>
      <c r="C256" s="8" t="s">
        <v>687</v>
      </c>
      <c r="D256" s="8" t="s">
        <v>692</v>
      </c>
      <c r="E256" s="44" t="n">
        <v>60</v>
      </c>
      <c r="F256" s="45" t="n">
        <f aca="false">Drop_Down!$C$15</f>
        <v>60</v>
      </c>
      <c r="G256" s="46" t="n">
        <f aca="false">IF(ISNUMBER(F256),F256-E256,"n/a")</f>
        <v>0</v>
      </c>
      <c r="H256" s="47" t="n">
        <v>0.500000001</v>
      </c>
      <c r="I256" s="48" t="str">
        <f aca="false">IF(ISNUMBER(F256),IF(ABS(F256-E256)&lt;=H256,"PASS","FAIL"),"FAIL")</f>
        <v>PASS</v>
      </c>
      <c r="J256" s="48" t="str">
        <f aca="false">IF(ISNUMBER(F256),IF(ROUND(F256,0)=ROUND(E256,0),"same","differs"),"n/a")</f>
        <v>same</v>
      </c>
    </row>
    <row r="257" customFormat="false" ht="15" hidden="false" customHeight="false" outlineLevel="0" collapsed="false">
      <c r="B257" s="39" t="n">
        <v>250</v>
      </c>
      <c r="C257" s="8" t="s">
        <v>687</v>
      </c>
      <c r="D257" s="8" t="s">
        <v>693</v>
      </c>
      <c r="E257" s="44" t="n">
        <v>102</v>
      </c>
      <c r="F257" s="45" t="n">
        <f aca="false">Drop_Down!$C$17</f>
        <v>102</v>
      </c>
      <c r="G257" s="46" t="n">
        <f aca="false">IF(ISNUMBER(F257),F257-E257,"n/a")</f>
        <v>0</v>
      </c>
      <c r="H257" s="47" t="n">
        <v>0.500000001</v>
      </c>
      <c r="I257" s="48" t="str">
        <f aca="false">IF(ISNUMBER(F257),IF(ABS(F257-E257)&lt;=H257,"PASS","FAIL"),"FAIL")</f>
        <v>PASS</v>
      </c>
      <c r="J257" s="48" t="str">
        <f aca="false">IF(ISNUMBER(F257),IF(ROUND(F257,0)=ROUND(E257,0),"same","differs"),"n/a")</f>
        <v>same</v>
      </c>
    </row>
    <row r="258" customFormat="false" ht="15" hidden="false" customHeight="false" outlineLevel="0" collapsed="false">
      <c r="B258" s="39" t="n">
        <v>251</v>
      </c>
      <c r="C258" s="8" t="s">
        <v>687</v>
      </c>
      <c r="D258" s="8" t="s">
        <v>694</v>
      </c>
      <c r="E258" s="53" t="n">
        <v>7.4</v>
      </c>
      <c r="F258" s="54" t="n">
        <f aca="false">Drop_Down!$C$18</f>
        <v>7.40196078431373</v>
      </c>
      <c r="G258" s="46" t="n">
        <f aca="false">IF(ISNUMBER(F258),F258-E258,"n/a")</f>
        <v>0.00196078431372548</v>
      </c>
      <c r="H258" s="47" t="n">
        <v>0.005000001</v>
      </c>
      <c r="I258" s="48" t="str">
        <f aca="false">IF(ISNUMBER(F258),IF(ABS(F258-E258)&lt;=H258,"PASS","FAIL"),"FAIL")</f>
        <v>PASS</v>
      </c>
      <c r="J258" s="48" t="str">
        <f aca="false">IF(ISNUMBER(F258),IF(ROUND(F258,2)=ROUND(E258,2),"same","differs"),"n/a")</f>
        <v>same</v>
      </c>
    </row>
    <row r="259" customFormat="false" ht="15" hidden="false" customHeight="false" outlineLevel="0" collapsed="false">
      <c r="B259" s="39" t="n">
        <v>252</v>
      </c>
      <c r="C259" s="8" t="s">
        <v>687</v>
      </c>
      <c r="D259" s="8" t="s">
        <v>695</v>
      </c>
      <c r="E259" s="53" t="n">
        <v>6.86</v>
      </c>
      <c r="F259" s="54" t="n">
        <f aca="false">Drop_Down!$C$19</f>
        <v>6.85606060606061</v>
      </c>
      <c r="G259" s="46" t="n">
        <f aca="false">IF(ISNUMBER(F259),F259-E259,"n/a")</f>
        <v>-0.00393939393939391</v>
      </c>
      <c r="H259" s="47" t="n">
        <v>0.005000001</v>
      </c>
      <c r="I259" s="48" t="str">
        <f aca="false">IF(ISNUMBER(F259),IF(ABS(F259-E259)&lt;=H259,"PASS","FAIL"),"FAIL")</f>
        <v>PASS</v>
      </c>
      <c r="J259" s="48" t="str">
        <f aca="false">IF(ISNUMBER(F259),IF(ROUND(F259,2)=ROUND(E259,2),"same","differs"),"n/a")</f>
        <v>same</v>
      </c>
    </row>
    <row r="260" customFormat="false" ht="15" hidden="false" customHeight="false" outlineLevel="0" collapsed="false">
      <c r="B260" s="39" t="n">
        <v>253</v>
      </c>
      <c r="C260" s="8" t="s">
        <v>687</v>
      </c>
      <c r="D260" s="8" t="s">
        <v>696</v>
      </c>
      <c r="E260" s="53" t="n">
        <v>-48.05</v>
      </c>
      <c r="F260" s="54" t="n">
        <f aca="false">Drop_Down!$C$20</f>
        <v>-48.05</v>
      </c>
      <c r="G260" s="46" t="n">
        <f aca="false">IF(ISNUMBER(F260),F260-E260,"n/a")</f>
        <v>0</v>
      </c>
      <c r="H260" s="47" t="n">
        <v>0.005000001</v>
      </c>
      <c r="I260" s="48" t="str">
        <f aca="false">IF(ISNUMBER(F260),IF(ABS(F260-E260)&lt;=H260,"PASS","FAIL"),"FAIL")</f>
        <v>PASS</v>
      </c>
      <c r="J260" s="48" t="str">
        <f aca="false">IF(ISNUMBER(F260),IF(ROUND(F260,2)=ROUND(E260,2),"same","differs"),"n/a")</f>
        <v>same</v>
      </c>
    </row>
    <row r="261" customFormat="false" ht="15" hidden="false" customHeight="false" outlineLevel="0" collapsed="false">
      <c r="B261" s="39" t="n">
        <v>254</v>
      </c>
      <c r="C261" s="8" t="s">
        <v>687</v>
      </c>
      <c r="D261" s="8" t="s">
        <v>301</v>
      </c>
      <c r="E261" s="51" t="n">
        <v>1.4</v>
      </c>
      <c r="F261" s="52" t="n">
        <f aca="false">Drop_Down!$C$16</f>
        <v>1.4</v>
      </c>
      <c r="G261" s="46" t="n">
        <f aca="false">IF(ISNUMBER(F261),F261-E261,"n/a")</f>
        <v>0</v>
      </c>
      <c r="H261" s="47" t="n">
        <v>0.050000001</v>
      </c>
      <c r="I261" s="48" t="str">
        <f aca="false">IF(ISNUMBER(F261),IF(ABS(F261-E261)&lt;=H261,"PASS","FAIL"),"FAIL")</f>
        <v>PASS</v>
      </c>
      <c r="J261" s="48" t="str">
        <f aca="false">IF(ISNUMBER(F261),IF(ROUND(F261,1)=ROUND(E261,1),"same","differs"),"n/a")</f>
        <v>same</v>
      </c>
    </row>
    <row r="262" customFormat="false" ht="15" hidden="false" customHeight="false" outlineLevel="0" collapsed="false">
      <c r="B262" s="39" t="n">
        <v>255</v>
      </c>
      <c r="C262" s="8" t="s">
        <v>687</v>
      </c>
      <c r="D262" s="8" t="s">
        <v>338</v>
      </c>
      <c r="E262" s="44" t="n">
        <v>24</v>
      </c>
      <c r="F262" s="45" t="n">
        <f aca="false">Drop_Down!$C$63</f>
        <v>24</v>
      </c>
      <c r="G262" s="46" t="n">
        <f aca="false">IF(ISNUMBER(F262),F262-E262,"n/a")</f>
        <v>0</v>
      </c>
      <c r="H262" s="47" t="n">
        <v>0.500000001</v>
      </c>
      <c r="I262" s="48" t="str">
        <f aca="false">IF(ISNUMBER(F262),IF(ABS(F262-E262)&lt;=H262,"PASS","FAIL"),"FAIL")</f>
        <v>PASS</v>
      </c>
      <c r="J262" s="48" t="str">
        <f aca="false">IF(ISNUMBER(F262),IF(ROUND(F262,0)=ROUND(E262,0),"same","differs"),"n/a")</f>
        <v>same</v>
      </c>
    </row>
    <row r="263" customFormat="false" ht="15" hidden="false" customHeight="false" outlineLevel="0" collapsed="false">
      <c r="B263" s="39" t="n">
        <v>256</v>
      </c>
      <c r="C263" s="8" t="s">
        <v>687</v>
      </c>
      <c r="D263" s="8" t="s">
        <v>697</v>
      </c>
      <c r="E263" s="51" t="n">
        <v>221.1</v>
      </c>
      <c r="F263" s="52" t="n">
        <f aca="false">Drop_Down!$C$64</f>
        <v>221.101583333333</v>
      </c>
      <c r="G263" s="46" t="n">
        <f aca="false">IF(ISNUMBER(F263),F263-E263,"n/a")</f>
        <v>0.00158333333331484</v>
      </c>
      <c r="H263" s="47" t="n">
        <v>0.050000001</v>
      </c>
      <c r="I263" s="48" t="str">
        <f aca="false">IF(ISNUMBER(F263),IF(ABS(F263-E263)&lt;=H263,"PASS","FAIL"),"FAIL")</f>
        <v>PASS</v>
      </c>
      <c r="J263" s="48" t="str">
        <f aca="false">IF(ISNUMBER(F263),IF(ROUND(F263,1)=ROUND(E263,1),"same","differs"),"n/a")</f>
        <v>same</v>
      </c>
    </row>
    <row r="264" customFormat="false" ht="15" hidden="false" customHeight="false" outlineLevel="0" collapsed="false">
      <c r="B264" s="39" t="n">
        <v>257</v>
      </c>
      <c r="C264" s="8" t="s">
        <v>687</v>
      </c>
      <c r="D264" s="8" t="s">
        <v>698</v>
      </c>
      <c r="E264" s="44" t="n">
        <v>882</v>
      </c>
      <c r="F264" s="45" t="n">
        <f aca="false">Drop_Down!$C$67</f>
        <v>882</v>
      </c>
      <c r="G264" s="46" t="n">
        <f aca="false">IF(ISNUMBER(F264),F264-E264,"n/a")</f>
        <v>0</v>
      </c>
      <c r="H264" s="47" t="n">
        <v>0.500000001</v>
      </c>
      <c r="I264" s="48" t="str">
        <f aca="false">IF(ISNUMBER(F264),IF(ABS(F264-E264)&lt;=H264,"PASS","FAIL"),"FAIL")</f>
        <v>PASS</v>
      </c>
      <c r="J264" s="48" t="str">
        <f aca="false">IF(ISNUMBER(F264),IF(ROUND(F264,0)=ROUND(E264,0),"same","differs"),"n/a")</f>
        <v>same</v>
      </c>
    </row>
    <row r="265" customFormat="false" ht="15" hidden="false" customHeight="false" outlineLevel="0" collapsed="false">
      <c r="B265" s="39" t="n">
        <v>258</v>
      </c>
      <c r="C265" s="8" t="s">
        <v>687</v>
      </c>
      <c r="D265" s="8" t="s">
        <v>699</v>
      </c>
      <c r="E265" s="51" t="n">
        <v>54</v>
      </c>
      <c r="F265" s="52" t="n">
        <f aca="false">Drop_Down!$C$68</f>
        <v>53.9984166666666</v>
      </c>
      <c r="G265" s="46" t="n">
        <f aca="false">IF(ISNUMBER(F265),F265-E265,"n/a")</f>
        <v>-0.00158333333341432</v>
      </c>
      <c r="H265" s="47" t="n">
        <v>0.050000001</v>
      </c>
      <c r="I265" s="48" t="str">
        <f aca="false">IF(ISNUMBER(F265),IF(ABS(F265-E265)&lt;=H265,"PASS","FAIL"),"FAIL")</f>
        <v>PASS</v>
      </c>
      <c r="J265" s="48" t="str">
        <f aca="false">IF(ISNUMBER(F265),IF(ROUND(F265,1)=ROUND(E265,1),"same","differs"),"n/a")</f>
        <v>same</v>
      </c>
    </row>
    <row r="266" customFormat="false" ht="15" hidden="false" customHeight="false" outlineLevel="0" collapsed="false">
      <c r="B266" s="39" t="n">
        <v>259</v>
      </c>
      <c r="C266" s="8" t="s">
        <v>687</v>
      </c>
      <c r="D266" s="8" t="s">
        <v>700</v>
      </c>
      <c r="E266" s="51" t="n">
        <v>58</v>
      </c>
      <c r="F266" s="52" t="n">
        <f aca="false">Drop_Down!$C$69</f>
        <v>58</v>
      </c>
      <c r="G266" s="46" t="n">
        <f aca="false">IF(ISNUMBER(F266),F266-E266,"n/a")</f>
        <v>0</v>
      </c>
      <c r="H266" s="47" t="n">
        <v>0.050000001</v>
      </c>
      <c r="I266" s="48" t="str">
        <f aca="false">IF(ISNUMBER(F266),IF(ABS(F266-E266)&lt;=H266,"PASS","FAIL"),"FAIL")</f>
        <v>PASS</v>
      </c>
      <c r="J266" s="48" t="str">
        <f aca="false">IF(ISNUMBER(F266),IF(ROUND(F266,1)=ROUND(E266,1),"same","differs"),"n/a")</f>
        <v>same</v>
      </c>
    </row>
    <row r="267" customFormat="false" ht="15" hidden="false" customHeight="false" outlineLevel="0" collapsed="false">
      <c r="B267" s="39" t="n">
        <v>260</v>
      </c>
      <c r="C267" s="8" t="s">
        <v>687</v>
      </c>
      <c r="D267" s="8" t="s">
        <v>362</v>
      </c>
      <c r="E267" s="51" t="n">
        <v>52.3</v>
      </c>
      <c r="F267" s="52" t="n">
        <f aca="false">Drop_Down!$C$87</f>
        <v>52.3066334869727</v>
      </c>
      <c r="G267" s="46" t="n">
        <f aca="false">IF(ISNUMBER(F267),F267-E267,"n/a")</f>
        <v>0.00663348697271715</v>
      </c>
      <c r="H267" s="47" t="n">
        <v>0.050000001</v>
      </c>
      <c r="I267" s="48" t="str">
        <f aca="false">IF(ISNUMBER(F267),IF(ABS(F267-E267)&lt;=H267,"PASS","FAIL"),"FAIL")</f>
        <v>PASS</v>
      </c>
      <c r="J267" s="48" t="str">
        <f aca="false">IF(ISNUMBER(F267),IF(ROUND(F267,1)=ROUND(E267,1),"same","differs"),"n/a")</f>
        <v>same</v>
      </c>
    </row>
    <row r="268" customFormat="false" ht="15" hidden="false" customHeight="false" outlineLevel="0" collapsed="false">
      <c r="B268" s="39" t="n">
        <v>261</v>
      </c>
      <c r="C268" s="8" t="s">
        <v>687</v>
      </c>
      <c r="D268" s="8" t="s">
        <v>701</v>
      </c>
      <c r="E268" s="44" t="n">
        <v>900</v>
      </c>
      <c r="F268" s="45" t="n">
        <f aca="false">Drop_Down!$C$88</f>
        <v>900</v>
      </c>
      <c r="G268" s="46" t="n">
        <f aca="false">IF(ISNUMBER(F268),F268-E268,"n/a")</f>
        <v>0</v>
      </c>
      <c r="H268" s="47" t="n">
        <v>0.500000001</v>
      </c>
      <c r="I268" s="48" t="str">
        <f aca="false">IF(ISNUMBER(F268),IF(ABS(F268-E268)&lt;=H268,"PASS","FAIL"),"FAIL")</f>
        <v>PASS</v>
      </c>
      <c r="J268" s="48" t="str">
        <f aca="false">IF(ISNUMBER(F268),IF(ROUND(F268,0)=ROUND(E268,0),"same","differs"),"n/a")</f>
        <v>same</v>
      </c>
    </row>
    <row r="269" customFormat="false" ht="15" hidden="false" customHeight="false" outlineLevel="0" collapsed="false">
      <c r="B269" s="39" t="n">
        <v>262</v>
      </c>
      <c r="C269" s="8" t="s">
        <v>687</v>
      </c>
      <c r="D269" s="8" t="s">
        <v>702</v>
      </c>
      <c r="E269" s="51" t="n">
        <v>0</v>
      </c>
      <c r="F269" s="52" t="n">
        <f aca="false">Drop_Down!$C$31</f>
        <v>0</v>
      </c>
      <c r="G269" s="46" t="n">
        <f aca="false">IF(ISNUMBER(F269),F269-E269,"n/a")</f>
        <v>0</v>
      </c>
      <c r="H269" s="47" t="n">
        <v>0.050000001</v>
      </c>
      <c r="I269" s="48" t="str">
        <f aca="false">IF(ISNUMBER(F269),IF(ABS(F269-E269)&lt;=H269,"PASS","FAIL"),"FAIL")</f>
        <v>PASS</v>
      </c>
      <c r="J269" s="48" t="str">
        <f aca="false">IF(ISNUMBER(F269),IF(ROUND(F269,1)=ROUND(E269,1),"same","differs"),"n/a")</f>
        <v>same</v>
      </c>
    </row>
    <row r="270" customFormat="false" ht="15" hidden="false" customHeight="false" outlineLevel="0" collapsed="false">
      <c r="B270" s="39" t="n">
        <v>263</v>
      </c>
      <c r="C270" s="8" t="s">
        <v>687</v>
      </c>
      <c r="D270" s="8" t="s">
        <v>703</v>
      </c>
      <c r="E270" s="51" t="n">
        <v>0</v>
      </c>
      <c r="F270" s="52" t="n">
        <f aca="false">Drop_Down!$D$31</f>
        <v>0</v>
      </c>
      <c r="G270" s="46" t="n">
        <f aca="false">IF(ISNUMBER(F270),F270-E270,"n/a")</f>
        <v>0</v>
      </c>
      <c r="H270" s="47" t="n">
        <v>0.050000001</v>
      </c>
      <c r="I270" s="48" t="str">
        <f aca="false">IF(ISNUMBER(F270),IF(ABS(F270-E270)&lt;=H270,"PASS","FAIL"),"FAIL")</f>
        <v>PASS</v>
      </c>
      <c r="J270" s="48" t="str">
        <f aca="false">IF(ISNUMBER(F270),IF(ROUND(F270,1)=ROUND(E270,1),"same","differs"),"n/a")</f>
        <v>same</v>
      </c>
    </row>
    <row r="271" customFormat="false" ht="15" hidden="false" customHeight="false" outlineLevel="0" collapsed="false">
      <c r="B271" s="39" t="n">
        <v>264</v>
      </c>
      <c r="C271" s="8" t="s">
        <v>687</v>
      </c>
      <c r="D271" s="8" t="s">
        <v>704</v>
      </c>
      <c r="E271" s="51" t="n">
        <v>0</v>
      </c>
      <c r="F271" s="52" t="n">
        <f aca="false">Drop_Down!$E$31</f>
        <v>0</v>
      </c>
      <c r="G271" s="46" t="n">
        <f aca="false">IF(ISNUMBER(F271),F271-E271,"n/a")</f>
        <v>0</v>
      </c>
      <c r="H271" s="47" t="n">
        <v>0.050000001</v>
      </c>
      <c r="I271" s="48" t="str">
        <f aca="false">IF(ISNUMBER(F271),IF(ABS(F271-E271)&lt;=H271,"PASS","FAIL"),"FAIL")</f>
        <v>PASS</v>
      </c>
      <c r="J271" s="48" t="str">
        <f aca="false">IF(ISNUMBER(F271),IF(ROUND(F271,1)=ROUND(E271,1),"same","differs"),"n/a")</f>
        <v>same</v>
      </c>
    </row>
    <row r="272" customFormat="false" ht="15" hidden="false" customHeight="false" outlineLevel="0" collapsed="false">
      <c r="B272" s="39" t="n">
        <v>265</v>
      </c>
      <c r="C272" s="8" t="s">
        <v>687</v>
      </c>
      <c r="D272" s="8" t="s">
        <v>705</v>
      </c>
      <c r="E272" s="51" t="n">
        <v>0</v>
      </c>
      <c r="F272" s="52" t="n">
        <f aca="false">Drop_Down!$F$31</f>
        <v>0</v>
      </c>
      <c r="G272" s="46" t="n">
        <f aca="false">IF(ISNUMBER(F272),F272-E272,"n/a")</f>
        <v>0</v>
      </c>
      <c r="H272" s="47" t="n">
        <v>0.050000001</v>
      </c>
      <c r="I272" s="48" t="str">
        <f aca="false">IF(ISNUMBER(F272),IF(ABS(F272-E272)&lt;=H272,"PASS","FAIL"),"FAIL")</f>
        <v>PASS</v>
      </c>
      <c r="J272" s="48" t="str">
        <f aca="false">IF(ISNUMBER(F272),IF(ROUND(F272,1)=ROUND(E272,1),"same","differs"),"n/a")</f>
        <v>same</v>
      </c>
    </row>
    <row r="273" customFormat="false" ht="15" hidden="false" customHeight="false" outlineLevel="0" collapsed="false">
      <c r="B273" s="39" t="n">
        <v>266</v>
      </c>
      <c r="C273" s="8" t="s">
        <v>687</v>
      </c>
      <c r="D273" s="8" t="s">
        <v>706</v>
      </c>
      <c r="E273" s="51" t="n">
        <v>0</v>
      </c>
      <c r="F273" s="52" t="n">
        <f aca="false">Drop_Down!$G$31</f>
        <v>0</v>
      </c>
      <c r="G273" s="46" t="n">
        <f aca="false">IF(ISNUMBER(F273),F273-E273,"n/a")</f>
        <v>0</v>
      </c>
      <c r="H273" s="47" t="n">
        <v>0.050000001</v>
      </c>
      <c r="I273" s="48" t="str">
        <f aca="false">IF(ISNUMBER(F273),IF(ABS(F273-E273)&lt;=H273,"PASS","FAIL"),"FAIL")</f>
        <v>PASS</v>
      </c>
      <c r="J273" s="48" t="str">
        <f aca="false">IF(ISNUMBER(F273),IF(ROUND(F273,1)=ROUND(E273,1),"same","differs"),"n/a")</f>
        <v>same</v>
      </c>
    </row>
    <row r="274" customFormat="false" ht="15" hidden="false" customHeight="false" outlineLevel="0" collapsed="false">
      <c r="B274" s="39" t="n">
        <v>267</v>
      </c>
      <c r="C274" s="8" t="s">
        <v>687</v>
      </c>
      <c r="D274" s="8" t="s">
        <v>707</v>
      </c>
      <c r="E274" s="51" t="n">
        <v>0</v>
      </c>
      <c r="F274" s="52" t="n">
        <f aca="false">Drop_Down!$H$31</f>
        <v>0</v>
      </c>
      <c r="G274" s="46" t="n">
        <f aca="false">IF(ISNUMBER(F274),F274-E274,"n/a")</f>
        <v>0</v>
      </c>
      <c r="H274" s="47" t="n">
        <v>0.050000001</v>
      </c>
      <c r="I274" s="48" t="str">
        <f aca="false">IF(ISNUMBER(F274),IF(ABS(F274-E274)&lt;=H274,"PASS","FAIL"),"FAIL")</f>
        <v>PASS</v>
      </c>
      <c r="J274" s="48" t="str">
        <f aca="false">IF(ISNUMBER(F274),IF(ROUND(F274,1)=ROUND(E274,1),"same","differs"),"n/a")</f>
        <v>same</v>
      </c>
    </row>
    <row r="275" customFormat="false" ht="15" hidden="false" customHeight="false" outlineLevel="0" collapsed="false">
      <c r="B275" s="39" t="n">
        <v>268</v>
      </c>
      <c r="C275" s="8" t="s">
        <v>687</v>
      </c>
      <c r="D275" s="8" t="s">
        <v>708</v>
      </c>
      <c r="E275" s="51" t="n">
        <v>0</v>
      </c>
      <c r="F275" s="52" t="n">
        <f aca="false">Drop_Down!$I$31</f>
        <v>0</v>
      </c>
      <c r="G275" s="46" t="n">
        <f aca="false">IF(ISNUMBER(F275),F275-E275,"n/a")</f>
        <v>0</v>
      </c>
      <c r="H275" s="47" t="n">
        <v>0.050000001</v>
      </c>
      <c r="I275" s="48" t="str">
        <f aca="false">IF(ISNUMBER(F275),IF(ABS(F275-E275)&lt;=H275,"PASS","FAIL"),"FAIL")</f>
        <v>PASS</v>
      </c>
      <c r="J275" s="48" t="str">
        <f aca="false">IF(ISNUMBER(F275),IF(ROUND(F275,1)=ROUND(E275,1),"same","differs"),"n/a")</f>
        <v>same</v>
      </c>
    </row>
    <row r="276" customFormat="false" ht="15" hidden="false" customHeight="false" outlineLevel="0" collapsed="false">
      <c r="B276" s="39" t="n">
        <v>269</v>
      </c>
      <c r="C276" s="8" t="s">
        <v>687</v>
      </c>
      <c r="D276" s="8" t="s">
        <v>709</v>
      </c>
      <c r="E276" s="51" t="n">
        <v>690</v>
      </c>
      <c r="F276" s="52" t="n">
        <f aca="false">Drop_Down!$C$78</f>
        <v>690</v>
      </c>
      <c r="G276" s="46" t="n">
        <f aca="false">IF(ISNUMBER(F276),F276-E276,"n/a")</f>
        <v>0</v>
      </c>
      <c r="H276" s="47" t="n">
        <v>0.050000001</v>
      </c>
      <c r="I276" s="48" t="str">
        <f aca="false">IF(ISNUMBER(F276),IF(ABS(F276-E276)&lt;=H276,"PASS","FAIL"),"FAIL")</f>
        <v>PASS</v>
      </c>
      <c r="J276" s="48" t="str">
        <f aca="false">IF(ISNUMBER(F276),IF(ROUND(F276,1)=ROUND(E276,1),"same","differs"),"n/a")</f>
        <v>same</v>
      </c>
    </row>
    <row r="277" customFormat="false" ht="15" hidden="false" customHeight="false" outlineLevel="0" collapsed="false">
      <c r="B277" s="39" t="n">
        <v>270</v>
      </c>
      <c r="C277" s="8" t="s">
        <v>687</v>
      </c>
      <c r="D277" s="8" t="s">
        <v>710</v>
      </c>
      <c r="E277" s="51" t="n">
        <v>549</v>
      </c>
      <c r="F277" s="52" t="n">
        <f aca="false">Drop_Down!$C$80</f>
        <v>548.998416666667</v>
      </c>
      <c r="G277" s="46" t="n">
        <f aca="false">IF(ISNUMBER(F277),F277-E277,"n/a")</f>
        <v>-0.00158333333342853</v>
      </c>
      <c r="H277" s="47" t="n">
        <v>0.050000001</v>
      </c>
      <c r="I277" s="48" t="str">
        <f aca="false">IF(ISNUMBER(F277),IF(ABS(F277-E277)&lt;=H277,"PASS","FAIL"),"FAIL")</f>
        <v>PASS</v>
      </c>
      <c r="J277" s="48" t="str">
        <f aca="false">IF(ISNUMBER(F277),IF(ROUND(F277,1)=ROUND(E277,1),"same","differs"),"n/a")</f>
        <v>same</v>
      </c>
    </row>
    <row r="278" customFormat="false" ht="15" hidden="false" customHeight="false" outlineLevel="0" collapsed="false">
      <c r="B278" s="39" t="n">
        <v>271</v>
      </c>
      <c r="C278" s="8" t="s">
        <v>687</v>
      </c>
      <c r="D278" s="8" t="s">
        <v>711</v>
      </c>
      <c r="E278" s="44" t="n">
        <v>882</v>
      </c>
      <c r="F278" s="45" t="n">
        <f aca="false">Drop_Down!$C$67</f>
        <v>882</v>
      </c>
      <c r="G278" s="46" t="n">
        <f aca="false">IF(ISNUMBER(F278),F278-E278,"n/a")</f>
        <v>0</v>
      </c>
      <c r="H278" s="47" t="n">
        <v>0.500000001</v>
      </c>
      <c r="I278" s="48" t="str">
        <f aca="false">IF(ISNUMBER(F278),IF(ABS(F278-E278)&lt;=H278,"PASS","FAIL"),"FAIL")</f>
        <v>PASS</v>
      </c>
      <c r="J278" s="48" t="str">
        <f aca="false">IF(ISNUMBER(F278),IF(ROUND(F278,0)=ROUND(E278,0),"same","differs"),"n/a")</f>
        <v>same</v>
      </c>
    </row>
    <row r="279" customFormat="false" ht="15" hidden="false" customHeight="false" outlineLevel="0" collapsed="false">
      <c r="B279" s="39" t="n">
        <v>272</v>
      </c>
      <c r="C279" s="8" t="s">
        <v>687</v>
      </c>
      <c r="D279" s="8" t="s">
        <v>712</v>
      </c>
      <c r="E279" s="12" t="n">
        <v>0.622</v>
      </c>
      <c r="F279" s="50" t="n">
        <f aca="false">Drop_Down!$C$81</f>
        <v>0.622447184429327</v>
      </c>
      <c r="G279" s="46" t="n">
        <f aca="false">IF(ISNUMBER(F279),F279-E279,"n/a")</f>
        <v>0.00044718442932723</v>
      </c>
      <c r="H279" s="47" t="n">
        <v>0.000500001</v>
      </c>
      <c r="I279" s="48" t="str">
        <f aca="false">IF(ISNUMBER(F279),IF(ABS(F279-E279)&lt;=H279,"PASS","FAIL"),"FAIL")</f>
        <v>PASS</v>
      </c>
      <c r="J279" s="48" t="str">
        <f aca="false">IF(ISNUMBER(F279),IF(ROUND(F279,3)=ROUND(E279,3),"same","differs"),"n/a")</f>
        <v>same</v>
      </c>
    </row>
    <row r="280" customFormat="false" ht="15" hidden="false" customHeight="false" outlineLevel="0" collapsed="false">
      <c r="B280" s="39" t="n">
        <v>273</v>
      </c>
      <c r="C280" s="8" t="s">
        <v>687</v>
      </c>
      <c r="D280" s="8" t="s">
        <v>713</v>
      </c>
      <c r="E280" s="51" t="n">
        <v>668.2</v>
      </c>
      <c r="F280" s="52" t="n">
        <f aca="false">Drop_Down!$C$83</f>
        <v>668.187283124217</v>
      </c>
      <c r="G280" s="46" t="n">
        <f aca="false">IF(ISNUMBER(F280),F280-E280,"n/a")</f>
        <v>-0.012716875782985</v>
      </c>
      <c r="H280" s="47" t="n">
        <v>0.050000001</v>
      </c>
      <c r="I280" s="48" t="str">
        <f aca="false">IF(ISNUMBER(F280),IF(ABS(F280-E280)&lt;=H280,"PASS","FAIL"),"FAIL")</f>
        <v>PASS</v>
      </c>
      <c r="J280" s="48" t="str">
        <f aca="false">IF(ISNUMBER(F280),IF(ROUND(F280,1)=ROUND(E280,1),"same","differs"),"n/a")</f>
        <v>same</v>
      </c>
    </row>
    <row r="281" customFormat="false" ht="15" hidden="false" customHeight="false" outlineLevel="0" collapsed="false">
      <c r="B281" s="39" t="n">
        <v>274</v>
      </c>
      <c r="C281" s="8" t="s">
        <v>687</v>
      </c>
      <c r="D281" s="8" t="s">
        <v>714</v>
      </c>
      <c r="E281" s="51" t="n">
        <v>-21.8</v>
      </c>
      <c r="F281" s="52" t="n">
        <f aca="false">Drop_Down!$C$84</f>
        <v>-21.8127168757829</v>
      </c>
      <c r="G281" s="46" t="n">
        <f aca="false">IF(ISNUMBER(F281),F281-E281,"n/a")</f>
        <v>-0.0127168757829388</v>
      </c>
      <c r="H281" s="47" t="n">
        <v>0.050000001</v>
      </c>
      <c r="I281" s="48" t="str">
        <f aca="false">IF(ISNUMBER(F281),IF(ABS(F281-E281)&lt;=H281,"PASS","FAIL"),"FAIL")</f>
        <v>PASS</v>
      </c>
      <c r="J281" s="48" t="str">
        <f aca="false">IF(ISNUMBER(F281),IF(ROUND(F281,1)=ROUND(E281,1),"same","differs"),"n/a")</f>
        <v>same</v>
      </c>
    </row>
    <row r="282" customFormat="false" ht="15" hidden="false" customHeight="false" outlineLevel="0" collapsed="false">
      <c r="B282" s="39" t="n">
        <v>275</v>
      </c>
      <c r="C282" s="8" t="s">
        <v>687</v>
      </c>
      <c r="D282" s="8" t="s">
        <v>715</v>
      </c>
      <c r="E282" s="51" t="n">
        <v>790</v>
      </c>
      <c r="F282" s="52" t="n">
        <f aca="false">Drop_Down!$D$78</f>
        <v>790</v>
      </c>
      <c r="G282" s="46" t="n">
        <f aca="false">IF(ISNUMBER(F282),F282-E282,"n/a")</f>
        <v>0</v>
      </c>
      <c r="H282" s="47" t="n">
        <v>0.050000001</v>
      </c>
      <c r="I282" s="48" t="str">
        <f aca="false">IF(ISNUMBER(F282),IF(ABS(F282-E282)&lt;=H282,"PASS","FAIL"),"FAIL")</f>
        <v>PASS</v>
      </c>
      <c r="J282" s="48" t="str">
        <f aca="false">IF(ISNUMBER(F282),IF(ROUND(F282,1)=ROUND(E282,1),"same","differs"),"n/a")</f>
        <v>same</v>
      </c>
    </row>
    <row r="283" customFormat="false" ht="15" hidden="false" customHeight="false" outlineLevel="0" collapsed="false">
      <c r="B283" s="39" t="n">
        <v>276</v>
      </c>
      <c r="C283" s="8" t="s">
        <v>687</v>
      </c>
      <c r="D283" s="8" t="s">
        <v>716</v>
      </c>
      <c r="E283" s="51" t="n">
        <v>649</v>
      </c>
      <c r="F283" s="52" t="n">
        <f aca="false">Drop_Down!$D$80</f>
        <v>648.998416666667</v>
      </c>
      <c r="G283" s="46" t="n">
        <f aca="false">IF(ISNUMBER(F283),F283-E283,"n/a")</f>
        <v>-0.00158333333342853</v>
      </c>
      <c r="H283" s="47" t="n">
        <v>0.050000001</v>
      </c>
      <c r="I283" s="48" t="str">
        <f aca="false">IF(ISNUMBER(F283),IF(ABS(F283-E283)&lt;=H283,"PASS","FAIL"),"FAIL")</f>
        <v>PASS</v>
      </c>
      <c r="J283" s="48" t="str">
        <f aca="false">IF(ISNUMBER(F283),IF(ROUND(F283,1)=ROUND(E283,1),"same","differs"),"n/a")</f>
        <v>same</v>
      </c>
    </row>
    <row r="284" customFormat="false" ht="15" hidden="false" customHeight="false" outlineLevel="0" collapsed="false">
      <c r="B284" s="39" t="n">
        <v>277</v>
      </c>
      <c r="C284" s="8" t="s">
        <v>687</v>
      </c>
      <c r="D284" s="8" t="s">
        <v>717</v>
      </c>
      <c r="E284" s="44" t="n">
        <v>882</v>
      </c>
      <c r="F284" s="45" t="n">
        <f aca="false">Drop_Down!$C$67</f>
        <v>882</v>
      </c>
      <c r="G284" s="46" t="n">
        <f aca="false">IF(ISNUMBER(F284),F284-E284,"n/a")</f>
        <v>0</v>
      </c>
      <c r="H284" s="47" t="n">
        <v>0.500000001</v>
      </c>
      <c r="I284" s="48" t="str">
        <f aca="false">IF(ISNUMBER(F284),IF(ABS(F284-E284)&lt;=H284,"PASS","FAIL"),"FAIL")</f>
        <v>PASS</v>
      </c>
      <c r="J284" s="48" t="str">
        <f aca="false">IF(ISNUMBER(F284),IF(ROUND(F284,0)=ROUND(E284,0),"same","differs"),"n/a")</f>
        <v>same</v>
      </c>
    </row>
    <row r="285" customFormat="false" ht="15" hidden="false" customHeight="false" outlineLevel="0" collapsed="false">
      <c r="B285" s="39" t="n">
        <v>278</v>
      </c>
      <c r="C285" s="8" t="s">
        <v>687</v>
      </c>
      <c r="D285" s="8" t="s">
        <v>718</v>
      </c>
      <c r="E285" s="12" t="n">
        <v>0.736</v>
      </c>
      <c r="F285" s="50" t="n">
        <f aca="false">Drop_Down!$D$81</f>
        <v>0.735825869236583</v>
      </c>
      <c r="G285" s="46" t="n">
        <f aca="false">IF(ISNUMBER(F285),F285-E285,"n/a")</f>
        <v>-0.000174130763416547</v>
      </c>
      <c r="H285" s="47" t="n">
        <v>0.000500001</v>
      </c>
      <c r="I285" s="48" t="str">
        <f aca="false">IF(ISNUMBER(F285),IF(ABS(F285-E285)&lt;=H285,"PASS","FAIL"),"FAIL")</f>
        <v>PASS</v>
      </c>
      <c r="J285" s="48" t="str">
        <f aca="false">IF(ISNUMBER(F285),IF(ROUND(F285,3)=ROUND(E285,3),"same","differs"),"n/a")</f>
        <v>same</v>
      </c>
    </row>
    <row r="286" customFormat="false" ht="15" hidden="false" customHeight="false" outlineLevel="0" collapsed="false">
      <c r="B286" s="39" t="n">
        <v>279</v>
      </c>
      <c r="C286" s="8" t="s">
        <v>687</v>
      </c>
      <c r="D286" s="8" t="s">
        <v>719</v>
      </c>
      <c r="E286" s="51" t="n">
        <v>752.9</v>
      </c>
      <c r="F286" s="52" t="n">
        <f aca="false">Drop_Down!$D$83</f>
        <v>752.940324818622</v>
      </c>
      <c r="G286" s="46" t="n">
        <f aca="false">IF(ISNUMBER(F286),F286-E286,"n/a")</f>
        <v>0.0403248186222527</v>
      </c>
      <c r="H286" s="47" t="n">
        <v>0.050000001</v>
      </c>
      <c r="I286" s="48" t="str">
        <f aca="false">IF(ISNUMBER(F286),IF(ABS(F286-E286)&lt;=H286,"PASS","FAIL"),"FAIL")</f>
        <v>PASS</v>
      </c>
      <c r="J286" s="48" t="str">
        <f aca="false">IF(ISNUMBER(F286),IF(ROUND(F286,1)=ROUND(E286,1),"same","differs"),"n/a")</f>
        <v>same</v>
      </c>
    </row>
    <row r="287" customFormat="false" ht="15" hidden="false" customHeight="false" outlineLevel="0" collapsed="false">
      <c r="B287" s="39" t="n">
        <v>280</v>
      </c>
      <c r="C287" s="8" t="s">
        <v>687</v>
      </c>
      <c r="D287" s="8" t="s">
        <v>720</v>
      </c>
      <c r="E287" s="51" t="n">
        <v>-37.1</v>
      </c>
      <c r="F287" s="52" t="n">
        <f aca="false">Drop_Down!$D$84</f>
        <v>-37.0596751813778</v>
      </c>
      <c r="G287" s="46" t="n">
        <f aca="false">IF(ISNUMBER(F287),F287-E287,"n/a")</f>
        <v>0.0403248186222314</v>
      </c>
      <c r="H287" s="47" t="n">
        <v>0.050000001</v>
      </c>
      <c r="I287" s="48" t="str">
        <f aca="false">IF(ISNUMBER(F287),IF(ABS(F287-E287)&lt;=H287,"PASS","FAIL"),"FAIL")</f>
        <v>PASS</v>
      </c>
      <c r="J287" s="48" t="str">
        <f aca="false">IF(ISNUMBER(F287),IF(ROUND(F287,1)=ROUND(E287,1),"same","differs"),"n/a")</f>
        <v>same</v>
      </c>
    </row>
    <row r="288" customFormat="false" ht="15" hidden="false" customHeight="false" outlineLevel="0" collapsed="false">
      <c r="B288" s="39" t="n">
        <v>281</v>
      </c>
      <c r="C288" s="8" t="s">
        <v>687</v>
      </c>
      <c r="D288" s="8" t="s">
        <v>721</v>
      </c>
      <c r="E288" s="51" t="n">
        <v>890</v>
      </c>
      <c r="F288" s="52" t="n">
        <f aca="false">Drop_Down!$E$78</f>
        <v>890</v>
      </c>
      <c r="G288" s="46" t="n">
        <f aca="false">IF(ISNUMBER(F288),F288-E288,"n/a")</f>
        <v>0</v>
      </c>
      <c r="H288" s="47" t="n">
        <v>0.050000001</v>
      </c>
      <c r="I288" s="48" t="str">
        <f aca="false">IF(ISNUMBER(F288),IF(ABS(F288-E288)&lt;=H288,"PASS","FAIL"),"FAIL")</f>
        <v>PASS</v>
      </c>
      <c r="J288" s="48" t="str">
        <f aca="false">IF(ISNUMBER(F288),IF(ROUND(F288,1)=ROUND(E288,1),"same","differs"),"n/a")</f>
        <v>same</v>
      </c>
    </row>
    <row r="289" customFormat="false" ht="15" hidden="false" customHeight="false" outlineLevel="0" collapsed="false">
      <c r="B289" s="39" t="n">
        <v>282</v>
      </c>
      <c r="C289" s="8" t="s">
        <v>687</v>
      </c>
      <c r="D289" s="8" t="s">
        <v>722</v>
      </c>
      <c r="E289" s="51" t="n">
        <v>749</v>
      </c>
      <c r="F289" s="52" t="n">
        <f aca="false">Drop_Down!$E$80</f>
        <v>748.998416666667</v>
      </c>
      <c r="G289" s="46" t="n">
        <f aca="false">IF(ISNUMBER(F289),F289-E289,"n/a")</f>
        <v>-0.00158333333342853</v>
      </c>
      <c r="H289" s="47" t="n">
        <v>0.050000001</v>
      </c>
      <c r="I289" s="48" t="str">
        <f aca="false">IF(ISNUMBER(F289),IF(ABS(F289-E289)&lt;=H289,"PASS","FAIL"),"FAIL")</f>
        <v>PASS</v>
      </c>
      <c r="J289" s="48" t="str">
        <f aca="false">IF(ISNUMBER(F289),IF(ROUND(F289,1)=ROUND(E289,1),"same","differs"),"n/a")</f>
        <v>same</v>
      </c>
    </row>
    <row r="290" customFormat="false" ht="15" hidden="false" customHeight="false" outlineLevel="0" collapsed="false">
      <c r="B290" s="39" t="n">
        <v>283</v>
      </c>
      <c r="C290" s="8" t="s">
        <v>687</v>
      </c>
      <c r="D290" s="8" t="s">
        <v>723</v>
      </c>
      <c r="E290" s="44" t="n">
        <v>882</v>
      </c>
      <c r="F290" s="45" t="n">
        <f aca="false">Drop_Down!$C$67</f>
        <v>882</v>
      </c>
      <c r="G290" s="46" t="n">
        <f aca="false">IF(ISNUMBER(F290),F290-E290,"n/a")</f>
        <v>0</v>
      </c>
      <c r="H290" s="47" t="n">
        <v>0.500000001</v>
      </c>
      <c r="I290" s="48" t="str">
        <f aca="false">IF(ISNUMBER(F290),IF(ABS(F290-E290)&lt;=H290,"PASS","FAIL"),"FAIL")</f>
        <v>PASS</v>
      </c>
      <c r="J290" s="48" t="str">
        <f aca="false">IF(ISNUMBER(F290),IF(ROUND(F290,0)=ROUND(E290,0),"same","differs"),"n/a")</f>
        <v>same</v>
      </c>
    </row>
    <row r="291" customFormat="false" ht="15" hidden="false" customHeight="false" outlineLevel="0" collapsed="false">
      <c r="B291" s="39" t="n">
        <v>284</v>
      </c>
      <c r="C291" s="8" t="s">
        <v>687</v>
      </c>
      <c r="D291" s="8" t="s">
        <v>724</v>
      </c>
      <c r="E291" s="12" t="n">
        <v>0.849</v>
      </c>
      <c r="F291" s="50" t="n">
        <f aca="false">Drop_Down!$E$81</f>
        <v>0.84920455404384</v>
      </c>
      <c r="G291" s="46" t="n">
        <f aca="false">IF(ISNUMBER(F291),F291-E291,"n/a")</f>
        <v>0.000204554043839567</v>
      </c>
      <c r="H291" s="47" t="n">
        <v>0.000500001</v>
      </c>
      <c r="I291" s="48" t="str">
        <f aca="false">IF(ISNUMBER(F291),IF(ABS(F291-E291)&lt;=H291,"PASS","FAIL"),"FAIL")</f>
        <v>PASS</v>
      </c>
      <c r="J291" s="48" t="str">
        <f aca="false">IF(ISNUMBER(F291),IF(ROUND(F291,3)=ROUND(E291,3),"same","differs"),"n/a")</f>
        <v>same</v>
      </c>
    </row>
    <row r="292" customFormat="false" ht="15" hidden="false" customHeight="false" outlineLevel="0" collapsed="false">
      <c r="B292" s="39" t="n">
        <v>285</v>
      </c>
      <c r="C292" s="8" t="s">
        <v>687</v>
      </c>
      <c r="D292" s="8" t="s">
        <v>725</v>
      </c>
      <c r="E292" s="51" t="n">
        <v>837.7</v>
      </c>
      <c r="F292" s="52" t="n">
        <f aca="false">Drop_Down!$E$83</f>
        <v>837.693366513027</v>
      </c>
      <c r="G292" s="46" t="n">
        <f aca="false">IF(ISNUMBER(F292),F292-E292,"n/a")</f>
        <v>-0.00663348697275978</v>
      </c>
      <c r="H292" s="47" t="n">
        <v>0.050000001</v>
      </c>
      <c r="I292" s="48" t="str">
        <f aca="false">IF(ISNUMBER(F292),IF(ABS(F292-E292)&lt;=H292,"PASS","FAIL"),"FAIL")</f>
        <v>PASS</v>
      </c>
      <c r="J292" s="48" t="str">
        <f aca="false">IF(ISNUMBER(F292),IF(ROUND(F292,1)=ROUND(E292,1),"same","differs"),"n/a")</f>
        <v>same</v>
      </c>
    </row>
    <row r="293" customFormat="false" ht="15" hidden="false" customHeight="false" outlineLevel="0" collapsed="false">
      <c r="B293" s="39" t="n">
        <v>286</v>
      </c>
      <c r="C293" s="8" t="s">
        <v>687</v>
      </c>
      <c r="D293" s="8" t="s">
        <v>726</v>
      </c>
      <c r="E293" s="51" t="n">
        <v>-52.3</v>
      </c>
      <c r="F293" s="52" t="n">
        <f aca="false">Drop_Down!$E$84</f>
        <v>-52.3066334869727</v>
      </c>
      <c r="G293" s="46" t="n">
        <f aca="false">IF(ISNUMBER(F293),F293-E293,"n/a")</f>
        <v>-0.00663348697271715</v>
      </c>
      <c r="H293" s="47" t="n">
        <v>0.050000001</v>
      </c>
      <c r="I293" s="48" t="str">
        <f aca="false">IF(ISNUMBER(F293),IF(ABS(F293-E293)&lt;=H293,"PASS","FAIL"),"FAIL")</f>
        <v>PASS</v>
      </c>
      <c r="J293" s="48" t="str">
        <f aca="false">IF(ISNUMBER(F293),IF(ROUND(F293,1)=ROUND(E293,1),"same","differs"),"n/a")</f>
        <v>same</v>
      </c>
    </row>
    <row r="294" customFormat="false" ht="15" hidden="false" customHeight="false" outlineLevel="0" collapsed="false">
      <c r="B294" s="39" t="n">
        <v>287</v>
      </c>
      <c r="C294" s="8" t="s">
        <v>687</v>
      </c>
      <c r="D294" s="8" t="s">
        <v>727</v>
      </c>
      <c r="E294" s="51" t="n">
        <v>950</v>
      </c>
      <c r="F294" s="52" t="n">
        <f aca="false">Drop_Down!$F$78</f>
        <v>950</v>
      </c>
      <c r="G294" s="46" t="n">
        <f aca="false">IF(ISNUMBER(F294),F294-E294,"n/a")</f>
        <v>0</v>
      </c>
      <c r="H294" s="47" t="n">
        <v>0.050000001</v>
      </c>
      <c r="I294" s="48" t="str">
        <f aca="false">IF(ISNUMBER(F294),IF(ABS(F294-E294)&lt;=H294,"PASS","FAIL"),"FAIL")</f>
        <v>PASS</v>
      </c>
      <c r="J294" s="48" t="str">
        <f aca="false">IF(ISNUMBER(F294),IF(ROUND(F294,1)=ROUND(E294,1),"same","differs"),"n/a")</f>
        <v>same</v>
      </c>
    </row>
    <row r="295" customFormat="false" ht="15" hidden="false" customHeight="false" outlineLevel="0" collapsed="false">
      <c r="B295" s="39" t="n">
        <v>288</v>
      </c>
      <c r="C295" s="8" t="s">
        <v>687</v>
      </c>
      <c r="D295" s="8" t="s">
        <v>728</v>
      </c>
      <c r="E295" s="51" t="n">
        <v>849</v>
      </c>
      <c r="F295" s="52" t="n">
        <f aca="false">Drop_Down!$F$80</f>
        <v>848.998416666667</v>
      </c>
      <c r="G295" s="46" t="n">
        <f aca="false">IF(ISNUMBER(F295),F295-E295,"n/a")</f>
        <v>-0.00158333333342853</v>
      </c>
      <c r="H295" s="47" t="n">
        <v>0.050000001</v>
      </c>
      <c r="I295" s="48" t="str">
        <f aca="false">IF(ISNUMBER(F295),IF(ABS(F295-E295)&lt;=H295,"PASS","FAIL"),"FAIL")</f>
        <v>PASS</v>
      </c>
      <c r="J295" s="48" t="str">
        <f aca="false">IF(ISNUMBER(F295),IF(ROUND(F295,1)=ROUND(E295,1),"same","differs"),"n/a")</f>
        <v>same</v>
      </c>
    </row>
    <row r="296" customFormat="false" ht="15" hidden="false" customHeight="false" outlineLevel="0" collapsed="false">
      <c r="B296" s="39" t="n">
        <v>289</v>
      </c>
      <c r="C296" s="8" t="s">
        <v>687</v>
      </c>
      <c r="D296" s="8" t="s">
        <v>729</v>
      </c>
      <c r="E296" s="44" t="n">
        <v>882</v>
      </c>
      <c r="F296" s="45" t="n">
        <f aca="false">Drop_Down!$C$67</f>
        <v>882</v>
      </c>
      <c r="G296" s="46" t="n">
        <f aca="false">IF(ISNUMBER(F296),F296-E296,"n/a")</f>
        <v>0</v>
      </c>
      <c r="H296" s="47" t="n">
        <v>0.500000001</v>
      </c>
      <c r="I296" s="48" t="str">
        <f aca="false">IF(ISNUMBER(F296),IF(ABS(F296-E296)&lt;=H296,"PASS","FAIL"),"FAIL")</f>
        <v>PASS</v>
      </c>
      <c r="J296" s="48" t="str">
        <f aca="false">IF(ISNUMBER(F296),IF(ROUND(F296,0)=ROUND(E296,0),"same","differs"),"n/a")</f>
        <v>same</v>
      </c>
    </row>
    <row r="297" customFormat="false" ht="15" hidden="false" customHeight="false" outlineLevel="0" collapsed="false">
      <c r="B297" s="39" t="n">
        <v>290</v>
      </c>
      <c r="C297" s="8" t="s">
        <v>687</v>
      </c>
      <c r="D297" s="8" t="s">
        <v>730</v>
      </c>
      <c r="E297" s="12" t="n">
        <v>0.963</v>
      </c>
      <c r="F297" s="50" t="n">
        <f aca="false">Drop_Down!$F$81</f>
        <v>0.962583238851096</v>
      </c>
      <c r="G297" s="46" t="n">
        <f aca="false">IF(ISNUMBER(F297),F297-E297,"n/a")</f>
        <v>-0.000416761148904099</v>
      </c>
      <c r="H297" s="47" t="n">
        <v>0.000500001</v>
      </c>
      <c r="I297" s="48" t="str">
        <f aca="false">IF(ISNUMBER(F297),IF(ABS(F297-E297)&lt;=H297,"PASS","FAIL"),"FAIL")</f>
        <v>PASS</v>
      </c>
      <c r="J297" s="48" t="str">
        <f aca="false">IF(ISNUMBER(F297),IF(ROUND(F297,3)=ROUND(E297,3),"same","differs"),"n/a")</f>
        <v>same</v>
      </c>
    </row>
    <row r="298" customFormat="false" ht="15" hidden="false" customHeight="false" outlineLevel="0" collapsed="false">
      <c r="B298" s="39" t="n">
        <v>291</v>
      </c>
      <c r="C298" s="8" t="s">
        <v>687</v>
      </c>
      <c r="D298" s="8" t="s">
        <v>731</v>
      </c>
      <c r="E298" s="51" t="n">
        <v>922.4</v>
      </c>
      <c r="F298" s="52" t="n">
        <f aca="false">Drop_Down!$F$83</f>
        <v>922.446408207432</v>
      </c>
      <c r="G298" s="46" t="n">
        <f aca="false">IF(ISNUMBER(F298),F298-E298,"n/a")</f>
        <v>0.0464082074322505</v>
      </c>
      <c r="H298" s="47" t="n">
        <v>0.050000001</v>
      </c>
      <c r="I298" s="48" t="str">
        <f aca="false">IF(ISNUMBER(F298),IF(ABS(F298-E298)&lt;=H298,"PASS","FAIL"),"FAIL")</f>
        <v>PASS</v>
      </c>
      <c r="J298" s="48" t="str">
        <f aca="false">IF(ISNUMBER(F298),IF(ROUND(F298,1)=ROUND(E298,1),"same","differs"),"n/a")</f>
        <v>same</v>
      </c>
    </row>
    <row r="299" customFormat="false" ht="15" hidden="false" customHeight="false" outlineLevel="0" collapsed="false">
      <c r="B299" s="39" t="n">
        <v>292</v>
      </c>
      <c r="C299" s="8" t="s">
        <v>687</v>
      </c>
      <c r="D299" s="8" t="s">
        <v>732</v>
      </c>
      <c r="E299" s="51" t="n">
        <v>-27.6</v>
      </c>
      <c r="F299" s="52" t="n">
        <f aca="false">Drop_Down!$F$84</f>
        <v>-27.5535917925678</v>
      </c>
      <c r="G299" s="46" t="n">
        <f aca="false">IF(ISNUMBER(F299),F299-E299,"n/a")</f>
        <v>0.0464082074322292</v>
      </c>
      <c r="H299" s="47" t="n">
        <v>0.050000001</v>
      </c>
      <c r="I299" s="48" t="str">
        <f aca="false">IF(ISNUMBER(F299),IF(ABS(F299-E299)&lt;=H299,"PASS","FAIL"),"FAIL")</f>
        <v>PASS</v>
      </c>
      <c r="J299" s="48" t="str">
        <f aca="false">IF(ISNUMBER(F299),IF(ROUND(F299,1)=ROUND(E299,1),"same","differs"),"n/a")</f>
        <v>same</v>
      </c>
    </row>
    <row r="300" customFormat="false" ht="15" hidden="false" customHeight="false" outlineLevel="0" collapsed="false">
      <c r="B300" s="39" t="n">
        <v>293</v>
      </c>
      <c r="C300" s="8" t="s">
        <v>687</v>
      </c>
      <c r="D300" s="8" t="s">
        <v>733</v>
      </c>
      <c r="E300" s="51" t="n">
        <v>950</v>
      </c>
      <c r="F300" s="52" t="n">
        <f aca="false">Drop_Down!$G$78</f>
        <v>950</v>
      </c>
      <c r="G300" s="46" t="n">
        <f aca="false">IF(ISNUMBER(F300),F300-E300,"n/a")</f>
        <v>0</v>
      </c>
      <c r="H300" s="47" t="n">
        <v>0.050000001</v>
      </c>
      <c r="I300" s="48" t="str">
        <f aca="false">IF(ISNUMBER(F300),IF(ABS(F300-E300)&lt;=H300,"PASS","FAIL"),"FAIL")</f>
        <v>PASS</v>
      </c>
      <c r="J300" s="48" t="str">
        <f aca="false">IF(ISNUMBER(F300),IF(ROUND(F300,1)=ROUND(E300,1),"same","differs"),"n/a")</f>
        <v>same</v>
      </c>
    </row>
    <row r="301" customFormat="false" ht="15" hidden="false" customHeight="false" outlineLevel="0" collapsed="false">
      <c r="B301" s="39" t="n">
        <v>294</v>
      </c>
      <c r="C301" s="8" t="s">
        <v>687</v>
      </c>
      <c r="D301" s="8" t="s">
        <v>734</v>
      </c>
      <c r="E301" s="51" t="n">
        <v>882</v>
      </c>
      <c r="F301" s="52" t="n">
        <f aca="false">Drop_Down!$G$80</f>
        <v>882</v>
      </c>
      <c r="G301" s="46" t="n">
        <f aca="false">IF(ISNUMBER(F301),F301-E301,"n/a")</f>
        <v>0</v>
      </c>
      <c r="H301" s="47" t="n">
        <v>0.050000001</v>
      </c>
      <c r="I301" s="48" t="str">
        <f aca="false">IF(ISNUMBER(F301),IF(ABS(F301-E301)&lt;=H301,"PASS","FAIL"),"FAIL")</f>
        <v>PASS</v>
      </c>
      <c r="J301" s="48" t="str">
        <f aca="false">IF(ISNUMBER(F301),IF(ROUND(F301,1)=ROUND(E301,1),"same","differs"),"n/a")</f>
        <v>same</v>
      </c>
    </row>
    <row r="302" customFormat="false" ht="15" hidden="false" customHeight="false" outlineLevel="0" collapsed="false">
      <c r="B302" s="39" t="n">
        <v>295</v>
      </c>
      <c r="C302" s="8" t="s">
        <v>687</v>
      </c>
      <c r="D302" s="8" t="s">
        <v>735</v>
      </c>
      <c r="E302" s="44" t="n">
        <v>882</v>
      </c>
      <c r="F302" s="45" t="n">
        <f aca="false">Drop_Down!$C$67</f>
        <v>882</v>
      </c>
      <c r="G302" s="46" t="n">
        <f aca="false">IF(ISNUMBER(F302),F302-E302,"n/a")</f>
        <v>0</v>
      </c>
      <c r="H302" s="47" t="n">
        <v>0.500000001</v>
      </c>
      <c r="I302" s="48" t="str">
        <f aca="false">IF(ISNUMBER(F302),IF(ABS(F302-E302)&lt;=H302,"PASS","FAIL"),"FAIL")</f>
        <v>PASS</v>
      </c>
      <c r="J302" s="48" t="str">
        <f aca="false">IF(ISNUMBER(F302),IF(ROUND(F302,0)=ROUND(E302,0),"same","differs"),"n/a")</f>
        <v>same</v>
      </c>
    </row>
    <row r="303" customFormat="false" ht="15" hidden="false" customHeight="false" outlineLevel="0" collapsed="false">
      <c r="B303" s="39" t="n">
        <v>296</v>
      </c>
      <c r="C303" s="8" t="s">
        <v>687</v>
      </c>
      <c r="D303" s="8" t="s">
        <v>736</v>
      </c>
      <c r="E303" s="12" t="n">
        <v>1</v>
      </c>
      <c r="F303" s="50" t="n">
        <f aca="false">Drop_Down!$G$81</f>
        <v>1</v>
      </c>
      <c r="G303" s="46" t="n">
        <f aca="false">IF(ISNUMBER(F303),F303-E303,"n/a")</f>
        <v>0</v>
      </c>
      <c r="H303" s="47" t="n">
        <v>0.000500001</v>
      </c>
      <c r="I303" s="48" t="str">
        <f aca="false">IF(ISNUMBER(F303),IF(ABS(F303-E303)&lt;=H303,"PASS","FAIL"),"FAIL")</f>
        <v>PASS</v>
      </c>
      <c r="J303" s="48" t="str">
        <f aca="false">IF(ISNUMBER(F303),IF(ROUND(F303,3)=ROUND(E303,3),"same","differs"),"n/a")</f>
        <v>same</v>
      </c>
    </row>
    <row r="304" customFormat="false" ht="15" hidden="false" customHeight="false" outlineLevel="0" collapsed="false">
      <c r="B304" s="39" t="n">
        <v>297</v>
      </c>
      <c r="C304" s="8" t="s">
        <v>687</v>
      </c>
      <c r="D304" s="8" t="s">
        <v>737</v>
      </c>
      <c r="E304" s="51" t="n">
        <v>950.4</v>
      </c>
      <c r="F304" s="52" t="n">
        <f aca="false">Drop_Down!$G$83</f>
        <v>950.416253889746</v>
      </c>
      <c r="G304" s="46" t="n">
        <f aca="false">IF(ISNUMBER(F304),F304-E304,"n/a")</f>
        <v>0.0162538897460536</v>
      </c>
      <c r="H304" s="47" t="n">
        <v>0.050000001</v>
      </c>
      <c r="I304" s="48" t="str">
        <f aca="false">IF(ISNUMBER(F304),IF(ABS(F304-E304)&lt;=H304,"PASS","FAIL"),"FAIL")</f>
        <v>PASS</v>
      </c>
      <c r="J304" s="48" t="str">
        <f aca="false">IF(ISNUMBER(F304),IF(ROUND(F304,1)=ROUND(E304,1),"same","differs"),"n/a")</f>
        <v>same</v>
      </c>
    </row>
    <row r="305" customFormat="false" ht="15" hidden="false" customHeight="false" outlineLevel="0" collapsed="false">
      <c r="B305" s="39" t="n">
        <v>298</v>
      </c>
      <c r="C305" s="8" t="s">
        <v>687</v>
      </c>
      <c r="D305" s="8" t="s">
        <v>738</v>
      </c>
      <c r="E305" s="51" t="n">
        <v>0.4</v>
      </c>
      <c r="F305" s="52" t="n">
        <f aca="false">Drop_Down!$G$84</f>
        <v>0.416253889746031</v>
      </c>
      <c r="G305" s="46" t="n">
        <f aca="false">IF(ISNUMBER(F305),F305-E305,"n/a")</f>
        <v>0.0162538897460308</v>
      </c>
      <c r="H305" s="47" t="n">
        <v>0.050000001</v>
      </c>
      <c r="I305" s="48" t="str">
        <f aca="false">IF(ISNUMBER(F305),IF(ABS(F305-E305)&lt;=H305,"PASS","FAIL"),"FAIL")</f>
        <v>PASS</v>
      </c>
      <c r="J305" s="48" t="str">
        <f aca="false">IF(ISNUMBER(F305),IF(ROUND(F305,1)=ROUND(E305,1),"same","differs"),"n/a")</f>
        <v>same</v>
      </c>
    </row>
    <row r="306" customFormat="false" ht="15" hidden="false" customHeight="false" outlineLevel="0" collapsed="false">
      <c r="B306" s="39" t="n">
        <v>299</v>
      </c>
      <c r="C306" s="8" t="s">
        <v>687</v>
      </c>
      <c r="D306" s="8" t="s">
        <v>739</v>
      </c>
      <c r="E306" s="51" t="n">
        <v>950</v>
      </c>
      <c r="F306" s="52" t="n">
        <f aca="false">Drop_Down!$H$78</f>
        <v>950</v>
      </c>
      <c r="G306" s="46" t="n">
        <f aca="false">IF(ISNUMBER(F306),F306-E306,"n/a")</f>
        <v>0</v>
      </c>
      <c r="H306" s="47" t="n">
        <v>0.050000001</v>
      </c>
      <c r="I306" s="48" t="str">
        <f aca="false">IF(ISNUMBER(F306),IF(ABS(F306-E306)&lt;=H306,"PASS","FAIL"),"FAIL")</f>
        <v>PASS</v>
      </c>
      <c r="J306" s="48" t="str">
        <f aca="false">IF(ISNUMBER(F306),IF(ROUND(F306,1)=ROUND(E306,1),"same","differs"),"n/a")</f>
        <v>same</v>
      </c>
    </row>
    <row r="307" customFormat="false" ht="15" hidden="false" customHeight="false" outlineLevel="0" collapsed="false">
      <c r="B307" s="39" t="n">
        <v>300</v>
      </c>
      <c r="C307" s="8" t="s">
        <v>687</v>
      </c>
      <c r="D307" s="8" t="s">
        <v>740</v>
      </c>
      <c r="E307" s="51" t="n">
        <v>882</v>
      </c>
      <c r="F307" s="52" t="n">
        <f aca="false">Drop_Down!$H$80</f>
        <v>882</v>
      </c>
      <c r="G307" s="46" t="n">
        <f aca="false">IF(ISNUMBER(F307),F307-E307,"n/a")</f>
        <v>0</v>
      </c>
      <c r="H307" s="47" t="n">
        <v>0.050000001</v>
      </c>
      <c r="I307" s="48" t="str">
        <f aca="false">IF(ISNUMBER(F307),IF(ABS(F307-E307)&lt;=H307,"PASS","FAIL"),"FAIL")</f>
        <v>PASS</v>
      </c>
      <c r="J307" s="48" t="str">
        <f aca="false">IF(ISNUMBER(F307),IF(ROUND(F307,1)=ROUND(E307,1),"same","differs"),"n/a")</f>
        <v>same</v>
      </c>
    </row>
    <row r="308" customFormat="false" ht="15" hidden="false" customHeight="false" outlineLevel="0" collapsed="false">
      <c r="B308" s="39" t="n">
        <v>301</v>
      </c>
      <c r="C308" s="8" t="s">
        <v>687</v>
      </c>
      <c r="D308" s="8" t="s">
        <v>741</v>
      </c>
      <c r="E308" s="44" t="n">
        <v>882</v>
      </c>
      <c r="F308" s="45" t="n">
        <f aca="false">Drop_Down!$C$67</f>
        <v>882</v>
      </c>
      <c r="G308" s="46" t="n">
        <f aca="false">IF(ISNUMBER(F308),F308-E308,"n/a")</f>
        <v>0</v>
      </c>
      <c r="H308" s="47" t="n">
        <v>0.500000001</v>
      </c>
      <c r="I308" s="48" t="str">
        <f aca="false">IF(ISNUMBER(F308),IF(ABS(F308-E308)&lt;=H308,"PASS","FAIL"),"FAIL")</f>
        <v>PASS</v>
      </c>
      <c r="J308" s="48" t="str">
        <f aca="false">IF(ISNUMBER(F308),IF(ROUND(F308,0)=ROUND(E308,0),"same","differs"),"n/a")</f>
        <v>same</v>
      </c>
    </row>
    <row r="309" customFormat="false" ht="15" hidden="false" customHeight="false" outlineLevel="0" collapsed="false">
      <c r="B309" s="39" t="n">
        <v>302</v>
      </c>
      <c r="C309" s="8" t="s">
        <v>687</v>
      </c>
      <c r="D309" s="8" t="s">
        <v>742</v>
      </c>
      <c r="E309" s="12" t="n">
        <v>1</v>
      </c>
      <c r="F309" s="50" t="n">
        <f aca="false">Drop_Down!$H$81</f>
        <v>1</v>
      </c>
      <c r="G309" s="46" t="n">
        <f aca="false">IF(ISNUMBER(F309),F309-E309,"n/a")</f>
        <v>0</v>
      </c>
      <c r="H309" s="47" t="n">
        <v>0.000500001</v>
      </c>
      <c r="I309" s="48" t="str">
        <f aca="false">IF(ISNUMBER(F309),IF(ABS(F309-E309)&lt;=H309,"PASS","FAIL"),"FAIL")</f>
        <v>PASS</v>
      </c>
      <c r="J309" s="48" t="str">
        <f aca="false">IF(ISNUMBER(F309),IF(ROUND(F309,3)=ROUND(E309,3),"same","differs"),"n/a")</f>
        <v>same</v>
      </c>
    </row>
    <row r="310" customFormat="false" ht="15" hidden="false" customHeight="false" outlineLevel="0" collapsed="false">
      <c r="B310" s="39" t="n">
        <v>303</v>
      </c>
      <c r="C310" s="8" t="s">
        <v>687</v>
      </c>
      <c r="D310" s="8" t="s">
        <v>743</v>
      </c>
      <c r="E310" s="51" t="n">
        <v>950.4</v>
      </c>
      <c r="F310" s="52" t="n">
        <f aca="false">Drop_Down!$H$83</f>
        <v>950.416253889746</v>
      </c>
      <c r="G310" s="46" t="n">
        <f aca="false">IF(ISNUMBER(F310),F310-E310,"n/a")</f>
        <v>0.0162538897460536</v>
      </c>
      <c r="H310" s="47" t="n">
        <v>0.050000001</v>
      </c>
      <c r="I310" s="48" t="str">
        <f aca="false">IF(ISNUMBER(F310),IF(ABS(F310-E310)&lt;=H310,"PASS","FAIL"),"FAIL")</f>
        <v>PASS</v>
      </c>
      <c r="J310" s="48" t="str">
        <f aca="false">IF(ISNUMBER(F310),IF(ROUND(F310,1)=ROUND(E310,1),"same","differs"),"n/a")</f>
        <v>same</v>
      </c>
    </row>
    <row r="311" customFormat="false" ht="15" hidden="false" customHeight="false" outlineLevel="0" collapsed="false">
      <c r="B311" s="39" t="n">
        <v>304</v>
      </c>
      <c r="C311" s="8" t="s">
        <v>687</v>
      </c>
      <c r="D311" s="8" t="s">
        <v>744</v>
      </c>
      <c r="E311" s="51" t="n">
        <v>0.4</v>
      </c>
      <c r="F311" s="52" t="n">
        <f aca="false">Drop_Down!$H$84</f>
        <v>0.416253889746031</v>
      </c>
      <c r="G311" s="46" t="n">
        <f aca="false">IF(ISNUMBER(F311),F311-E311,"n/a")</f>
        <v>0.0162538897460308</v>
      </c>
      <c r="H311" s="47" t="n">
        <v>0.050000001</v>
      </c>
      <c r="I311" s="48" t="str">
        <f aca="false">IF(ISNUMBER(F311),IF(ABS(F311-E311)&lt;=H311,"PASS","FAIL"),"FAIL")</f>
        <v>PASS</v>
      </c>
      <c r="J311" s="48" t="str">
        <f aca="false">IF(ISNUMBER(F311),IF(ROUND(F311,1)=ROUND(E311,1),"same","differs"),"n/a")</f>
        <v>same</v>
      </c>
    </row>
    <row r="312" customFormat="false" ht="15" hidden="false" customHeight="false" outlineLevel="0" collapsed="false">
      <c r="B312" s="39" t="n">
        <v>305</v>
      </c>
      <c r="C312" s="8" t="s">
        <v>687</v>
      </c>
      <c r="D312" s="8" t="s">
        <v>745</v>
      </c>
      <c r="E312" s="51" t="n">
        <v>950</v>
      </c>
      <c r="F312" s="52" t="n">
        <f aca="false">Drop_Down!$I$78</f>
        <v>950</v>
      </c>
      <c r="G312" s="46" t="n">
        <f aca="false">IF(ISNUMBER(F312),F312-E312,"n/a")</f>
        <v>0</v>
      </c>
      <c r="H312" s="47" t="n">
        <v>0.050000001</v>
      </c>
      <c r="I312" s="48" t="str">
        <f aca="false">IF(ISNUMBER(F312),IF(ABS(F312-E312)&lt;=H312,"PASS","FAIL"),"FAIL")</f>
        <v>PASS</v>
      </c>
      <c r="J312" s="48" t="str">
        <f aca="false">IF(ISNUMBER(F312),IF(ROUND(F312,1)=ROUND(E312,1),"same","differs"),"n/a")</f>
        <v>same</v>
      </c>
    </row>
    <row r="313" customFormat="false" ht="15" hidden="false" customHeight="false" outlineLevel="0" collapsed="false">
      <c r="B313" s="39" t="n">
        <v>306</v>
      </c>
      <c r="C313" s="8" t="s">
        <v>687</v>
      </c>
      <c r="D313" s="8" t="s">
        <v>746</v>
      </c>
      <c r="E313" s="51" t="n">
        <v>882</v>
      </c>
      <c r="F313" s="52" t="n">
        <f aca="false">Drop_Down!$I$80</f>
        <v>882</v>
      </c>
      <c r="G313" s="46" t="n">
        <f aca="false">IF(ISNUMBER(F313),F313-E313,"n/a")</f>
        <v>0</v>
      </c>
      <c r="H313" s="47" t="n">
        <v>0.050000001</v>
      </c>
      <c r="I313" s="48" t="str">
        <f aca="false">IF(ISNUMBER(F313),IF(ABS(F313-E313)&lt;=H313,"PASS","FAIL"),"FAIL")</f>
        <v>PASS</v>
      </c>
      <c r="J313" s="48" t="str">
        <f aca="false">IF(ISNUMBER(F313),IF(ROUND(F313,1)=ROUND(E313,1),"same","differs"),"n/a")</f>
        <v>same</v>
      </c>
    </row>
    <row r="314" customFormat="false" ht="15" hidden="false" customHeight="false" outlineLevel="0" collapsed="false">
      <c r="B314" s="39" t="n">
        <v>307</v>
      </c>
      <c r="C314" s="8" t="s">
        <v>687</v>
      </c>
      <c r="D314" s="8" t="s">
        <v>747</v>
      </c>
      <c r="E314" s="44" t="n">
        <v>882</v>
      </c>
      <c r="F314" s="45" t="n">
        <f aca="false">Drop_Down!$C$67</f>
        <v>882</v>
      </c>
      <c r="G314" s="46" t="n">
        <f aca="false">IF(ISNUMBER(F314),F314-E314,"n/a")</f>
        <v>0</v>
      </c>
      <c r="H314" s="47" t="n">
        <v>0.500000001</v>
      </c>
      <c r="I314" s="48" t="str">
        <f aca="false">IF(ISNUMBER(F314),IF(ABS(F314-E314)&lt;=H314,"PASS","FAIL"),"FAIL")</f>
        <v>PASS</v>
      </c>
      <c r="J314" s="48" t="str">
        <f aca="false">IF(ISNUMBER(F314),IF(ROUND(F314,0)=ROUND(E314,0),"same","differs"),"n/a")</f>
        <v>same</v>
      </c>
    </row>
    <row r="315" customFormat="false" ht="15" hidden="false" customHeight="false" outlineLevel="0" collapsed="false">
      <c r="B315" s="39" t="n">
        <v>308</v>
      </c>
      <c r="C315" s="8" t="s">
        <v>687</v>
      </c>
      <c r="D315" s="8" t="s">
        <v>748</v>
      </c>
      <c r="E315" s="12" t="n">
        <v>1</v>
      </c>
      <c r="F315" s="50" t="n">
        <f aca="false">Drop_Down!$I$81</f>
        <v>1</v>
      </c>
      <c r="G315" s="46" t="n">
        <f aca="false">IF(ISNUMBER(F315),F315-E315,"n/a")</f>
        <v>0</v>
      </c>
      <c r="H315" s="47" t="n">
        <v>0.000500001</v>
      </c>
      <c r="I315" s="48" t="str">
        <f aca="false">IF(ISNUMBER(F315),IF(ABS(F315-E315)&lt;=H315,"PASS","FAIL"),"FAIL")</f>
        <v>PASS</v>
      </c>
      <c r="J315" s="48" t="str">
        <f aca="false">IF(ISNUMBER(F315),IF(ROUND(F315,3)=ROUND(E315,3),"same","differs"),"n/a")</f>
        <v>same</v>
      </c>
    </row>
    <row r="316" customFormat="false" ht="15" hidden="false" customHeight="false" outlineLevel="0" collapsed="false">
      <c r="B316" s="39" t="n">
        <v>309</v>
      </c>
      <c r="C316" s="8" t="s">
        <v>687</v>
      </c>
      <c r="D316" s="8" t="s">
        <v>749</v>
      </c>
      <c r="E316" s="51" t="n">
        <v>950.4</v>
      </c>
      <c r="F316" s="52" t="n">
        <f aca="false">Drop_Down!$I$83</f>
        <v>950.416253889746</v>
      </c>
      <c r="G316" s="46" t="n">
        <f aca="false">IF(ISNUMBER(F316),F316-E316,"n/a")</f>
        <v>0.0162538897460536</v>
      </c>
      <c r="H316" s="47" t="n">
        <v>0.050000001</v>
      </c>
      <c r="I316" s="48" t="str">
        <f aca="false">IF(ISNUMBER(F316),IF(ABS(F316-E316)&lt;=H316,"PASS","FAIL"),"FAIL")</f>
        <v>PASS</v>
      </c>
      <c r="J316" s="48" t="str">
        <f aca="false">IF(ISNUMBER(F316),IF(ROUND(F316,1)=ROUND(E316,1),"same","differs"),"n/a")</f>
        <v>same</v>
      </c>
    </row>
    <row r="317" customFormat="false" ht="15" hidden="false" customHeight="false" outlineLevel="0" collapsed="false">
      <c r="B317" s="39" t="n">
        <v>310</v>
      </c>
      <c r="C317" s="8" t="s">
        <v>687</v>
      </c>
      <c r="D317" s="8" t="s">
        <v>750</v>
      </c>
      <c r="E317" s="51" t="n">
        <v>0.4</v>
      </c>
      <c r="F317" s="52" t="n">
        <f aca="false">Drop_Down!$I$84</f>
        <v>0.416253889746031</v>
      </c>
      <c r="G317" s="46" t="n">
        <f aca="false">IF(ISNUMBER(F317),F317-E317,"n/a")</f>
        <v>0.0162538897460308</v>
      </c>
      <c r="H317" s="47" t="n">
        <v>0.050000001</v>
      </c>
      <c r="I317" s="48" t="str">
        <f aca="false">IF(ISNUMBER(F317),IF(ABS(F317-E317)&lt;=H317,"PASS","FAIL"),"FAIL")</f>
        <v>PASS</v>
      </c>
      <c r="J317" s="48" t="str">
        <f aca="false">IF(ISNUMBER(F317),IF(ROUND(F317,1)=ROUND(E317,1),"same","differs"),"n/a")</f>
        <v>same</v>
      </c>
    </row>
    <row r="318" customFormat="false" ht="15" hidden="false" customHeight="false" outlineLevel="0" collapsed="false">
      <c r="B318" s="39" t="n">
        <v>311</v>
      </c>
      <c r="C318" s="8" t="s">
        <v>751</v>
      </c>
      <c r="D318" s="8" t="s">
        <v>412</v>
      </c>
      <c r="E318" s="44" t="n">
        <v>292</v>
      </c>
      <c r="F318" s="45" t="n">
        <f aca="false">Re_Default!$C$73</f>
        <v>292</v>
      </c>
      <c r="G318" s="46" t="n">
        <f aca="false">IF(ISNUMBER(F318),F318-E318,"n/a")</f>
        <v>0</v>
      </c>
      <c r="H318" s="47" t="n">
        <v>0.500000001</v>
      </c>
      <c r="I318" s="48" t="str">
        <f aca="false">IF(ISNUMBER(F318),IF(ABS(F318-E318)&lt;=H318,"PASS","FAIL"),"FAIL")</f>
        <v>PASS</v>
      </c>
      <c r="J318" s="48" t="str">
        <f aca="false">IF(ISNUMBER(F318),IF(ROUND(F318,0)=ROUND(E318,0),"same","differs"),"n/a")</f>
        <v>same</v>
      </c>
    </row>
    <row r="319" customFormat="false" ht="15" hidden="false" customHeight="false" outlineLevel="0" collapsed="false">
      <c r="B319" s="39" t="n">
        <v>312</v>
      </c>
      <c r="C319" s="8" t="s">
        <v>751</v>
      </c>
      <c r="D319" s="8" t="s">
        <v>752</v>
      </c>
      <c r="E319" s="44" t="n">
        <v>1462</v>
      </c>
      <c r="F319" s="45" t="n">
        <f aca="false">Re_Default!$C$9</f>
        <v>1462</v>
      </c>
      <c r="G319" s="46" t="n">
        <f aca="false">IF(ISNUMBER(F319),F319-E319,"n/a")</f>
        <v>0</v>
      </c>
      <c r="H319" s="47" t="n">
        <v>0.500000001</v>
      </c>
      <c r="I319" s="48" t="str">
        <f aca="false">IF(ISNUMBER(F319),IF(ABS(F319-E319)&lt;=H319,"PASS","FAIL"),"FAIL")</f>
        <v>PASS</v>
      </c>
      <c r="J319" s="48" t="str">
        <f aca="false">IF(ISNUMBER(F319),IF(ROUND(F319,0)=ROUND(E319,0),"same","differs"),"n/a")</f>
        <v>same</v>
      </c>
    </row>
    <row r="320" customFormat="false" ht="15" hidden="false" customHeight="false" outlineLevel="0" collapsed="false">
      <c r="B320" s="39" t="n">
        <v>313</v>
      </c>
      <c r="C320" s="8" t="s">
        <v>751</v>
      </c>
      <c r="D320" s="8" t="s">
        <v>753</v>
      </c>
      <c r="E320" s="51" t="n">
        <v>5</v>
      </c>
      <c r="F320" s="52" t="n">
        <f aca="false">Inputs!$C$77</f>
        <v>5</v>
      </c>
      <c r="G320" s="46" t="n">
        <f aca="false">IF(ISNUMBER(F320),F320-E320,"n/a")</f>
        <v>0</v>
      </c>
      <c r="H320" s="47" t="n">
        <v>0.050000001</v>
      </c>
      <c r="I320" s="48" t="str">
        <f aca="false">IF(ISNUMBER(F320),IF(ABS(F320-E320)&lt;=H320,"PASS","FAIL"),"FAIL")</f>
        <v>PASS</v>
      </c>
      <c r="J320" s="48" t="str">
        <f aca="false">IF(ISNUMBER(F320),IF(ROUND(F320,1)=ROUND(E320,1),"same","differs"),"n/a")</f>
        <v>same</v>
      </c>
    </row>
    <row r="321" customFormat="false" ht="15" hidden="false" customHeight="false" outlineLevel="0" collapsed="false">
      <c r="B321" s="39" t="n">
        <v>314</v>
      </c>
      <c r="C321" s="8" t="s">
        <v>751</v>
      </c>
      <c r="D321" s="8" t="s">
        <v>754</v>
      </c>
      <c r="E321" s="51" t="n">
        <v>292.4</v>
      </c>
      <c r="F321" s="52" t="n">
        <f aca="false">Re_Default!$C$10</f>
        <v>292.4</v>
      </c>
      <c r="G321" s="46" t="n">
        <f aca="false">IF(ISNUMBER(F321),F321-E321,"n/a")</f>
        <v>0</v>
      </c>
      <c r="H321" s="47" t="n">
        <v>0.050000001</v>
      </c>
      <c r="I321" s="48" t="str">
        <f aca="false">IF(ISNUMBER(F321),IF(ABS(F321-E321)&lt;=H321,"PASS","FAIL"),"FAIL")</f>
        <v>PASS</v>
      </c>
      <c r="J321" s="48" t="str">
        <f aca="false">IF(ISNUMBER(F321),IF(ROUND(F321,1)=ROUND(E321,1),"same","differs"),"n/a")</f>
        <v>same</v>
      </c>
    </row>
    <row r="322" customFormat="false" ht="15" hidden="false" customHeight="false" outlineLevel="0" collapsed="false">
      <c r="B322" s="39" t="n">
        <v>315</v>
      </c>
      <c r="C322" s="8" t="s">
        <v>751</v>
      </c>
      <c r="D322" s="8" t="s">
        <v>755</v>
      </c>
      <c r="E322" s="12" t="n">
        <v>0.347</v>
      </c>
      <c r="F322" s="50" t="n">
        <f aca="false">Re_Default!$C$11</f>
        <v>0.347492289872915</v>
      </c>
      <c r="G322" s="46" t="n">
        <f aca="false">IF(ISNUMBER(F322),F322-E322,"n/a")</f>
        <v>0.000492289872915386</v>
      </c>
      <c r="H322" s="47" t="n">
        <v>0.000500001</v>
      </c>
      <c r="I322" s="48" t="str">
        <f aca="false">IF(ISNUMBER(F322),IF(ABS(F322-E322)&lt;=H322,"PASS","FAIL"),"FAIL")</f>
        <v>PASS</v>
      </c>
      <c r="J322" s="48" t="str">
        <f aca="false">IF(ISNUMBER(F322),IF(ROUND(F322,3)=ROUND(E322,3),"same","differs"),"n/a")</f>
        <v>same</v>
      </c>
    </row>
    <row r="323" customFormat="false" ht="15" hidden="false" customHeight="false" outlineLevel="0" collapsed="false">
      <c r="B323" s="39" t="n">
        <v>316</v>
      </c>
      <c r="C323" s="8" t="s">
        <v>751</v>
      </c>
      <c r="D323" s="8" t="s">
        <v>756</v>
      </c>
      <c r="E323" s="44" t="n">
        <v>1326</v>
      </c>
      <c r="F323" s="45" t="n">
        <f aca="false">Re_Default!$C$12</f>
        <v>1326</v>
      </c>
      <c r="G323" s="46" t="n">
        <f aca="false">IF(ISNUMBER(F323),F323-E323,"n/a")</f>
        <v>0</v>
      </c>
      <c r="H323" s="47" t="n">
        <v>0.500000001</v>
      </c>
      <c r="I323" s="48" t="str">
        <f aca="false">IF(ISNUMBER(F323),IF(ABS(F323-E323)&lt;=H323,"PASS","FAIL"),"FAIL")</f>
        <v>PASS</v>
      </c>
      <c r="J323" s="48" t="str">
        <f aca="false">IF(ISNUMBER(F323),IF(ROUND(F323,0)=ROUND(E323,0),"same","differs"),"n/a")</f>
        <v>same</v>
      </c>
    </row>
    <row r="324" customFormat="false" ht="15" hidden="false" customHeight="false" outlineLevel="0" collapsed="false">
      <c r="B324" s="39" t="n">
        <v>317</v>
      </c>
      <c r="C324" s="8" t="s">
        <v>751</v>
      </c>
      <c r="D324" s="8" t="s">
        <v>757</v>
      </c>
      <c r="E324" s="51" t="n">
        <v>265.2</v>
      </c>
      <c r="F324" s="52" t="n">
        <f aca="false">Re_Default!$C$13</f>
        <v>265.2</v>
      </c>
      <c r="G324" s="46" t="n">
        <f aca="false">IF(ISNUMBER(F324),F324-E324,"n/a")</f>
        <v>0</v>
      </c>
      <c r="H324" s="47" t="n">
        <v>0.050000001</v>
      </c>
      <c r="I324" s="48" t="str">
        <f aca="false">IF(ISNUMBER(F324),IF(ABS(F324-E324)&lt;=H324,"PASS","FAIL"),"FAIL")</f>
        <v>PASS</v>
      </c>
      <c r="J324" s="48" t="str">
        <f aca="false">IF(ISNUMBER(F324),IF(ROUND(F324,1)=ROUND(E324,1),"same","differs"),"n/a")</f>
        <v>same</v>
      </c>
    </row>
    <row r="325" customFormat="false" ht="15" hidden="false" customHeight="false" outlineLevel="0" collapsed="false">
      <c r="B325" s="39" t="n">
        <v>318</v>
      </c>
      <c r="C325" s="8" t="s">
        <v>751</v>
      </c>
      <c r="D325" s="8" t="s">
        <v>758</v>
      </c>
      <c r="E325" s="12" t="n">
        <v>0.299</v>
      </c>
      <c r="F325" s="50" t="n">
        <f aca="false">Re_Default!$C$14</f>
        <v>0.29904694438113</v>
      </c>
      <c r="G325" s="46" t="n">
        <f aca="false">IF(ISNUMBER(F325),F325-E325,"n/a")</f>
        <v>4.69443811296766E-005</v>
      </c>
      <c r="H325" s="47" t="n">
        <v>0.000500001</v>
      </c>
      <c r="I325" s="48" t="str">
        <f aca="false">IF(ISNUMBER(F325),IF(ABS(F325-E325)&lt;=H325,"PASS","FAIL"),"FAIL")</f>
        <v>PASS</v>
      </c>
      <c r="J325" s="48" t="str">
        <f aca="false">IF(ISNUMBER(F325),IF(ROUND(F325,3)=ROUND(E325,3),"same","differs"),"n/a")</f>
        <v>same</v>
      </c>
    </row>
    <row r="326" customFormat="false" ht="15" hidden="false" customHeight="false" outlineLevel="0" collapsed="false">
      <c r="B326" s="39" t="n">
        <v>319</v>
      </c>
      <c r="C326" s="8" t="s">
        <v>751</v>
      </c>
      <c r="D326" s="8" t="s">
        <v>376</v>
      </c>
      <c r="E326" s="51" t="n">
        <v>27.2</v>
      </c>
      <c r="F326" s="52" t="n">
        <f aca="false">Re_Default!$C$15</f>
        <v>27.2</v>
      </c>
      <c r="G326" s="46" t="n">
        <f aca="false">IF(ISNUMBER(F326),F326-E326,"n/a")</f>
        <v>0</v>
      </c>
      <c r="H326" s="47" t="n">
        <v>0.050000001</v>
      </c>
      <c r="I326" s="48" t="str">
        <f aca="false">IF(ISNUMBER(F326),IF(ABS(F326-E326)&lt;=H326,"PASS","FAIL"),"FAIL")</f>
        <v>PASS</v>
      </c>
      <c r="J326" s="48" t="str">
        <f aca="false">IF(ISNUMBER(F326),IF(ROUND(F326,1)=ROUND(E326,1),"same","differs"),"n/a")</f>
        <v>same</v>
      </c>
    </row>
    <row r="327" customFormat="false" ht="15" hidden="false" customHeight="false" outlineLevel="0" collapsed="false">
      <c r="B327" s="39" t="n">
        <v>320</v>
      </c>
      <c r="C327" s="8" t="s">
        <v>751</v>
      </c>
      <c r="D327" s="8" t="s">
        <v>383</v>
      </c>
      <c r="E327" s="44" t="n">
        <v>12</v>
      </c>
      <c r="F327" s="45" t="n">
        <f aca="false">Re_Default!$C$24</f>
        <v>12</v>
      </c>
      <c r="G327" s="46" t="n">
        <f aca="false">IF(ISNUMBER(F327),F327-E327,"n/a")</f>
        <v>0</v>
      </c>
      <c r="H327" s="47" t="n">
        <v>0.500000001</v>
      </c>
      <c r="I327" s="48" t="str">
        <f aca="false">IF(ISNUMBER(F327),IF(ABS(F327-E327)&lt;=H327,"PASS","FAIL"),"FAIL")</f>
        <v>PASS</v>
      </c>
      <c r="J327" s="48" t="str">
        <f aca="false">IF(ISNUMBER(F327),IF(ROUND(F327,0)=ROUND(E327,0),"same","differs"),"n/a")</f>
        <v>same</v>
      </c>
    </row>
    <row r="328" customFormat="false" ht="15" hidden="false" customHeight="false" outlineLevel="0" collapsed="false">
      <c r="B328" s="39" t="n">
        <v>321</v>
      </c>
      <c r="C328" s="8" t="s">
        <v>751</v>
      </c>
      <c r="D328" s="8" t="s">
        <v>759</v>
      </c>
      <c r="E328" s="44" t="n">
        <v>4</v>
      </c>
      <c r="F328" s="45" t="n">
        <f aca="false">Re_Default!$C$25</f>
        <v>4</v>
      </c>
      <c r="G328" s="46" t="n">
        <f aca="false">IF(ISNUMBER(F328),F328-E328,"n/a")</f>
        <v>0</v>
      </c>
      <c r="H328" s="47" t="n">
        <v>0.500000001</v>
      </c>
      <c r="I328" s="48" t="str">
        <f aca="false">IF(ISNUMBER(F328),IF(ABS(F328-E328)&lt;=H328,"PASS","FAIL"),"FAIL")</f>
        <v>PASS</v>
      </c>
      <c r="J328" s="48" t="str">
        <f aca="false">IF(ISNUMBER(F328),IF(ROUND(F328,0)=ROUND(E328,0),"same","differs"),"n/a")</f>
        <v>same</v>
      </c>
    </row>
    <row r="329" customFormat="false" ht="15" hidden="false" customHeight="false" outlineLevel="0" collapsed="false">
      <c r="B329" s="39" t="n">
        <v>322</v>
      </c>
      <c r="C329" s="8" t="s">
        <v>751</v>
      </c>
      <c r="D329" s="8" t="s">
        <v>760</v>
      </c>
      <c r="E329" s="51" t="n">
        <v>57.6</v>
      </c>
      <c r="F329" s="52" t="n">
        <f aca="false">Re_Default!$C$26</f>
        <v>57.6</v>
      </c>
      <c r="G329" s="46" t="n">
        <f aca="false">IF(ISNUMBER(F329),F329-E329,"n/a")</f>
        <v>0</v>
      </c>
      <c r="H329" s="47" t="n">
        <v>0.050000001</v>
      </c>
      <c r="I329" s="48" t="str">
        <f aca="false">IF(ISNUMBER(F329),IF(ABS(F329-E329)&lt;=H329,"PASS","FAIL"),"FAIL")</f>
        <v>PASS</v>
      </c>
      <c r="J329" s="48" t="str">
        <f aca="false">IF(ISNUMBER(F329),IF(ROUND(F329,1)=ROUND(E329,1),"same","differs"),"n/a")</f>
        <v>same</v>
      </c>
    </row>
    <row r="330" customFormat="false" ht="15" hidden="false" customHeight="false" outlineLevel="0" collapsed="false">
      <c r="B330" s="39" t="n">
        <v>323</v>
      </c>
      <c r="C330" s="8" t="s">
        <v>751</v>
      </c>
      <c r="D330" s="8" t="s">
        <v>761</v>
      </c>
      <c r="E330" s="51" t="n">
        <v>73.6</v>
      </c>
      <c r="F330" s="52" t="n">
        <f aca="false">Re_Default!$C$27</f>
        <v>73.6</v>
      </c>
      <c r="G330" s="46" t="n">
        <f aca="false">IF(ISNUMBER(F330),F330-E330,"n/a")</f>
        <v>0</v>
      </c>
      <c r="H330" s="47" t="n">
        <v>0.050000001</v>
      </c>
      <c r="I330" s="48" t="str">
        <f aca="false">IF(ISNUMBER(F330),IF(ABS(F330-E330)&lt;=H330,"PASS","FAIL"),"FAIL")</f>
        <v>PASS</v>
      </c>
      <c r="J330" s="48" t="str">
        <f aca="false">IF(ISNUMBER(F330),IF(ROUND(F330,1)=ROUND(E330,1),"same","differs"),"n/a")</f>
        <v>same</v>
      </c>
    </row>
    <row r="331" customFormat="false" ht="15" hidden="false" customHeight="false" outlineLevel="0" collapsed="false">
      <c r="B331" s="39" t="n">
        <v>324</v>
      </c>
      <c r="C331" s="8" t="s">
        <v>751</v>
      </c>
      <c r="D331" s="8" t="s">
        <v>762</v>
      </c>
      <c r="E331" s="44" t="n">
        <v>-196</v>
      </c>
      <c r="F331" s="45" t="n">
        <f aca="false">Re_Default!$C$68</f>
        <v>-196</v>
      </c>
      <c r="G331" s="46" t="n">
        <f aca="false">IF(ISNUMBER(F331),F331-E331,"n/a")</f>
        <v>0</v>
      </c>
      <c r="H331" s="47" t="n">
        <v>0.500000001</v>
      </c>
      <c r="I331" s="48" t="str">
        <f aca="false">IF(ISNUMBER(F331),IF(ABS(F331-E331)&lt;=H331,"PASS","FAIL"),"FAIL")</f>
        <v>PASS</v>
      </c>
      <c r="J331" s="48" t="str">
        <f aca="false">IF(ISNUMBER(F331),IF(ROUND(F331,0)=ROUND(E331,0),"same","differs"),"n/a")</f>
        <v>same</v>
      </c>
    </row>
    <row r="332" customFormat="false" ht="15" hidden="false" customHeight="false" outlineLevel="0" collapsed="false">
      <c r="B332" s="39" t="n">
        <v>325</v>
      </c>
      <c r="C332" s="8" t="s">
        <v>751</v>
      </c>
      <c r="D332" s="8" t="s">
        <v>763</v>
      </c>
      <c r="E332" s="51" t="n">
        <v>57.6</v>
      </c>
      <c r="F332" s="52" t="n">
        <f aca="false">Re_Default!$C$69</f>
        <v>57.6</v>
      </c>
      <c r="G332" s="46" t="n">
        <f aca="false">IF(ISNUMBER(F332),F332-E332,"n/a")</f>
        <v>0</v>
      </c>
      <c r="H332" s="47" t="n">
        <v>0.050000001</v>
      </c>
      <c r="I332" s="48" t="str">
        <f aca="false">IF(ISNUMBER(F332),IF(ABS(F332-E332)&lt;=H332,"PASS","FAIL"),"FAIL")</f>
        <v>PASS</v>
      </c>
      <c r="J332" s="48" t="str">
        <f aca="false">IF(ISNUMBER(F332),IF(ROUND(F332,1)=ROUND(E332,1),"same","differs"),"n/a")</f>
        <v>same</v>
      </c>
    </row>
    <row r="333" customFormat="false" ht="15" hidden="false" customHeight="false" outlineLevel="0" collapsed="false">
      <c r="B333" s="39" t="n">
        <v>326</v>
      </c>
      <c r="C333" s="8" t="s">
        <v>751</v>
      </c>
      <c r="D333" s="8" t="s">
        <v>764</v>
      </c>
      <c r="E333" s="51" t="n">
        <v>126.2</v>
      </c>
      <c r="F333" s="52" t="n">
        <f aca="false">Re_Default!$C$70</f>
        <v>126.16</v>
      </c>
      <c r="G333" s="46" t="n">
        <f aca="false">IF(ISNUMBER(F333),F333-E333,"n/a")</f>
        <v>-0.0400000000000205</v>
      </c>
      <c r="H333" s="47" t="n">
        <v>0.050000001</v>
      </c>
      <c r="I333" s="48" t="str">
        <f aca="false">IF(ISNUMBER(F333),IF(ABS(F333-E333)&lt;=H333,"PASS","FAIL"),"FAIL")</f>
        <v>PASS</v>
      </c>
      <c r="J333" s="48" t="str">
        <f aca="false">IF(ISNUMBER(F333),IF(ROUND(F333,1)=ROUND(E333,1),"same","differs"),"n/a")</f>
        <v>same</v>
      </c>
    </row>
    <row r="334" customFormat="false" ht="15" hidden="false" customHeight="false" outlineLevel="0" collapsed="false">
      <c r="B334" s="39" t="n">
        <v>327</v>
      </c>
      <c r="C334" s="8" t="s">
        <v>751</v>
      </c>
      <c r="D334" s="8" t="s">
        <v>765</v>
      </c>
      <c r="E334" s="51" t="n">
        <v>65.5</v>
      </c>
      <c r="F334" s="52" t="n">
        <f aca="false">Re_Default!$C$71</f>
        <v>65.5423333333333</v>
      </c>
      <c r="G334" s="46" t="n">
        <f aca="false">IF(ISNUMBER(F334),F334-E334,"n/a")</f>
        <v>0.0423333333333318</v>
      </c>
      <c r="H334" s="47" t="n">
        <v>0.050000001</v>
      </c>
      <c r="I334" s="48" t="str">
        <f aca="false">IF(ISNUMBER(F334),IF(ABS(F334-E334)&lt;=H334,"PASS","FAIL"),"FAIL")</f>
        <v>PASS</v>
      </c>
      <c r="J334" s="48" t="str">
        <f aca="false">IF(ISNUMBER(F334),IF(ROUND(F334,1)=ROUND(E334,1),"same","differs"),"n/a")</f>
        <v>same</v>
      </c>
    </row>
    <row r="335" customFormat="false" ht="15" hidden="false" customHeight="false" outlineLevel="0" collapsed="false">
      <c r="B335" s="39" t="n">
        <v>328</v>
      </c>
      <c r="C335" s="8" t="s">
        <v>751</v>
      </c>
      <c r="D335" s="8" t="s">
        <v>766</v>
      </c>
      <c r="E335" s="51" t="n">
        <v>8</v>
      </c>
      <c r="F335" s="52" t="n">
        <f aca="false">Re_Default!$C$72</f>
        <v>8</v>
      </c>
      <c r="G335" s="46" t="n">
        <f aca="false">IF(ISNUMBER(F335),F335-E335,"n/a")</f>
        <v>0</v>
      </c>
      <c r="H335" s="47" t="n">
        <v>0.050000001</v>
      </c>
      <c r="I335" s="48" t="str">
        <f aca="false">IF(ISNUMBER(F335),IF(ABS(F335-E335)&lt;=H335,"PASS","FAIL"),"FAIL")</f>
        <v>PASS</v>
      </c>
      <c r="J335" s="48" t="str">
        <f aca="false">IF(ISNUMBER(F335),IF(ROUND(F335,1)=ROUND(E335,1),"same","differs"),"n/a")</f>
        <v>same</v>
      </c>
    </row>
    <row r="336" customFormat="false" ht="15" hidden="false" customHeight="false" outlineLevel="0" collapsed="false">
      <c r="B336" s="39" t="n">
        <v>329</v>
      </c>
      <c r="C336" s="8" t="s">
        <v>751</v>
      </c>
      <c r="D336" s="8" t="s">
        <v>767</v>
      </c>
      <c r="E336" s="51" t="n">
        <v>72.5</v>
      </c>
      <c r="F336" s="52" t="n">
        <f aca="false">Re_Default!$C$74</f>
        <v>72.5</v>
      </c>
      <c r="G336" s="46" t="n">
        <f aca="false">IF(ISNUMBER(F336),F336-E336,"n/a")</f>
        <v>0</v>
      </c>
      <c r="H336" s="47" t="n">
        <v>0.050000001</v>
      </c>
      <c r="I336" s="48" t="str">
        <f aca="false">IF(ISNUMBER(F336),IF(ABS(F336-E336)&lt;=H336,"PASS","FAIL"),"FAIL")</f>
        <v>PASS</v>
      </c>
      <c r="J336" s="48" t="str">
        <f aca="false">IF(ISNUMBER(F336),IF(ROUND(F336,1)=ROUND(E336,1),"same","differs"),"n/a")</f>
        <v>same</v>
      </c>
    </row>
    <row r="337" customFormat="false" ht="15" hidden="false" customHeight="false" outlineLevel="0" collapsed="false">
      <c r="B337" s="39" t="n">
        <v>330</v>
      </c>
      <c r="C337" s="8" t="s">
        <v>751</v>
      </c>
      <c r="D337" s="8" t="s">
        <v>768</v>
      </c>
      <c r="E337" s="9" t="n">
        <v>0.0725</v>
      </c>
      <c r="F337" s="49" t="n">
        <f aca="false">Inputs!$C$26</f>
        <v>0.0725</v>
      </c>
      <c r="G337" s="46" t="n">
        <f aca="false">IF(ISNUMBER(F337),F337-E337,"n/a")</f>
        <v>0</v>
      </c>
      <c r="H337" s="47" t="n">
        <v>5.0001E-005</v>
      </c>
      <c r="I337" s="48" t="str">
        <f aca="false">IF(ISNUMBER(F337),IF(ABS(F337-E337)&lt;=H337,"PASS","FAIL"),"FAIL")</f>
        <v>PASS</v>
      </c>
      <c r="J337" s="48" t="str">
        <f aca="false">IF(ISNUMBER(F337),IF(ROUND(F337,4)=ROUND(E337,4),"same","differs"),"n/a")</f>
        <v>same</v>
      </c>
    </row>
    <row r="338" customFormat="false" ht="15" hidden="false" customHeight="false" outlineLevel="0" collapsed="false">
      <c r="B338" s="39" t="n">
        <v>331</v>
      </c>
      <c r="C338" s="8" t="s">
        <v>751</v>
      </c>
      <c r="D338" s="8" t="s">
        <v>769</v>
      </c>
      <c r="E338" s="44" t="n">
        <v>190</v>
      </c>
      <c r="F338" s="45" t="n">
        <f aca="false">Re_Default!$C$18</f>
        <v>190</v>
      </c>
      <c r="G338" s="46" t="n">
        <f aca="false">IF(ISNUMBER(F338),F338-E338,"n/a")</f>
        <v>0</v>
      </c>
      <c r="H338" s="47" t="n">
        <v>0.500000001</v>
      </c>
      <c r="I338" s="48" t="str">
        <f aca="false">IF(ISNUMBER(F338),IF(ABS(F338-E338)&lt;=H338,"PASS","FAIL"),"FAIL")</f>
        <v>PASS</v>
      </c>
      <c r="J338" s="48" t="str">
        <f aca="false">IF(ISNUMBER(F338),IF(ROUND(F338,0)=ROUND(E338,0),"same","differs"),"n/a")</f>
        <v>same</v>
      </c>
    </row>
    <row r="339" customFormat="false" ht="15" hidden="false" customHeight="false" outlineLevel="0" collapsed="false">
      <c r="B339" s="39" t="n">
        <v>332</v>
      </c>
      <c r="C339" s="8" t="s">
        <v>751</v>
      </c>
      <c r="D339" s="8" t="s">
        <v>770</v>
      </c>
      <c r="E339" s="44" t="n">
        <v>154</v>
      </c>
      <c r="F339" s="45" t="n">
        <f aca="false">Re_Default!$D$18</f>
        <v>154</v>
      </c>
      <c r="G339" s="46" t="n">
        <f aca="false">IF(ISNUMBER(F339),F339-E339,"n/a")</f>
        <v>0</v>
      </c>
      <c r="H339" s="47" t="n">
        <v>0.500000001</v>
      </c>
      <c r="I339" s="48" t="str">
        <f aca="false">IF(ISNUMBER(F339),IF(ABS(F339-E339)&lt;=H339,"PASS","FAIL"),"FAIL")</f>
        <v>PASS</v>
      </c>
      <c r="J339" s="48" t="str">
        <f aca="false">IF(ISNUMBER(F339),IF(ROUND(F339,0)=ROUND(E339,0),"same","differs"),"n/a")</f>
        <v>same</v>
      </c>
    </row>
    <row r="340" customFormat="false" ht="15" hidden="false" customHeight="false" outlineLevel="0" collapsed="false">
      <c r="B340" s="39" t="n">
        <v>333</v>
      </c>
      <c r="C340" s="8" t="s">
        <v>751</v>
      </c>
      <c r="D340" s="8" t="s">
        <v>771</v>
      </c>
      <c r="E340" s="44" t="n">
        <v>130</v>
      </c>
      <c r="F340" s="45" t="n">
        <f aca="false">Re_Default!$E$18</f>
        <v>130</v>
      </c>
      <c r="G340" s="46" t="n">
        <f aca="false">IF(ISNUMBER(F340),F340-E340,"n/a")</f>
        <v>0</v>
      </c>
      <c r="H340" s="47" t="n">
        <v>0.500000001</v>
      </c>
      <c r="I340" s="48" t="str">
        <f aca="false">IF(ISNUMBER(F340),IF(ABS(F340-E340)&lt;=H340,"PASS","FAIL"),"FAIL")</f>
        <v>PASS</v>
      </c>
      <c r="J340" s="48" t="str">
        <f aca="false">IF(ISNUMBER(F340),IF(ROUND(F340,0)=ROUND(E340,0),"same","differs"),"n/a")</f>
        <v>same</v>
      </c>
    </row>
    <row r="341" customFormat="false" ht="15" hidden="false" customHeight="false" outlineLevel="0" collapsed="false">
      <c r="B341" s="39" t="n">
        <v>334</v>
      </c>
      <c r="C341" s="8" t="s">
        <v>751</v>
      </c>
      <c r="D341" s="8" t="s">
        <v>772</v>
      </c>
      <c r="E341" s="44" t="n">
        <v>1170</v>
      </c>
      <c r="F341" s="45" t="n">
        <f aca="false">Re_Default!$C$107</f>
        <v>1170</v>
      </c>
      <c r="G341" s="46" t="n">
        <f aca="false">IF(ISNUMBER(F341),F341-E341,"n/a")</f>
        <v>0</v>
      </c>
      <c r="H341" s="47" t="n">
        <v>0.500000001</v>
      </c>
      <c r="I341" s="48" t="str">
        <f aca="false">IF(ISNUMBER(F341),IF(ABS(F341-E341)&lt;=H341,"PASS","FAIL"),"FAIL")</f>
        <v>PASS</v>
      </c>
      <c r="J341" s="48" t="str">
        <f aca="false">IF(ISNUMBER(F341),IF(ROUND(F341,0)=ROUND(E341,0),"same","differs"),"n/a")</f>
        <v>same</v>
      </c>
    </row>
    <row r="342" customFormat="false" ht="15" hidden="false" customHeight="false" outlineLevel="0" collapsed="false">
      <c r="B342" s="39" t="n">
        <v>335</v>
      </c>
      <c r="C342" s="8" t="s">
        <v>751</v>
      </c>
      <c r="D342" s="8" t="s">
        <v>773</v>
      </c>
      <c r="E342" s="44" t="n">
        <v>975</v>
      </c>
      <c r="F342" s="45" t="n">
        <f aca="false">Re_Default!$D$107</f>
        <v>975</v>
      </c>
      <c r="G342" s="46" t="n">
        <f aca="false">IF(ISNUMBER(F342),F342-E342,"n/a")</f>
        <v>0</v>
      </c>
      <c r="H342" s="47" t="n">
        <v>0.500000001</v>
      </c>
      <c r="I342" s="48" t="str">
        <f aca="false">IF(ISNUMBER(F342),IF(ABS(F342-E342)&lt;=H342,"PASS","FAIL"),"FAIL")</f>
        <v>PASS</v>
      </c>
      <c r="J342" s="48" t="str">
        <f aca="false">IF(ISNUMBER(F342),IF(ROUND(F342,0)=ROUND(E342,0),"same","differs"),"n/a")</f>
        <v>same</v>
      </c>
    </row>
    <row r="343" customFormat="false" ht="15" hidden="false" customHeight="false" outlineLevel="0" collapsed="false">
      <c r="B343" s="39" t="n">
        <v>336</v>
      </c>
      <c r="C343" s="8" t="s">
        <v>751</v>
      </c>
      <c r="D343" s="8" t="s">
        <v>774</v>
      </c>
      <c r="E343" s="44" t="n">
        <v>815</v>
      </c>
      <c r="F343" s="45" t="n">
        <f aca="false">Re_Default!$E$107</f>
        <v>815</v>
      </c>
      <c r="G343" s="46" t="n">
        <f aca="false">IF(ISNUMBER(F343),F343-E343,"n/a")</f>
        <v>0</v>
      </c>
      <c r="H343" s="47" t="n">
        <v>0.500000001</v>
      </c>
      <c r="I343" s="48" t="str">
        <f aca="false">IF(ISNUMBER(F343),IF(ABS(F343-E343)&lt;=H343,"PASS","FAIL"),"FAIL")</f>
        <v>PASS</v>
      </c>
      <c r="J343" s="48" t="str">
        <f aca="false">IF(ISNUMBER(F343),IF(ROUND(F343,0)=ROUND(E343,0),"same","differs"),"n/a")</f>
        <v>same</v>
      </c>
    </row>
    <row r="344" customFormat="false" ht="15" hidden="false" customHeight="false" outlineLevel="0" collapsed="false">
      <c r="B344" s="39" t="n">
        <v>337</v>
      </c>
      <c r="C344" s="8" t="s">
        <v>751</v>
      </c>
      <c r="D344" s="8" t="s">
        <v>775</v>
      </c>
      <c r="E344" s="44" t="n">
        <v>0</v>
      </c>
      <c r="F344" s="45" t="n">
        <f aca="false">Re_Default!$F$20</f>
        <v>0</v>
      </c>
      <c r="G344" s="46" t="n">
        <f aca="false">IF(ISNUMBER(F344),F344-E344,"n/a")</f>
        <v>0</v>
      </c>
      <c r="H344" s="47" t="n">
        <v>0.500000001</v>
      </c>
      <c r="I344" s="48" t="str">
        <f aca="false">IF(ISNUMBER(F344),IF(ABS(F344-E344)&lt;=H344,"PASS","FAIL"),"FAIL")</f>
        <v>PASS</v>
      </c>
      <c r="J344" s="48" t="str">
        <f aca="false">IF(ISNUMBER(F344),IF(ROUND(F344,0)=ROUND(E344,0),"same","differs"),"n/a")</f>
        <v>same</v>
      </c>
    </row>
    <row r="345" customFormat="false" ht="15" hidden="false" customHeight="false" outlineLevel="0" collapsed="false">
      <c r="B345" s="39" t="n">
        <v>338</v>
      </c>
      <c r="C345" s="8" t="s">
        <v>751</v>
      </c>
      <c r="D345" s="8" t="s">
        <v>776</v>
      </c>
      <c r="E345" s="44" t="n">
        <v>1050</v>
      </c>
      <c r="F345" s="45" t="n">
        <f aca="false">Re_Default!$C$128</f>
        <v>1050</v>
      </c>
      <c r="G345" s="46" t="n">
        <f aca="false">IF(ISNUMBER(F345),F345-E345,"n/a")</f>
        <v>0</v>
      </c>
      <c r="H345" s="47" t="n">
        <v>0.500000001</v>
      </c>
      <c r="I345" s="48" t="str">
        <f aca="false">IF(ISNUMBER(F345),IF(ABS(F345-E345)&lt;=H345,"PASS","FAIL"),"FAIL")</f>
        <v>PASS</v>
      </c>
      <c r="J345" s="48" t="str">
        <f aca="false">IF(ISNUMBER(F345),IF(ROUND(F345,0)=ROUND(E345,0),"same","differs"),"n/a")</f>
        <v>same</v>
      </c>
    </row>
    <row r="346" customFormat="false" ht="15" hidden="false" customHeight="false" outlineLevel="0" collapsed="false">
      <c r="B346" s="39" t="n">
        <v>339</v>
      </c>
      <c r="C346" s="8" t="s">
        <v>751</v>
      </c>
      <c r="D346" s="8" t="s">
        <v>777</v>
      </c>
      <c r="E346" s="44" t="n">
        <v>966</v>
      </c>
      <c r="F346" s="45" t="n">
        <f aca="false">Re_Default!$D$128</f>
        <v>966</v>
      </c>
      <c r="G346" s="46" t="n">
        <f aca="false">IF(ISNUMBER(F346),F346-E346,"n/a")</f>
        <v>0</v>
      </c>
      <c r="H346" s="47" t="n">
        <v>0.500000001</v>
      </c>
      <c r="I346" s="48" t="str">
        <f aca="false">IF(ISNUMBER(F346),IF(ABS(F346-E346)&lt;=H346,"PASS","FAIL"),"FAIL")</f>
        <v>PASS</v>
      </c>
      <c r="J346" s="48" t="str">
        <f aca="false">IF(ISNUMBER(F346),IF(ROUND(F346,0)=ROUND(E346,0),"same","differs"),"n/a")</f>
        <v>same</v>
      </c>
    </row>
    <row r="347" customFormat="false" ht="15" hidden="false" customHeight="false" outlineLevel="0" collapsed="false">
      <c r="B347" s="39" t="n">
        <v>340</v>
      </c>
      <c r="C347" s="8" t="s">
        <v>751</v>
      </c>
      <c r="D347" s="8" t="s">
        <v>778</v>
      </c>
      <c r="E347" s="44" t="n">
        <v>840</v>
      </c>
      <c r="F347" s="45" t="n">
        <f aca="false">Re_Default!$E$128</f>
        <v>840</v>
      </c>
      <c r="G347" s="46" t="n">
        <f aca="false">IF(ISNUMBER(F347),F347-E347,"n/a")</f>
        <v>0</v>
      </c>
      <c r="H347" s="47" t="n">
        <v>0.500000001</v>
      </c>
      <c r="I347" s="48" t="str">
        <f aca="false">IF(ISNUMBER(F347),IF(ABS(F347-E347)&lt;=H347,"PASS","FAIL"),"FAIL")</f>
        <v>PASS</v>
      </c>
      <c r="J347" s="48" t="str">
        <f aca="false">IF(ISNUMBER(F347),IF(ROUND(F347,0)=ROUND(E347,0),"same","differs"),"n/a")</f>
        <v>same</v>
      </c>
    </row>
    <row r="348" customFormat="false" ht="15" hidden="false" customHeight="false" outlineLevel="0" collapsed="false">
      <c r="B348" s="39" t="n">
        <v>341</v>
      </c>
      <c r="C348" s="8" t="s">
        <v>751</v>
      </c>
      <c r="D348" s="8" t="s">
        <v>779</v>
      </c>
      <c r="E348" s="51" t="n">
        <v>49.8</v>
      </c>
      <c r="F348" s="52" t="n">
        <f aca="false">Re_Default!$E$135</f>
        <v>49.7894736842108</v>
      </c>
      <c r="G348" s="46" t="n">
        <f aca="false">IF(ISNUMBER(F348),F348-E348,"n/a")</f>
        <v>-0.0105263157892495</v>
      </c>
      <c r="H348" s="47" t="n">
        <v>0.050000001</v>
      </c>
      <c r="I348" s="48" t="str">
        <f aca="false">IF(ISNUMBER(F348),IF(ABS(F348-E348)&lt;=H348,"PASS","FAIL"),"FAIL")</f>
        <v>PASS</v>
      </c>
      <c r="J348" s="48" t="str">
        <f aca="false">IF(ISNUMBER(F348),IF(ROUND(F348,1)=ROUND(E348,1),"same","differs"),"n/a")</f>
        <v>same</v>
      </c>
    </row>
    <row r="349" customFormat="false" ht="15" hidden="false" customHeight="false" outlineLevel="0" collapsed="false">
      <c r="B349" s="39" t="n">
        <v>342</v>
      </c>
      <c r="C349" s="8" t="s">
        <v>751</v>
      </c>
      <c r="D349" s="8" t="s">
        <v>780</v>
      </c>
      <c r="E349" s="51" t="n">
        <v>-82.3</v>
      </c>
      <c r="F349" s="52" t="n">
        <f aca="false">Re_Default!$E$136</f>
        <v>-82.2557779865913</v>
      </c>
      <c r="G349" s="46" t="n">
        <f aca="false">IF(ISNUMBER(F349),F349-E349,"n/a")</f>
        <v>0.0442220134087137</v>
      </c>
      <c r="H349" s="47" t="n">
        <v>0.050000001</v>
      </c>
      <c r="I349" s="48" t="str">
        <f aca="false">IF(ISNUMBER(F349),IF(ABS(F349-E349)&lt;=H349,"PASS","FAIL"),"FAIL")</f>
        <v>PASS</v>
      </c>
      <c r="J349" s="48" t="str">
        <f aca="false">IF(ISNUMBER(F349),IF(ROUND(F349,1)=ROUND(E349,1),"same","differs"),"n/a")</f>
        <v>same</v>
      </c>
    </row>
    <row r="350" customFormat="false" ht="15" hidden="false" customHeight="false" outlineLevel="0" collapsed="false">
      <c r="B350" s="39" t="n">
        <v>343</v>
      </c>
      <c r="C350" s="8" t="s">
        <v>751</v>
      </c>
      <c r="D350" s="8" t="s">
        <v>781</v>
      </c>
      <c r="E350" s="51" t="n">
        <v>66.4</v>
      </c>
      <c r="F350" s="52" t="n">
        <f aca="false">Re_Default!$E$137</f>
        <v>66.4090342450279</v>
      </c>
      <c r="G350" s="46" t="n">
        <f aca="false">IF(ISNUMBER(F350),F350-E350,"n/a")</f>
        <v>0.00903424502790529</v>
      </c>
      <c r="H350" s="47" t="n">
        <v>0.050000001</v>
      </c>
      <c r="I350" s="48" t="str">
        <f aca="false">IF(ISNUMBER(F350),IF(ABS(F350-E350)&lt;=H350,"PASS","FAIL"),"FAIL")</f>
        <v>PASS</v>
      </c>
      <c r="J350" s="48" t="str">
        <f aca="false">IF(ISNUMBER(F350),IF(ROUND(F350,1)=ROUND(E350,1),"same","differs"),"n/a")</f>
        <v>same</v>
      </c>
    </row>
    <row r="351" customFormat="false" ht="15" hidden="false" customHeight="false" outlineLevel="0" collapsed="false">
      <c r="B351" s="39" t="n">
        <v>344</v>
      </c>
      <c r="C351" s="8" t="s">
        <v>751</v>
      </c>
      <c r="D351" s="8" t="s">
        <v>782</v>
      </c>
      <c r="E351" s="51" t="n">
        <v>-26</v>
      </c>
      <c r="F351" s="52" t="n">
        <f aca="false">Re_Default!$D$135</f>
        <v>-25.9999999999998</v>
      </c>
      <c r="G351" s="46" t="n">
        <f aca="false">IF(ISNUMBER(F351),F351-E351,"n/a")</f>
        <v>2.27373675443232E-013</v>
      </c>
      <c r="H351" s="47" t="n">
        <v>0.050000001</v>
      </c>
      <c r="I351" s="48" t="str">
        <f aca="false">IF(ISNUMBER(F351),IF(ABS(F351-E351)&lt;=H351,"PASS","FAIL"),"FAIL")</f>
        <v>PASS</v>
      </c>
      <c r="J351" s="48" t="str">
        <f aca="false">IF(ISNUMBER(F351),IF(ROUND(F351,1)=ROUND(E351,1),"same","differs"),"n/a")</f>
        <v>same</v>
      </c>
    </row>
    <row r="352" customFormat="false" ht="15" hidden="false" customHeight="false" outlineLevel="0" collapsed="false">
      <c r="B352" s="39" t="n">
        <v>345</v>
      </c>
      <c r="C352" s="8" t="s">
        <v>751</v>
      </c>
      <c r="D352" s="8" t="s">
        <v>783</v>
      </c>
      <c r="E352" s="51" t="n">
        <v>0</v>
      </c>
      <c r="F352" s="52" t="n">
        <f aca="false">Re_Default!$D$136</f>
        <v>0</v>
      </c>
      <c r="G352" s="46" t="n">
        <f aca="false">IF(ISNUMBER(F352),F352-E352,"n/a")</f>
        <v>0</v>
      </c>
      <c r="H352" s="47" t="n">
        <v>0.050000001</v>
      </c>
      <c r="I352" s="48" t="str">
        <f aca="false">IF(ISNUMBER(F352),IF(ABS(F352-E352)&lt;=H352,"PASS","FAIL"),"FAIL")</f>
        <v>PASS</v>
      </c>
      <c r="J352" s="48" t="str">
        <f aca="false">IF(ISNUMBER(F352),IF(ROUND(F352,1)=ROUND(E352,1),"same","differs"),"n/a")</f>
        <v>same</v>
      </c>
    </row>
    <row r="353" customFormat="false" ht="15" hidden="false" customHeight="false" outlineLevel="0" collapsed="false">
      <c r="B353" s="39" t="n">
        <v>346</v>
      </c>
      <c r="C353" s="8" t="s">
        <v>751</v>
      </c>
      <c r="D353" s="8" t="s">
        <v>784</v>
      </c>
      <c r="E353" s="51" t="n">
        <v>-26</v>
      </c>
      <c r="F353" s="52" t="n">
        <f aca="false">Re_Default!$C$135</f>
        <v>-25.9999999999998</v>
      </c>
      <c r="G353" s="46" t="n">
        <f aca="false">IF(ISNUMBER(F353),F353-E353,"n/a")</f>
        <v>2.27373675443232E-013</v>
      </c>
      <c r="H353" s="47" t="n">
        <v>0.050000001</v>
      </c>
      <c r="I353" s="48" t="str">
        <f aca="false">IF(ISNUMBER(F353),IF(ABS(F353-E353)&lt;=H353,"PASS","FAIL"),"FAIL")</f>
        <v>PASS</v>
      </c>
      <c r="J353" s="48" t="str">
        <f aca="false">IF(ISNUMBER(F353),IF(ROUND(F353,1)=ROUND(E353,1),"same","differs"),"n/a")</f>
        <v>same</v>
      </c>
    </row>
    <row r="354" customFormat="false" ht="15" hidden="false" customHeight="false" outlineLevel="0" collapsed="false">
      <c r="B354" s="39" t="n">
        <v>347</v>
      </c>
      <c r="C354" s="8" t="s">
        <v>751</v>
      </c>
      <c r="D354" s="8" t="s">
        <v>785</v>
      </c>
      <c r="E354" s="51" t="n">
        <v>175.2</v>
      </c>
      <c r="F354" s="52" t="n">
        <f aca="false">Re_Default!$C$84</f>
        <v>175.197666666666</v>
      </c>
      <c r="G354" s="46" t="n">
        <f aca="false">IF(ISNUMBER(F354),F354-E354,"n/a")</f>
        <v>-0.00233333333366659</v>
      </c>
      <c r="H354" s="47" t="n">
        <v>0.050000001</v>
      </c>
      <c r="I354" s="48" t="str">
        <f aca="false">IF(ISNUMBER(F354),IF(ABS(F354-E354)&lt;=H354,"PASS","FAIL"),"FAIL")</f>
        <v>PASS</v>
      </c>
      <c r="J354" s="48" t="str">
        <f aca="false">IF(ISNUMBER(F354),IF(ROUND(F354,1)=ROUND(E354,1),"same","differs"),"n/a")</f>
        <v>same</v>
      </c>
    </row>
    <row r="355" customFormat="false" ht="15" hidden="false" customHeight="false" outlineLevel="0" collapsed="false">
      <c r="B355" s="39" t="n">
        <v>348</v>
      </c>
      <c r="C355" s="8" t="s">
        <v>751</v>
      </c>
      <c r="D355" s="8" t="s">
        <v>786</v>
      </c>
      <c r="E355" s="44" t="n">
        <v>1330</v>
      </c>
      <c r="F355" s="45" t="n">
        <f aca="false">Re_Default!$C$83</f>
        <v>1330</v>
      </c>
      <c r="G355" s="46" t="n">
        <f aca="false">IF(ISNUMBER(F355),F355-E355,"n/a")</f>
        <v>0</v>
      </c>
      <c r="H355" s="47" t="n">
        <v>0.500000001</v>
      </c>
      <c r="I355" s="48" t="str">
        <f aca="false">IF(ISNUMBER(F355),IF(ABS(F355-E355)&lt;=H355,"PASS","FAIL"),"FAIL")</f>
        <v>PASS</v>
      </c>
      <c r="J355" s="48" t="str">
        <f aca="false">IF(ISNUMBER(F355),IF(ROUND(F355,0)=ROUND(E355,0),"same","differs"),"n/a")</f>
        <v>same</v>
      </c>
    </row>
    <row r="356" customFormat="false" ht="15" hidden="false" customHeight="false" outlineLevel="0" collapsed="false">
      <c r="B356" s="39" t="n">
        <v>349</v>
      </c>
      <c r="C356" s="8" t="s">
        <v>751</v>
      </c>
      <c r="D356" s="8" t="s">
        <v>787</v>
      </c>
      <c r="E356" s="51" t="n">
        <v>200</v>
      </c>
      <c r="F356" s="52" t="n">
        <f aca="false">Re_Default!$C$87</f>
        <v>200</v>
      </c>
      <c r="G356" s="46" t="n">
        <f aca="false">IF(ISNUMBER(F356),F356-E356,"n/a")</f>
        <v>0</v>
      </c>
      <c r="H356" s="47" t="n">
        <v>0.050000001</v>
      </c>
      <c r="I356" s="48" t="str">
        <f aca="false">IF(ISNUMBER(F356),IF(ABS(F356-E356)&lt;=H356,"PASS","FAIL"),"FAIL")</f>
        <v>PASS</v>
      </c>
      <c r="J356" s="48" t="str">
        <f aca="false">IF(ISNUMBER(F356),IF(ROUND(F356,1)=ROUND(E356,1),"same","differs"),"n/a")</f>
        <v>same</v>
      </c>
    </row>
    <row r="357" customFormat="false" ht="15" hidden="false" customHeight="false" outlineLevel="0" collapsed="false">
      <c r="B357" s="39" t="n">
        <v>350</v>
      </c>
      <c r="C357" s="8" t="s">
        <v>751</v>
      </c>
      <c r="D357" s="8" t="s">
        <v>788</v>
      </c>
      <c r="E357" s="51" t="n">
        <v>570</v>
      </c>
      <c r="F357" s="52" t="n">
        <f aca="false">Re_Default!$C$88</f>
        <v>570</v>
      </c>
      <c r="G357" s="46" t="n">
        <f aca="false">IF(ISNUMBER(F357),F357-E357,"n/a")</f>
        <v>0</v>
      </c>
      <c r="H357" s="47" t="n">
        <v>0.050000001</v>
      </c>
      <c r="I357" s="48" t="str">
        <f aca="false">IF(ISNUMBER(F357),IF(ABS(F357-E357)&lt;=H357,"PASS","FAIL"),"FAIL")</f>
        <v>PASS</v>
      </c>
      <c r="J357" s="48" t="str">
        <f aca="false">IF(ISNUMBER(F357),IF(ROUND(F357,1)=ROUND(E357,1),"same","differs"),"n/a")</f>
        <v>same</v>
      </c>
    </row>
    <row r="358" customFormat="false" ht="15" hidden="false" customHeight="false" outlineLevel="0" collapsed="false">
      <c r="B358" s="39" t="n">
        <v>351</v>
      </c>
      <c r="C358" s="8" t="s">
        <v>751</v>
      </c>
      <c r="D358" s="8" t="s">
        <v>789</v>
      </c>
      <c r="E358" s="51" t="n">
        <v>292</v>
      </c>
      <c r="F358" s="52" t="n">
        <f aca="false">Re_Default!$C$89</f>
        <v>292</v>
      </c>
      <c r="G358" s="46" t="n">
        <f aca="false">IF(ISNUMBER(F358),F358-E358,"n/a")</f>
        <v>0</v>
      </c>
      <c r="H358" s="47" t="n">
        <v>0.050000001</v>
      </c>
      <c r="I358" s="48" t="str">
        <f aca="false">IF(ISNUMBER(F358),IF(ABS(F358-E358)&lt;=H358,"PASS","FAIL"),"FAIL")</f>
        <v>PASS</v>
      </c>
      <c r="J358" s="48" t="str">
        <f aca="false">IF(ISNUMBER(F358),IF(ROUND(F358,1)=ROUND(E358,1),"same","differs"),"n/a")</f>
        <v>same</v>
      </c>
    </row>
    <row r="359" customFormat="false" ht="15" hidden="false" customHeight="false" outlineLevel="0" collapsed="false">
      <c r="B359" s="39" t="n">
        <v>352</v>
      </c>
      <c r="C359" s="8" t="s">
        <v>751</v>
      </c>
      <c r="D359" s="8" t="s">
        <v>790</v>
      </c>
      <c r="E359" s="51" t="n">
        <v>307.5</v>
      </c>
      <c r="F359" s="52" t="n">
        <f aca="false">Re_Default!$C$91</f>
        <v>307.483300330033</v>
      </c>
      <c r="G359" s="46" t="n">
        <f aca="false">IF(ISNUMBER(F359),F359-E359,"n/a")</f>
        <v>-0.016699669967295</v>
      </c>
      <c r="H359" s="47" t="n">
        <v>0.050000001</v>
      </c>
      <c r="I359" s="48" t="str">
        <f aca="false">IF(ISNUMBER(F359),IF(ABS(F359-E359)&lt;=H359,"PASS","FAIL"),"FAIL")</f>
        <v>PASS</v>
      </c>
      <c r="J359" s="48" t="str">
        <f aca="false">IF(ISNUMBER(F359),IF(ROUND(F359,1)=ROUND(E359,1),"same","differs"),"n/a")</f>
        <v>same</v>
      </c>
    </row>
    <row r="360" customFormat="false" ht="15" hidden="false" customHeight="false" outlineLevel="0" collapsed="false">
      <c r="B360" s="39" t="n">
        <v>353</v>
      </c>
      <c r="C360" s="8" t="s">
        <v>751</v>
      </c>
      <c r="D360" s="8" t="s">
        <v>791</v>
      </c>
      <c r="E360" s="51" t="n">
        <v>80.7</v>
      </c>
      <c r="F360" s="52" t="n">
        <f aca="false">Re_Default!$C$92</f>
        <v>80.7143663366336</v>
      </c>
      <c r="G360" s="46" t="n">
        <f aca="false">IF(ISNUMBER(F360),F360-E360,"n/a")</f>
        <v>0.0143663366335716</v>
      </c>
      <c r="H360" s="47" t="n">
        <v>0.050000001</v>
      </c>
      <c r="I360" s="48" t="str">
        <f aca="false">IF(ISNUMBER(F360),IF(ABS(F360-E360)&lt;=H360,"PASS","FAIL"),"FAIL")</f>
        <v>PASS</v>
      </c>
      <c r="J360" s="48" t="str">
        <f aca="false">IF(ISNUMBER(F360),IF(ROUND(F360,1)=ROUND(E360,1),"same","differs"),"n/a")</f>
        <v>same</v>
      </c>
    </row>
    <row r="361" customFormat="false" ht="15" hidden="false" customHeight="false" outlineLevel="0" collapsed="false">
      <c r="B361" s="39" t="n">
        <v>354</v>
      </c>
      <c r="C361" s="8" t="s">
        <v>751</v>
      </c>
      <c r="D361" s="8" t="s">
        <v>792</v>
      </c>
      <c r="E361" s="51" t="n">
        <v>600</v>
      </c>
      <c r="F361" s="52" t="n">
        <f aca="false">Re_Default!$C$111</f>
        <v>600</v>
      </c>
      <c r="G361" s="46" t="n">
        <f aca="false">IF(ISNUMBER(F361),F361-E361,"n/a")</f>
        <v>0</v>
      </c>
      <c r="H361" s="47" t="n">
        <v>0.050000001</v>
      </c>
      <c r="I361" s="48" t="str">
        <f aca="false">IF(ISNUMBER(F361),IF(ABS(F361-E361)&lt;=H361,"PASS","FAIL"),"FAIL")</f>
        <v>PASS</v>
      </c>
      <c r="J361" s="48" t="str">
        <f aca="false">IF(ISNUMBER(F361),IF(ROUND(F361,1)=ROUND(E361,1),"same","differs"),"n/a")</f>
        <v>same</v>
      </c>
    </row>
    <row r="362" customFormat="false" ht="15" hidden="false" customHeight="false" outlineLevel="0" collapsed="false">
      <c r="B362" s="39" t="n">
        <v>355</v>
      </c>
      <c r="C362" s="8" t="s">
        <v>751</v>
      </c>
      <c r="D362" s="8" t="s">
        <v>793</v>
      </c>
      <c r="E362" s="51" t="n">
        <v>300</v>
      </c>
      <c r="F362" s="52" t="n">
        <f aca="false">Re_Default!$C$112</f>
        <v>300</v>
      </c>
      <c r="G362" s="46" t="n">
        <f aca="false">IF(ISNUMBER(F362),F362-E362,"n/a")</f>
        <v>0</v>
      </c>
      <c r="H362" s="47" t="n">
        <v>0.050000001</v>
      </c>
      <c r="I362" s="48" t="str">
        <f aca="false">IF(ISNUMBER(F362),IF(ABS(F362-E362)&lt;=H362,"PASS","FAIL"),"FAIL")</f>
        <v>PASS</v>
      </c>
      <c r="J362" s="48" t="str">
        <f aca="false">IF(ISNUMBER(F362),IF(ROUND(F362,1)=ROUND(E362,1),"same","differs"),"n/a")</f>
        <v>same</v>
      </c>
    </row>
    <row r="363" customFormat="false" ht="15" hidden="false" customHeight="false" outlineLevel="0" collapsed="false">
      <c r="B363" s="39" t="n">
        <v>356</v>
      </c>
      <c r="C363" s="8" t="s">
        <v>751</v>
      </c>
      <c r="D363" s="8" t="s">
        <v>794</v>
      </c>
      <c r="E363" s="51" t="n">
        <v>50</v>
      </c>
      <c r="F363" s="52" t="n">
        <f aca="false">Re_Default!$C$113</f>
        <v>50</v>
      </c>
      <c r="G363" s="46" t="n">
        <f aca="false">IF(ISNUMBER(F363),F363-E363,"n/a")</f>
        <v>0</v>
      </c>
      <c r="H363" s="47" t="n">
        <v>0.050000001</v>
      </c>
      <c r="I363" s="48" t="str">
        <f aca="false">IF(ISNUMBER(F363),IF(ABS(F363-E363)&lt;=H363,"PASS","FAIL"),"FAIL")</f>
        <v>PASS</v>
      </c>
      <c r="J363" s="48" t="str">
        <f aca="false">IF(ISNUMBER(F363),IF(ROUND(F363,1)=ROUND(E363,1),"same","differs"),"n/a")</f>
        <v>same</v>
      </c>
    </row>
    <row r="364" customFormat="false" ht="15" hidden="false" customHeight="false" outlineLevel="0" collapsed="false">
      <c r="B364" s="39" t="n">
        <v>357</v>
      </c>
      <c r="C364" s="8" t="s">
        <v>751</v>
      </c>
      <c r="D364" s="8" t="s">
        <v>795</v>
      </c>
      <c r="E364" s="51" t="n">
        <v>166.3</v>
      </c>
      <c r="F364" s="52" t="n">
        <f aca="false">Re_Default!$C$115</f>
        <v>166.336633663366</v>
      </c>
      <c r="G364" s="46" t="n">
        <f aca="false">IF(ISNUMBER(F364),F364-E364,"n/a")</f>
        <v>0.0366336633663309</v>
      </c>
      <c r="H364" s="47" t="n">
        <v>0.050000001</v>
      </c>
      <c r="I364" s="48" t="str">
        <f aca="false">IF(ISNUMBER(F364),IF(ABS(F364-E364)&lt;=H364,"PASS","FAIL"),"FAIL")</f>
        <v>PASS</v>
      </c>
      <c r="J364" s="48" t="str">
        <f aca="false">IF(ISNUMBER(F364),IF(ROUND(F364,1)=ROUND(E364,1),"same","differs"),"n/a")</f>
        <v>same</v>
      </c>
    </row>
    <row r="365" customFormat="false" ht="15" hidden="false" customHeight="false" outlineLevel="0" collapsed="false">
      <c r="B365" s="39" t="n">
        <v>358</v>
      </c>
      <c r="C365" s="8" t="s">
        <v>751</v>
      </c>
      <c r="D365" s="8" t="s">
        <v>796</v>
      </c>
      <c r="E365" s="51" t="n">
        <v>43.7</v>
      </c>
      <c r="F365" s="52" t="n">
        <f aca="false">Re_Default!$C$116</f>
        <v>43.6633663366337</v>
      </c>
      <c r="G365" s="46" t="n">
        <f aca="false">IF(ISNUMBER(F365),F365-E365,"n/a")</f>
        <v>-0.036633663366338</v>
      </c>
      <c r="H365" s="47" t="n">
        <v>0.050000001</v>
      </c>
      <c r="I365" s="48" t="str">
        <f aca="false">IF(ISNUMBER(F365),IF(ABS(F365-E365)&lt;=H365,"PASS","FAIL"),"FAIL")</f>
        <v>PASS</v>
      </c>
      <c r="J365" s="48" t="str">
        <f aca="false">IF(ISNUMBER(F365),IF(ROUND(F365,1)=ROUND(E365,1),"same","differs"),"n/a")</f>
        <v>same</v>
      </c>
    </row>
    <row r="366" customFormat="false" ht="15" hidden="false" customHeight="false" outlineLevel="0" collapsed="false">
      <c r="B366" s="39" t="n">
        <v>359</v>
      </c>
      <c r="C366" s="8" t="s">
        <v>751</v>
      </c>
      <c r="D366" s="8" t="s">
        <v>797</v>
      </c>
      <c r="E366" s="51" t="n">
        <v>574</v>
      </c>
      <c r="F366" s="52" t="n">
        <f aca="false">Re_Default!$C$99</f>
        <v>574</v>
      </c>
      <c r="G366" s="46" t="n">
        <f aca="false">IF(ISNUMBER(F366),F366-E366,"n/a")</f>
        <v>0</v>
      </c>
      <c r="H366" s="47" t="n">
        <v>0.050000001</v>
      </c>
      <c r="I366" s="48" t="str">
        <f aca="false">IF(ISNUMBER(F366),IF(ABS(F366-E366)&lt;=H366,"PASS","FAIL"),"FAIL")</f>
        <v>PASS</v>
      </c>
      <c r="J366" s="48" t="str">
        <f aca="false">IF(ISNUMBER(F366),IF(ROUND(F366,1)=ROUND(E366,1),"same","differs"),"n/a")</f>
        <v>same</v>
      </c>
    </row>
    <row r="367" customFormat="false" ht="15" hidden="false" customHeight="false" outlineLevel="0" collapsed="false">
      <c r="B367" s="39" t="n">
        <v>360</v>
      </c>
      <c r="C367" s="8" t="s">
        <v>751</v>
      </c>
      <c r="D367" s="8" t="s">
        <v>798</v>
      </c>
      <c r="E367" s="51" t="n">
        <v>300</v>
      </c>
      <c r="F367" s="52" t="n">
        <f aca="false">Re_Default!$C$100</f>
        <v>300</v>
      </c>
      <c r="G367" s="46" t="n">
        <f aca="false">IF(ISNUMBER(F367),F367-E367,"n/a")</f>
        <v>0</v>
      </c>
      <c r="H367" s="47" t="n">
        <v>0.050000001</v>
      </c>
      <c r="I367" s="48" t="str">
        <f aca="false">IF(ISNUMBER(F367),IF(ABS(F367-E367)&lt;=H367,"PASS","FAIL"),"FAIL")</f>
        <v>PASS</v>
      </c>
      <c r="J367" s="48" t="str">
        <f aca="false">IF(ISNUMBER(F367),IF(ROUND(F367,1)=ROUND(E367,1),"same","differs"),"n/a")</f>
        <v>same</v>
      </c>
    </row>
    <row r="368" customFormat="false" ht="15" hidden="false" customHeight="false" outlineLevel="0" collapsed="false">
      <c r="B368" s="39" t="n">
        <v>361</v>
      </c>
      <c r="C368" s="8" t="s">
        <v>751</v>
      </c>
      <c r="D368" s="8" t="s">
        <v>799</v>
      </c>
      <c r="E368" s="51" t="n">
        <v>50</v>
      </c>
      <c r="F368" s="52" t="n">
        <f aca="false">Re_Default!$C$101</f>
        <v>50</v>
      </c>
      <c r="G368" s="46" t="n">
        <f aca="false">IF(ISNUMBER(F368),F368-E368,"n/a")</f>
        <v>0</v>
      </c>
      <c r="H368" s="47" t="n">
        <v>0.050000001</v>
      </c>
      <c r="I368" s="48" t="str">
        <f aca="false">IF(ISNUMBER(F368),IF(ABS(F368-E368)&lt;=H368,"PASS","FAIL"),"FAIL")</f>
        <v>PASS</v>
      </c>
      <c r="J368" s="48" t="str">
        <f aca="false">IF(ISNUMBER(F368),IF(ROUND(F368,1)=ROUND(E368,1),"same","differs"),"n/a")</f>
        <v>same</v>
      </c>
    </row>
    <row r="369" customFormat="false" ht="15" hidden="false" customHeight="false" outlineLevel="0" collapsed="false">
      <c r="B369" s="39" t="n">
        <v>362</v>
      </c>
      <c r="C369" s="8" t="s">
        <v>751</v>
      </c>
      <c r="D369" s="8" t="s">
        <v>800</v>
      </c>
      <c r="E369" s="51" t="n">
        <v>320.7</v>
      </c>
      <c r="F369" s="52" t="n">
        <f aca="false">Re_Default!$C$102</f>
        <v>320.707633644505</v>
      </c>
      <c r="G369" s="46" t="n">
        <f aca="false">IF(ISNUMBER(F369),F369-E369,"n/a")</f>
        <v>0.00763364450472182</v>
      </c>
      <c r="H369" s="47" t="n">
        <v>0.050000001</v>
      </c>
      <c r="I369" s="48" t="str">
        <f aca="false">IF(ISNUMBER(F369),IF(ABS(F369-E369)&lt;=H369,"PASS","FAIL"),"FAIL")</f>
        <v>PASS</v>
      </c>
      <c r="J369" s="48" t="str">
        <f aca="false">IF(ISNUMBER(F369),IF(ROUND(F369,1)=ROUND(E369,1),"same","differs"),"n/a")</f>
        <v>same</v>
      </c>
    </row>
    <row r="370" customFormat="false" ht="15" hidden="false" customHeight="false" outlineLevel="0" collapsed="false">
      <c r="B370" s="39" t="n">
        <v>363</v>
      </c>
      <c r="C370" s="8" t="s">
        <v>751</v>
      </c>
      <c r="D370" s="8" t="s">
        <v>801</v>
      </c>
      <c r="E370" s="51" t="n">
        <v>64.7</v>
      </c>
      <c r="F370" s="52" t="n">
        <f aca="false">Re_Default!$C$103</f>
        <v>64.7377944897511</v>
      </c>
      <c r="G370" s="46" t="n">
        <f aca="false">IF(ISNUMBER(F370),F370-E370,"n/a")</f>
        <v>0.0377944897510645</v>
      </c>
      <c r="H370" s="47" t="n">
        <v>0.050000001</v>
      </c>
      <c r="I370" s="48" t="str">
        <f aca="false">IF(ISNUMBER(F370),IF(ABS(F370-E370)&lt;=H370,"PASS","FAIL"),"FAIL")</f>
        <v>PASS</v>
      </c>
      <c r="J370" s="48" t="str">
        <f aca="false">IF(ISNUMBER(F370),IF(ROUND(F370,1)=ROUND(E370,1),"same","differs"),"n/a")</f>
        <v>same</v>
      </c>
    </row>
    <row r="371" customFormat="false" ht="15" hidden="false" customHeight="false" outlineLevel="0" collapsed="false">
      <c r="B371" s="39" t="n">
        <v>364</v>
      </c>
      <c r="C371" s="8" t="s">
        <v>751</v>
      </c>
      <c r="D371" s="8" t="s">
        <v>802</v>
      </c>
      <c r="E371" s="51" t="n">
        <v>-26</v>
      </c>
      <c r="F371" s="52" t="n">
        <f aca="false">Re_Default!$C$120</f>
        <v>-25.9999999999998</v>
      </c>
      <c r="G371" s="46" t="n">
        <f aca="false">IF(ISNUMBER(F371),F371-E371,"n/a")</f>
        <v>2.27373675443232E-013</v>
      </c>
      <c r="H371" s="47" t="n">
        <v>0.050000001</v>
      </c>
      <c r="I371" s="48" t="str">
        <f aca="false">IF(ISNUMBER(F371),IF(ABS(F371-E371)&lt;=H371,"PASS","FAIL"),"FAIL")</f>
        <v>PASS</v>
      </c>
      <c r="J371" s="48" t="str">
        <f aca="false">IF(ISNUMBER(F371),IF(ROUND(F371,1)=ROUND(E371,1),"same","differs"),"n/a")</f>
        <v>same</v>
      </c>
    </row>
    <row r="372" customFormat="false" ht="15" hidden="false" customHeight="false" outlineLevel="0" collapsed="false">
      <c r="B372" s="39" t="n">
        <v>365</v>
      </c>
      <c r="C372" s="8" t="s">
        <v>751</v>
      </c>
      <c r="D372" s="8" t="s">
        <v>803</v>
      </c>
      <c r="E372" s="51" t="n">
        <v>0</v>
      </c>
      <c r="F372" s="52" t="n">
        <f aca="false">Re_Default!$C$121</f>
        <v>0</v>
      </c>
      <c r="G372" s="46" t="n">
        <f aca="false">IF(ISNUMBER(F372),F372-E372,"n/a")</f>
        <v>0</v>
      </c>
      <c r="H372" s="47" t="n">
        <v>0.050000001</v>
      </c>
      <c r="I372" s="48" t="str">
        <f aca="false">IF(ISNUMBER(F372),IF(ABS(F372-E372)&lt;=H372,"PASS","FAIL"),"FAIL")</f>
        <v>PASS</v>
      </c>
      <c r="J372" s="48" t="str">
        <f aca="false">IF(ISNUMBER(F372),IF(ROUND(F372,1)=ROUND(E372,1),"same","differs"),"n/a")</f>
        <v>same</v>
      </c>
    </row>
    <row r="373" customFormat="false" ht="15" hidden="false" customHeight="false" outlineLevel="0" collapsed="false">
      <c r="B373" s="39" t="n">
        <v>366</v>
      </c>
      <c r="C373" s="8" t="s">
        <v>751</v>
      </c>
      <c r="D373" s="8" t="s">
        <v>804</v>
      </c>
      <c r="E373" s="51" t="n">
        <v>0</v>
      </c>
      <c r="F373" s="52" t="n">
        <f aca="false">Re_Default!$C$122</f>
        <v>0</v>
      </c>
      <c r="G373" s="46" t="n">
        <f aca="false">IF(ISNUMBER(F373),F373-E373,"n/a")</f>
        <v>0</v>
      </c>
      <c r="H373" s="47" t="n">
        <v>0.050000001</v>
      </c>
      <c r="I373" s="48" t="str">
        <f aca="false">IF(ISNUMBER(F373),IF(ABS(F373-E373)&lt;=H373,"PASS","FAIL"),"FAIL")</f>
        <v>PASS</v>
      </c>
      <c r="J373" s="48" t="str">
        <f aca="false">IF(ISNUMBER(F373),IF(ROUND(F373,1)=ROUND(E373,1),"same","differs"),"n/a")</f>
        <v>same</v>
      </c>
    </row>
    <row r="374" customFormat="false" ht="15" hidden="false" customHeight="false" outlineLevel="0" collapsed="false">
      <c r="B374" s="39" t="n">
        <v>367</v>
      </c>
      <c r="C374" s="8" t="s">
        <v>751</v>
      </c>
      <c r="D374" s="8" t="s">
        <v>805</v>
      </c>
      <c r="E374" s="51" t="n">
        <v>154.4</v>
      </c>
      <c r="F374" s="52" t="n">
        <f aca="false">Re_Default!$C$123</f>
        <v>154.370999981138</v>
      </c>
      <c r="G374" s="46" t="n">
        <f aca="false">IF(ISNUMBER(F374),F374-E374,"n/a")</f>
        <v>-0.0290000188616375</v>
      </c>
      <c r="H374" s="47" t="n">
        <v>0.050000001</v>
      </c>
      <c r="I374" s="48" t="str">
        <f aca="false">IF(ISNUMBER(F374),IF(ABS(F374-E374)&lt;=H374,"PASS","FAIL"),"FAIL")</f>
        <v>PASS</v>
      </c>
      <c r="J374" s="48" t="str">
        <f aca="false">IF(ISNUMBER(F374),IF(ROUND(F374,1)=ROUND(E374,1),"same","differs"),"n/a")</f>
        <v>same</v>
      </c>
    </row>
    <row r="375" customFormat="false" ht="15" hidden="false" customHeight="false" outlineLevel="0" collapsed="false">
      <c r="B375" s="39" t="n">
        <v>368</v>
      </c>
      <c r="C375" s="8" t="s">
        <v>751</v>
      </c>
      <c r="D375" s="8" t="s">
        <v>806</v>
      </c>
      <c r="E375" s="51" t="n">
        <v>21.1</v>
      </c>
      <c r="F375" s="52" t="n">
        <f aca="false">Re_Default!$C$124</f>
        <v>21.0744281531174</v>
      </c>
      <c r="G375" s="46" t="n">
        <f aca="false">IF(ISNUMBER(F375),F375-E375,"n/a")</f>
        <v>-0.0255718468825989</v>
      </c>
      <c r="H375" s="47" t="n">
        <v>0.050000001</v>
      </c>
      <c r="I375" s="48" t="str">
        <f aca="false">IF(ISNUMBER(F375),IF(ABS(F375-E375)&lt;=H375,"PASS","FAIL"),"FAIL")</f>
        <v>PASS</v>
      </c>
      <c r="J375" s="48" t="str">
        <f aca="false">IF(ISNUMBER(F375),IF(ROUND(F375,1)=ROUND(E375,1),"same","differs"),"n/a")</f>
        <v>same</v>
      </c>
    </row>
    <row r="376" customFormat="false" ht="15" hidden="false" customHeight="false" outlineLevel="0" collapsed="false">
      <c r="B376" s="39" t="n">
        <v>369</v>
      </c>
      <c r="C376" s="8" t="s">
        <v>751</v>
      </c>
      <c r="D376" s="8" t="s">
        <v>807</v>
      </c>
      <c r="E376" s="51" t="n">
        <v>113.2</v>
      </c>
      <c r="F376" s="52" t="n">
        <f aca="false">Re_Default!$D$84</f>
        <v>113.197666666666</v>
      </c>
      <c r="G376" s="46" t="n">
        <f aca="false">IF(ISNUMBER(F376),F376-E376,"n/a")</f>
        <v>-0.00233333333376606</v>
      </c>
      <c r="H376" s="47" t="n">
        <v>0.050000001</v>
      </c>
      <c r="I376" s="48" t="str">
        <f aca="false">IF(ISNUMBER(F376),IF(ABS(F376-E376)&lt;=H376,"PASS","FAIL"),"FAIL")</f>
        <v>PASS</v>
      </c>
      <c r="J376" s="48" t="str">
        <f aca="false">IF(ISNUMBER(F376),IF(ROUND(F376,1)=ROUND(E376,1),"same","differs"),"n/a")</f>
        <v>same</v>
      </c>
    </row>
    <row r="377" customFormat="false" ht="15" hidden="false" customHeight="false" outlineLevel="0" collapsed="false">
      <c r="B377" s="39" t="n">
        <v>370</v>
      </c>
      <c r="C377" s="8" t="s">
        <v>751</v>
      </c>
      <c r="D377" s="8" t="s">
        <v>808</v>
      </c>
      <c r="E377" s="44" t="n">
        <v>1078</v>
      </c>
      <c r="F377" s="45" t="n">
        <f aca="false">Re_Default!$D$83</f>
        <v>1078</v>
      </c>
      <c r="G377" s="46" t="n">
        <f aca="false">IF(ISNUMBER(F377),F377-E377,"n/a")</f>
        <v>0</v>
      </c>
      <c r="H377" s="47" t="n">
        <v>0.500000001</v>
      </c>
      <c r="I377" s="48" t="str">
        <f aca="false">IF(ISNUMBER(F377),IF(ABS(F377-E377)&lt;=H377,"PASS","FAIL"),"FAIL")</f>
        <v>PASS</v>
      </c>
      <c r="J377" s="48" t="str">
        <f aca="false">IF(ISNUMBER(F377),IF(ROUND(F377,0)=ROUND(E377,0),"same","differs"),"n/a")</f>
        <v>same</v>
      </c>
    </row>
    <row r="378" customFormat="false" ht="15" hidden="false" customHeight="false" outlineLevel="0" collapsed="false">
      <c r="B378" s="39" t="n">
        <v>371</v>
      </c>
      <c r="C378" s="8" t="s">
        <v>751</v>
      </c>
      <c r="D378" s="8" t="s">
        <v>809</v>
      </c>
      <c r="E378" s="51" t="n">
        <v>200</v>
      </c>
      <c r="F378" s="52" t="n">
        <f aca="false">Re_Default!$D$87</f>
        <v>200</v>
      </c>
      <c r="G378" s="46" t="n">
        <f aca="false">IF(ISNUMBER(F378),F378-E378,"n/a")</f>
        <v>0</v>
      </c>
      <c r="H378" s="47" t="n">
        <v>0.050000001</v>
      </c>
      <c r="I378" s="48" t="str">
        <f aca="false">IF(ISNUMBER(F378),IF(ABS(F378-E378)&lt;=H378,"PASS","FAIL"),"FAIL")</f>
        <v>PASS</v>
      </c>
      <c r="J378" s="48" t="str">
        <f aca="false">IF(ISNUMBER(F378),IF(ROUND(F378,1)=ROUND(E378,1),"same","differs"),"n/a")</f>
        <v>same</v>
      </c>
    </row>
    <row r="379" customFormat="false" ht="15" hidden="false" customHeight="false" outlineLevel="0" collapsed="false">
      <c r="B379" s="39" t="n">
        <v>372</v>
      </c>
      <c r="C379" s="8" t="s">
        <v>751</v>
      </c>
      <c r="D379" s="8" t="s">
        <v>810</v>
      </c>
      <c r="E379" s="51" t="n">
        <v>570</v>
      </c>
      <c r="F379" s="52" t="n">
        <f aca="false">Re_Default!$D$88</f>
        <v>570</v>
      </c>
      <c r="G379" s="46" t="n">
        <f aca="false">IF(ISNUMBER(F379),F379-E379,"n/a")</f>
        <v>0</v>
      </c>
      <c r="H379" s="47" t="n">
        <v>0.050000001</v>
      </c>
      <c r="I379" s="48" t="str">
        <f aca="false">IF(ISNUMBER(F379),IF(ABS(F379-E379)&lt;=H379,"PASS","FAIL"),"FAIL")</f>
        <v>PASS</v>
      </c>
      <c r="J379" s="48" t="str">
        <f aca="false">IF(ISNUMBER(F379),IF(ROUND(F379,1)=ROUND(E379,1),"same","differs"),"n/a")</f>
        <v>same</v>
      </c>
    </row>
    <row r="380" customFormat="false" ht="15" hidden="false" customHeight="false" outlineLevel="0" collapsed="false">
      <c r="B380" s="39" t="n">
        <v>373</v>
      </c>
      <c r="C380" s="8" t="s">
        <v>751</v>
      </c>
      <c r="D380" s="8" t="s">
        <v>811</v>
      </c>
      <c r="E380" s="51" t="n">
        <v>292</v>
      </c>
      <c r="F380" s="52" t="n">
        <f aca="false">Re_Default!$D$89</f>
        <v>292</v>
      </c>
      <c r="G380" s="46" t="n">
        <f aca="false">IF(ISNUMBER(F380),F380-E380,"n/a")</f>
        <v>0</v>
      </c>
      <c r="H380" s="47" t="n">
        <v>0.050000001</v>
      </c>
      <c r="I380" s="48" t="str">
        <f aca="false">IF(ISNUMBER(F380),IF(ABS(F380-E380)&lt;=H380,"PASS","FAIL"),"FAIL")</f>
        <v>PASS</v>
      </c>
      <c r="J380" s="48" t="str">
        <f aca="false">IF(ISNUMBER(F380),IF(ROUND(F380,1)=ROUND(E380,1),"same","differs"),"n/a")</f>
        <v>same</v>
      </c>
    </row>
    <row r="381" customFormat="false" ht="15" hidden="false" customHeight="false" outlineLevel="0" collapsed="false">
      <c r="B381" s="39" t="n">
        <v>374</v>
      </c>
      <c r="C381" s="8" t="s">
        <v>751</v>
      </c>
      <c r="D381" s="8" t="s">
        <v>812</v>
      </c>
      <c r="E381" s="51" t="n">
        <v>58.8</v>
      </c>
      <c r="F381" s="52" t="n">
        <f aca="false">Re_Default!$D$91</f>
        <v>58.770429042904</v>
      </c>
      <c r="G381" s="46" t="n">
        <f aca="false">IF(ISNUMBER(F381),F381-E381,"n/a")</f>
        <v>-0.0295709570960483</v>
      </c>
      <c r="H381" s="47" t="n">
        <v>0.050000001</v>
      </c>
      <c r="I381" s="48" t="str">
        <f aca="false">IF(ISNUMBER(F381),IF(ABS(F381-E381)&lt;=H381,"PASS","FAIL"),"FAIL")</f>
        <v>PASS</v>
      </c>
      <c r="J381" s="48" t="str">
        <f aca="false">IF(ISNUMBER(F381),IF(ROUND(F381,1)=ROUND(E381,1),"same","differs"),"n/a")</f>
        <v>same</v>
      </c>
    </row>
    <row r="382" customFormat="false" ht="15" hidden="false" customHeight="false" outlineLevel="0" collapsed="false">
      <c r="B382" s="39" t="n">
        <v>375</v>
      </c>
      <c r="C382" s="8" t="s">
        <v>751</v>
      </c>
      <c r="D382" s="8" t="s">
        <v>813</v>
      </c>
      <c r="E382" s="51" t="n">
        <v>15.4</v>
      </c>
      <c r="F382" s="52" t="n">
        <f aca="false">Re_Default!$D$92</f>
        <v>15.4272376237623</v>
      </c>
      <c r="G382" s="46" t="n">
        <f aca="false">IF(ISNUMBER(F382),F382-E382,"n/a")</f>
        <v>0.0272376237622858</v>
      </c>
      <c r="H382" s="47" t="n">
        <v>0.050000001</v>
      </c>
      <c r="I382" s="48" t="str">
        <f aca="false">IF(ISNUMBER(F382),IF(ABS(F382-E382)&lt;=H382,"PASS","FAIL"),"FAIL")</f>
        <v>PASS</v>
      </c>
      <c r="J382" s="48" t="str">
        <f aca="false">IF(ISNUMBER(F382),IF(ROUND(F382,1)=ROUND(E382,1),"same","differs"),"n/a")</f>
        <v>same</v>
      </c>
    </row>
    <row r="383" customFormat="false" ht="15" hidden="false" customHeight="false" outlineLevel="0" collapsed="false">
      <c r="B383" s="39" t="n">
        <v>376</v>
      </c>
      <c r="C383" s="8" t="s">
        <v>751</v>
      </c>
      <c r="D383" s="8" t="s">
        <v>814</v>
      </c>
      <c r="E383" s="51" t="n">
        <v>600</v>
      </c>
      <c r="F383" s="52" t="n">
        <f aca="false">Re_Default!$D$111</f>
        <v>600</v>
      </c>
      <c r="G383" s="46" t="n">
        <f aca="false">IF(ISNUMBER(F383),F383-E383,"n/a")</f>
        <v>0</v>
      </c>
      <c r="H383" s="47" t="n">
        <v>0.050000001</v>
      </c>
      <c r="I383" s="48" t="str">
        <f aca="false">IF(ISNUMBER(F383),IF(ABS(F383-E383)&lt;=H383,"PASS","FAIL"),"FAIL")</f>
        <v>PASS</v>
      </c>
      <c r="J383" s="48" t="str">
        <f aca="false">IF(ISNUMBER(F383),IF(ROUND(F383,1)=ROUND(E383,1),"same","differs"),"n/a")</f>
        <v>same</v>
      </c>
    </row>
    <row r="384" customFormat="false" ht="15" hidden="false" customHeight="false" outlineLevel="0" collapsed="false">
      <c r="B384" s="39" t="n">
        <v>377</v>
      </c>
      <c r="C384" s="8" t="s">
        <v>751</v>
      </c>
      <c r="D384" s="8" t="s">
        <v>815</v>
      </c>
      <c r="E384" s="51" t="n">
        <v>300</v>
      </c>
      <c r="F384" s="52" t="n">
        <f aca="false">Re_Default!$D$112</f>
        <v>300</v>
      </c>
      <c r="G384" s="46" t="n">
        <f aca="false">IF(ISNUMBER(F384),F384-E384,"n/a")</f>
        <v>0</v>
      </c>
      <c r="H384" s="47" t="n">
        <v>0.050000001</v>
      </c>
      <c r="I384" s="48" t="str">
        <f aca="false">IF(ISNUMBER(F384),IF(ABS(F384-E384)&lt;=H384,"PASS","FAIL"),"FAIL")</f>
        <v>PASS</v>
      </c>
      <c r="J384" s="48" t="str">
        <f aca="false">IF(ISNUMBER(F384),IF(ROUND(F384,1)=ROUND(E384,1),"same","differs"),"n/a")</f>
        <v>same</v>
      </c>
    </row>
    <row r="385" customFormat="false" ht="15" hidden="false" customHeight="false" outlineLevel="0" collapsed="false">
      <c r="B385" s="39" t="n">
        <v>378</v>
      </c>
      <c r="C385" s="8" t="s">
        <v>751</v>
      </c>
      <c r="D385" s="8" t="s">
        <v>816</v>
      </c>
      <c r="E385" s="51" t="n">
        <v>50</v>
      </c>
      <c r="F385" s="52" t="n">
        <f aca="false">Re_Default!$D$113</f>
        <v>50</v>
      </c>
      <c r="G385" s="46" t="n">
        <f aca="false">IF(ISNUMBER(F385),F385-E385,"n/a")</f>
        <v>0</v>
      </c>
      <c r="H385" s="47" t="n">
        <v>0.050000001</v>
      </c>
      <c r="I385" s="48" t="str">
        <f aca="false">IF(ISNUMBER(F385),IF(ABS(F385-E385)&lt;=H385,"PASS","FAIL"),"FAIL")</f>
        <v>PASS</v>
      </c>
      <c r="J385" s="48" t="str">
        <f aca="false">IF(ISNUMBER(F385),IF(ROUND(F385,1)=ROUND(E385,1),"same","differs"),"n/a")</f>
        <v>same</v>
      </c>
    </row>
    <row r="386" customFormat="false" ht="15" hidden="false" customHeight="false" outlineLevel="0" collapsed="false">
      <c r="B386" s="39" t="n">
        <v>379</v>
      </c>
      <c r="C386" s="8" t="s">
        <v>751</v>
      </c>
      <c r="D386" s="8" t="s">
        <v>817</v>
      </c>
      <c r="E386" s="51" t="n">
        <v>11.9</v>
      </c>
      <c r="F386" s="52" t="n">
        <f aca="false">Re_Default!$D$115</f>
        <v>11.8811881188119</v>
      </c>
      <c r="G386" s="46" t="n">
        <f aca="false">IF(ISNUMBER(F386),F386-E386,"n/a")</f>
        <v>-0.0188118811881193</v>
      </c>
      <c r="H386" s="47" t="n">
        <v>0.050000001</v>
      </c>
      <c r="I386" s="48" t="str">
        <f aca="false">IF(ISNUMBER(F386),IF(ABS(F386-E386)&lt;=H386,"PASS","FAIL"),"FAIL")</f>
        <v>PASS</v>
      </c>
      <c r="J386" s="48" t="str">
        <f aca="false">IF(ISNUMBER(F386),IF(ROUND(F386,1)=ROUND(E386,1),"same","differs"),"n/a")</f>
        <v>same</v>
      </c>
    </row>
    <row r="387" customFormat="false" ht="15" hidden="false" customHeight="false" outlineLevel="0" collapsed="false">
      <c r="B387" s="39" t="n">
        <v>380</v>
      </c>
      <c r="C387" s="8" t="s">
        <v>751</v>
      </c>
      <c r="D387" s="8" t="s">
        <v>818</v>
      </c>
      <c r="E387" s="51" t="n">
        <v>3.1</v>
      </c>
      <c r="F387" s="52" t="n">
        <f aca="false">Re_Default!$D$116</f>
        <v>3.11881188118812</v>
      </c>
      <c r="G387" s="46" t="n">
        <f aca="false">IF(ISNUMBER(F387),F387-E387,"n/a")</f>
        <v>0.0188118811881188</v>
      </c>
      <c r="H387" s="47" t="n">
        <v>0.050000001</v>
      </c>
      <c r="I387" s="48" t="str">
        <f aca="false">IF(ISNUMBER(F387),IF(ABS(F387-E387)&lt;=H387,"PASS","FAIL"),"FAIL")</f>
        <v>PASS</v>
      </c>
      <c r="J387" s="48" t="str">
        <f aca="false">IF(ISNUMBER(F387),IF(ROUND(F387,1)=ROUND(E387,1),"same","differs"),"n/a")</f>
        <v>same</v>
      </c>
    </row>
    <row r="388" customFormat="false" ht="15" hidden="false" customHeight="false" outlineLevel="0" collapsed="false">
      <c r="B388" s="39" t="n">
        <v>381</v>
      </c>
      <c r="C388" s="8" t="s">
        <v>751</v>
      </c>
      <c r="D388" s="8" t="s">
        <v>819</v>
      </c>
      <c r="E388" s="51" t="n">
        <v>574</v>
      </c>
      <c r="F388" s="52" t="n">
        <f aca="false">Re_Default!$D$99</f>
        <v>574</v>
      </c>
      <c r="G388" s="46" t="n">
        <f aca="false">IF(ISNUMBER(F388),F388-E388,"n/a")</f>
        <v>0</v>
      </c>
      <c r="H388" s="47" t="n">
        <v>0.050000001</v>
      </c>
      <c r="I388" s="48" t="str">
        <f aca="false">IF(ISNUMBER(F388),IF(ABS(F388-E388)&lt;=H388,"PASS","FAIL"),"FAIL")</f>
        <v>PASS</v>
      </c>
      <c r="J388" s="48" t="str">
        <f aca="false">IF(ISNUMBER(F388),IF(ROUND(F388,1)=ROUND(E388,1),"same","differs"),"n/a")</f>
        <v>same</v>
      </c>
    </row>
    <row r="389" customFormat="false" ht="15" hidden="false" customHeight="false" outlineLevel="0" collapsed="false">
      <c r="B389" s="39" t="n">
        <v>382</v>
      </c>
      <c r="C389" s="8" t="s">
        <v>751</v>
      </c>
      <c r="D389" s="8" t="s">
        <v>820</v>
      </c>
      <c r="E389" s="51" t="n">
        <v>300</v>
      </c>
      <c r="F389" s="52" t="n">
        <f aca="false">Re_Default!$D$100</f>
        <v>300</v>
      </c>
      <c r="G389" s="46" t="n">
        <f aca="false">IF(ISNUMBER(F389),F389-E389,"n/a")</f>
        <v>0</v>
      </c>
      <c r="H389" s="47" t="n">
        <v>0.050000001</v>
      </c>
      <c r="I389" s="48" t="str">
        <f aca="false">IF(ISNUMBER(F389),IF(ABS(F389-E389)&lt;=H389,"PASS","FAIL"),"FAIL")</f>
        <v>PASS</v>
      </c>
      <c r="J389" s="48" t="str">
        <f aca="false">IF(ISNUMBER(F389),IF(ROUND(F389,1)=ROUND(E389,1),"same","differs"),"n/a")</f>
        <v>same</v>
      </c>
    </row>
    <row r="390" customFormat="false" ht="15" hidden="false" customHeight="false" outlineLevel="0" collapsed="false">
      <c r="B390" s="39" t="n">
        <v>383</v>
      </c>
      <c r="C390" s="8" t="s">
        <v>751</v>
      </c>
      <c r="D390" s="8" t="s">
        <v>821</v>
      </c>
      <c r="E390" s="51" t="n">
        <v>50</v>
      </c>
      <c r="F390" s="52" t="n">
        <f aca="false">Re_Default!$D$101</f>
        <v>50</v>
      </c>
      <c r="G390" s="46" t="n">
        <f aca="false">IF(ISNUMBER(F390),F390-E390,"n/a")</f>
        <v>0</v>
      </c>
      <c r="H390" s="47" t="n">
        <v>0.050000001</v>
      </c>
      <c r="I390" s="48" t="str">
        <f aca="false">IF(ISNUMBER(F390),IF(ABS(F390-E390)&lt;=H390,"PASS","FAIL"),"FAIL")</f>
        <v>PASS</v>
      </c>
      <c r="J390" s="48" t="str">
        <f aca="false">IF(ISNUMBER(F390),IF(ROUND(F390,1)=ROUND(E390,1),"same","differs"),"n/a")</f>
        <v>same</v>
      </c>
    </row>
    <row r="391" customFormat="false" ht="15" hidden="false" customHeight="false" outlineLevel="0" collapsed="false">
      <c r="B391" s="39" t="n">
        <v>384</v>
      </c>
      <c r="C391" s="8" t="s">
        <v>751</v>
      </c>
      <c r="D391" s="8" t="s">
        <v>822</v>
      </c>
      <c r="E391" s="51" t="n">
        <v>115</v>
      </c>
      <c r="F391" s="52" t="n">
        <f aca="false">Re_Default!$D$102</f>
        <v>115.014073203812</v>
      </c>
      <c r="G391" s="46" t="n">
        <f aca="false">IF(ISNUMBER(F391),F391-E391,"n/a")</f>
        <v>0.0140732038122025</v>
      </c>
      <c r="H391" s="47" t="n">
        <v>0.050000001</v>
      </c>
      <c r="I391" s="48" t="str">
        <f aca="false">IF(ISNUMBER(F391),IF(ABS(F391-E391)&lt;=H391,"PASS","FAIL"),"FAIL")</f>
        <v>PASS</v>
      </c>
      <c r="J391" s="48" t="str">
        <f aca="false">IF(ISNUMBER(F391),IF(ROUND(F391,1)=ROUND(E391,1),"same","differs"),"n/a")</f>
        <v>same</v>
      </c>
    </row>
    <row r="392" customFormat="false" ht="15" hidden="false" customHeight="false" outlineLevel="0" collapsed="false">
      <c r="B392" s="39" t="n">
        <v>385</v>
      </c>
      <c r="C392" s="8" t="s">
        <v>751</v>
      </c>
      <c r="D392" s="8" t="s">
        <v>823</v>
      </c>
      <c r="E392" s="51" t="n">
        <v>12.4</v>
      </c>
      <c r="F392" s="52" t="n">
        <f aca="false">Re_Default!$D$103</f>
        <v>12.3735759092293</v>
      </c>
      <c r="G392" s="46" t="n">
        <f aca="false">IF(ISNUMBER(F392),F392-E392,"n/a")</f>
        <v>-0.026424090770691</v>
      </c>
      <c r="H392" s="47" t="n">
        <v>0.050000001</v>
      </c>
      <c r="I392" s="48" t="str">
        <f aca="false">IF(ISNUMBER(F392),IF(ABS(F392-E392)&lt;=H392,"PASS","FAIL"),"FAIL")</f>
        <v>PASS</v>
      </c>
      <c r="J392" s="48" t="str">
        <f aca="false">IF(ISNUMBER(F392),IF(ROUND(F392,1)=ROUND(E392,1),"same","differs"),"n/a")</f>
        <v>same</v>
      </c>
    </row>
    <row r="393" customFormat="false" ht="15" hidden="false" customHeight="false" outlineLevel="0" collapsed="false">
      <c r="B393" s="39" t="n">
        <v>386</v>
      </c>
      <c r="C393" s="8" t="s">
        <v>751</v>
      </c>
      <c r="D393" s="8" t="s">
        <v>824</v>
      </c>
      <c r="E393" s="51" t="n">
        <v>-26</v>
      </c>
      <c r="F393" s="52" t="n">
        <f aca="false">Re_Default!$D$120</f>
        <v>-25.9999999999998</v>
      </c>
      <c r="G393" s="46" t="n">
        <f aca="false">IF(ISNUMBER(F393),F393-E393,"n/a")</f>
        <v>2.27373675443232E-013</v>
      </c>
      <c r="H393" s="47" t="n">
        <v>0.050000001</v>
      </c>
      <c r="I393" s="48" t="str">
        <f aca="false">IF(ISNUMBER(F393),IF(ABS(F393-E393)&lt;=H393,"PASS","FAIL"),"FAIL")</f>
        <v>PASS</v>
      </c>
      <c r="J393" s="48" t="str">
        <f aca="false">IF(ISNUMBER(F393),IF(ROUND(F393,1)=ROUND(E393,1),"same","differs"),"n/a")</f>
        <v>same</v>
      </c>
    </row>
    <row r="394" customFormat="false" ht="15" hidden="false" customHeight="false" outlineLevel="0" collapsed="false">
      <c r="B394" s="39" t="n">
        <v>387</v>
      </c>
      <c r="C394" s="8" t="s">
        <v>751</v>
      </c>
      <c r="D394" s="8" t="s">
        <v>825</v>
      </c>
      <c r="E394" s="51" t="n">
        <v>0</v>
      </c>
      <c r="F394" s="52" t="n">
        <f aca="false">Re_Default!$D$121</f>
        <v>0</v>
      </c>
      <c r="G394" s="46" t="n">
        <f aca="false">IF(ISNUMBER(F394),F394-E394,"n/a")</f>
        <v>0</v>
      </c>
      <c r="H394" s="47" t="n">
        <v>0.050000001</v>
      </c>
      <c r="I394" s="48" t="str">
        <f aca="false">IF(ISNUMBER(F394),IF(ABS(F394-E394)&lt;=H394,"PASS","FAIL"),"FAIL")</f>
        <v>PASS</v>
      </c>
      <c r="J394" s="48" t="str">
        <f aca="false">IF(ISNUMBER(F394),IF(ROUND(F394,1)=ROUND(E394,1),"same","differs"),"n/a")</f>
        <v>same</v>
      </c>
    </row>
    <row r="395" customFormat="false" ht="15" hidden="false" customHeight="false" outlineLevel="0" collapsed="false">
      <c r="B395" s="39" t="n">
        <v>388</v>
      </c>
      <c r="C395" s="8" t="s">
        <v>751</v>
      </c>
      <c r="D395" s="8" t="s">
        <v>826</v>
      </c>
      <c r="E395" s="51" t="n">
        <v>0</v>
      </c>
      <c r="F395" s="52" t="n">
        <f aca="false">Re_Default!$D$122</f>
        <v>0</v>
      </c>
      <c r="G395" s="46" t="n">
        <f aca="false">IF(ISNUMBER(F395),F395-E395,"n/a")</f>
        <v>0</v>
      </c>
      <c r="H395" s="47" t="n">
        <v>0.050000001</v>
      </c>
      <c r="I395" s="48" t="str">
        <f aca="false">IF(ISNUMBER(F395),IF(ABS(F395-E395)&lt;=H395,"PASS","FAIL"),"FAIL")</f>
        <v>PASS</v>
      </c>
      <c r="J395" s="48" t="str">
        <f aca="false">IF(ISNUMBER(F395),IF(ROUND(F395,1)=ROUND(E395,1),"same","differs"),"n/a")</f>
        <v>same</v>
      </c>
    </row>
    <row r="396" customFormat="false" ht="15" hidden="false" customHeight="false" outlineLevel="0" collapsed="false">
      <c r="B396" s="39" t="n">
        <v>389</v>
      </c>
      <c r="C396" s="8" t="s">
        <v>751</v>
      </c>
      <c r="D396" s="8" t="s">
        <v>827</v>
      </c>
      <c r="E396" s="51" t="n">
        <v>103.1</v>
      </c>
      <c r="F396" s="52" t="n">
        <f aca="false">Re_Default!$D$123</f>
        <v>103.132885085</v>
      </c>
      <c r="G396" s="46" t="n">
        <f aca="false">IF(ISNUMBER(F396),F396-E396,"n/a")</f>
        <v>0.0328850850003306</v>
      </c>
      <c r="H396" s="47" t="n">
        <v>0.050000001</v>
      </c>
      <c r="I396" s="48" t="str">
        <f aca="false">IF(ISNUMBER(F396),IF(ABS(F396-E396)&lt;=H396,"PASS","FAIL"),"FAIL")</f>
        <v>PASS</v>
      </c>
      <c r="J396" s="48" t="str">
        <f aca="false">IF(ISNUMBER(F396),IF(ROUND(F396,1)=ROUND(E396,1),"same","differs"),"n/a")</f>
        <v>same</v>
      </c>
    </row>
    <row r="397" customFormat="false" ht="15" hidden="false" customHeight="false" outlineLevel="0" collapsed="false">
      <c r="B397" s="39" t="n">
        <v>390</v>
      </c>
      <c r="C397" s="8" t="s">
        <v>751</v>
      </c>
      <c r="D397" s="8" t="s">
        <v>828</v>
      </c>
      <c r="E397" s="51" t="n">
        <v>9.3</v>
      </c>
      <c r="F397" s="52" t="n">
        <f aca="false">Re_Default!$D$124</f>
        <v>9.25476402804119</v>
      </c>
      <c r="G397" s="46" t="n">
        <f aca="false">IF(ISNUMBER(F397),F397-E397,"n/a")</f>
        <v>-0.0452359719588102</v>
      </c>
      <c r="H397" s="47" t="n">
        <v>0.050000001</v>
      </c>
      <c r="I397" s="48" t="str">
        <f aca="false">IF(ISNUMBER(F397),IF(ABS(F397-E397)&lt;=H397,"PASS","FAIL"),"FAIL")</f>
        <v>PASS</v>
      </c>
      <c r="J397" s="48" t="str">
        <f aca="false">IF(ISNUMBER(F397),IF(ROUND(F397,1)=ROUND(E397,1),"same","differs"),"n/a")</f>
        <v>same</v>
      </c>
    </row>
    <row r="398" customFormat="false" ht="15" hidden="false" customHeight="false" outlineLevel="0" collapsed="false">
      <c r="B398" s="39" t="n">
        <v>391</v>
      </c>
      <c r="C398" s="8" t="s">
        <v>751</v>
      </c>
      <c r="D398" s="8" t="s">
        <v>829</v>
      </c>
      <c r="E398" s="51" t="n">
        <v>57.2</v>
      </c>
      <c r="F398" s="52" t="n">
        <f aca="false">Re_Default!$E$84</f>
        <v>57.1976666666665</v>
      </c>
      <c r="G398" s="46" t="n">
        <f aca="false">IF(ISNUMBER(F398),F398-E398,"n/a")</f>
        <v>-0.00233333333346764</v>
      </c>
      <c r="H398" s="47" t="n">
        <v>0.050000001</v>
      </c>
      <c r="I398" s="48" t="str">
        <f aca="false">IF(ISNUMBER(F398),IF(ABS(F398-E398)&lt;=H398,"PASS","FAIL"),"FAIL")</f>
        <v>PASS</v>
      </c>
      <c r="J398" s="48" t="str">
        <f aca="false">IF(ISNUMBER(F398),IF(ROUND(F398,1)=ROUND(E398,1),"same","differs"),"n/a")</f>
        <v>same</v>
      </c>
    </row>
    <row r="399" customFormat="false" ht="15" hidden="false" customHeight="false" outlineLevel="0" collapsed="false">
      <c r="B399" s="39" t="n">
        <v>392</v>
      </c>
      <c r="C399" s="8" t="s">
        <v>751</v>
      </c>
      <c r="D399" s="8" t="s">
        <v>830</v>
      </c>
      <c r="E399" s="44" t="n">
        <v>910</v>
      </c>
      <c r="F399" s="45" t="n">
        <f aca="false">Re_Default!$E$83</f>
        <v>910</v>
      </c>
      <c r="G399" s="46" t="n">
        <f aca="false">IF(ISNUMBER(F399),F399-E399,"n/a")</f>
        <v>0</v>
      </c>
      <c r="H399" s="47" t="n">
        <v>0.500000001</v>
      </c>
      <c r="I399" s="48" t="str">
        <f aca="false">IF(ISNUMBER(F399),IF(ABS(F399-E399)&lt;=H399,"PASS","FAIL"),"FAIL")</f>
        <v>PASS</v>
      </c>
      <c r="J399" s="48" t="str">
        <f aca="false">IF(ISNUMBER(F399),IF(ROUND(F399,0)=ROUND(E399,0),"same","differs"),"n/a")</f>
        <v>same</v>
      </c>
    </row>
    <row r="400" customFormat="false" ht="15" hidden="false" customHeight="false" outlineLevel="0" collapsed="false">
      <c r="B400" s="39" t="n">
        <v>393</v>
      </c>
      <c r="C400" s="8" t="s">
        <v>751</v>
      </c>
      <c r="D400" s="8" t="s">
        <v>831</v>
      </c>
      <c r="E400" s="51" t="n">
        <v>200</v>
      </c>
      <c r="F400" s="52" t="n">
        <f aca="false">Re_Default!$E$87</f>
        <v>200</v>
      </c>
      <c r="G400" s="46" t="n">
        <f aca="false">IF(ISNUMBER(F400),F400-E400,"n/a")</f>
        <v>0</v>
      </c>
      <c r="H400" s="47" t="n">
        <v>0.050000001</v>
      </c>
      <c r="I400" s="48" t="str">
        <f aca="false">IF(ISNUMBER(F400),IF(ABS(F400-E400)&lt;=H400,"PASS","FAIL"),"FAIL")</f>
        <v>PASS</v>
      </c>
      <c r="J400" s="48" t="str">
        <f aca="false">IF(ISNUMBER(F400),IF(ROUND(F400,1)=ROUND(E400,1),"same","differs"),"n/a")</f>
        <v>same</v>
      </c>
    </row>
    <row r="401" customFormat="false" ht="15" hidden="false" customHeight="false" outlineLevel="0" collapsed="false">
      <c r="B401" s="39" t="n">
        <v>394</v>
      </c>
      <c r="C401" s="8" t="s">
        <v>751</v>
      </c>
      <c r="D401" s="8" t="s">
        <v>832</v>
      </c>
      <c r="E401" s="51" t="n">
        <v>570</v>
      </c>
      <c r="F401" s="52" t="n">
        <f aca="false">Re_Default!$E$88</f>
        <v>570</v>
      </c>
      <c r="G401" s="46" t="n">
        <f aca="false">IF(ISNUMBER(F401),F401-E401,"n/a")</f>
        <v>0</v>
      </c>
      <c r="H401" s="47" t="n">
        <v>0.050000001</v>
      </c>
      <c r="I401" s="48" t="str">
        <f aca="false">IF(ISNUMBER(F401),IF(ABS(F401-E401)&lt;=H401,"PASS","FAIL"),"FAIL")</f>
        <v>PASS</v>
      </c>
      <c r="J401" s="48" t="str">
        <f aca="false">IF(ISNUMBER(F401),IF(ROUND(F401,1)=ROUND(E401,1),"same","differs"),"n/a")</f>
        <v>same</v>
      </c>
    </row>
    <row r="402" customFormat="false" ht="15" hidden="false" customHeight="false" outlineLevel="0" collapsed="false">
      <c r="B402" s="39" t="n">
        <v>395</v>
      </c>
      <c r="C402" s="8" t="s">
        <v>751</v>
      </c>
      <c r="D402" s="8" t="s">
        <v>833</v>
      </c>
      <c r="E402" s="51" t="n">
        <v>142.2</v>
      </c>
      <c r="F402" s="52" t="n">
        <f aca="false">Re_Default!$E$89</f>
        <v>142.197666666667</v>
      </c>
      <c r="G402" s="46" t="n">
        <f aca="false">IF(ISNUMBER(F402),F402-E402,"n/a")</f>
        <v>-0.00233333333341079</v>
      </c>
      <c r="H402" s="47" t="n">
        <v>0.050000001</v>
      </c>
      <c r="I402" s="48" t="str">
        <f aca="false">IF(ISNUMBER(F402),IF(ABS(F402-E402)&lt;=H402,"PASS","FAIL"),"FAIL")</f>
        <v>PASS</v>
      </c>
      <c r="J402" s="48" t="str">
        <f aca="false">IF(ISNUMBER(F402),IF(ROUND(F402,1)=ROUND(E402,1),"same","differs"),"n/a")</f>
        <v>same</v>
      </c>
    </row>
    <row r="403" customFormat="false" ht="15" hidden="false" customHeight="false" outlineLevel="0" collapsed="false">
      <c r="B403" s="39" t="n">
        <v>396</v>
      </c>
      <c r="C403" s="8" t="s">
        <v>751</v>
      </c>
      <c r="D403" s="8" t="s">
        <v>834</v>
      </c>
      <c r="E403" s="51" t="n">
        <v>0</v>
      </c>
      <c r="F403" s="52" t="n">
        <f aca="false">Re_Default!$E$91</f>
        <v>0</v>
      </c>
      <c r="G403" s="46" t="n">
        <f aca="false">IF(ISNUMBER(F403),F403-E403,"n/a")</f>
        <v>0</v>
      </c>
      <c r="H403" s="47" t="n">
        <v>0.050000001</v>
      </c>
      <c r="I403" s="48" t="str">
        <f aca="false">IF(ISNUMBER(F403),IF(ABS(F403-E403)&lt;=H403,"PASS","FAIL"),"FAIL")</f>
        <v>PASS</v>
      </c>
      <c r="J403" s="48" t="str">
        <f aca="false">IF(ISNUMBER(F403),IF(ROUND(F403,1)=ROUND(E403,1),"same","differs"),"n/a")</f>
        <v>same</v>
      </c>
    </row>
    <row r="404" customFormat="false" ht="15" hidden="false" customHeight="false" outlineLevel="0" collapsed="false">
      <c r="B404" s="39" t="n">
        <v>397</v>
      </c>
      <c r="C404" s="8" t="s">
        <v>751</v>
      </c>
      <c r="D404" s="8" t="s">
        <v>835</v>
      </c>
      <c r="E404" s="51" t="n">
        <v>0</v>
      </c>
      <c r="F404" s="52" t="n">
        <f aca="false">Re_Default!$E$92</f>
        <v>0</v>
      </c>
      <c r="G404" s="46" t="n">
        <f aca="false">IF(ISNUMBER(F404),F404-E404,"n/a")</f>
        <v>0</v>
      </c>
      <c r="H404" s="47" t="n">
        <v>0.050000001</v>
      </c>
      <c r="I404" s="48" t="str">
        <f aca="false">IF(ISNUMBER(F404),IF(ABS(F404-E404)&lt;=H404,"PASS","FAIL"),"FAIL")</f>
        <v>PASS</v>
      </c>
      <c r="J404" s="48" t="str">
        <f aca="false">IF(ISNUMBER(F404),IF(ROUND(F404,1)=ROUND(E404,1),"same","differs"),"n/a")</f>
        <v>same</v>
      </c>
    </row>
    <row r="405" customFormat="false" ht="15" hidden="false" customHeight="false" outlineLevel="0" collapsed="false">
      <c r="B405" s="39" t="n">
        <v>398</v>
      </c>
      <c r="C405" s="8" t="s">
        <v>751</v>
      </c>
      <c r="D405" s="8" t="s">
        <v>836</v>
      </c>
      <c r="E405" s="51" t="n">
        <v>508.4</v>
      </c>
      <c r="F405" s="52" t="n">
        <f aca="false">Re_Default!$E$111</f>
        <v>508.421052631579</v>
      </c>
      <c r="G405" s="46" t="n">
        <f aca="false">IF(ISNUMBER(F405),F405-E405,"n/a")</f>
        <v>0.0210526315789252</v>
      </c>
      <c r="H405" s="47" t="n">
        <v>0.050000001</v>
      </c>
      <c r="I405" s="48" t="str">
        <f aca="false">IF(ISNUMBER(F405),IF(ABS(F405-E405)&lt;=H405,"PASS","FAIL"),"FAIL")</f>
        <v>PASS</v>
      </c>
      <c r="J405" s="48" t="str">
        <f aca="false">IF(ISNUMBER(F405),IF(ROUND(F405,1)=ROUND(E405,1),"same","differs"),"n/a")</f>
        <v>same</v>
      </c>
    </row>
    <row r="406" customFormat="false" ht="15" hidden="false" customHeight="false" outlineLevel="0" collapsed="false">
      <c r="B406" s="39" t="n">
        <v>399</v>
      </c>
      <c r="C406" s="8" t="s">
        <v>751</v>
      </c>
      <c r="D406" s="8" t="s">
        <v>837</v>
      </c>
      <c r="E406" s="51" t="n">
        <v>254.2</v>
      </c>
      <c r="F406" s="52" t="n">
        <f aca="false">Re_Default!$E$112</f>
        <v>254.210526315789</v>
      </c>
      <c r="G406" s="46" t="n">
        <f aca="false">IF(ISNUMBER(F406),F406-E406,"n/a")</f>
        <v>0.0105263157894626</v>
      </c>
      <c r="H406" s="47" t="n">
        <v>0.050000001</v>
      </c>
      <c r="I406" s="48" t="str">
        <f aca="false">IF(ISNUMBER(F406),IF(ABS(F406-E406)&lt;=H406,"PASS","FAIL"),"FAIL")</f>
        <v>PASS</v>
      </c>
      <c r="J406" s="48" t="str">
        <f aca="false">IF(ISNUMBER(F406),IF(ROUND(F406,1)=ROUND(E406,1),"same","differs"),"n/a")</f>
        <v>same</v>
      </c>
    </row>
    <row r="407" customFormat="false" ht="15" hidden="false" customHeight="false" outlineLevel="0" collapsed="false">
      <c r="B407" s="39" t="n">
        <v>400</v>
      </c>
      <c r="C407" s="8" t="s">
        <v>751</v>
      </c>
      <c r="D407" s="8" t="s">
        <v>838</v>
      </c>
      <c r="E407" s="51" t="n">
        <v>42.4</v>
      </c>
      <c r="F407" s="52" t="n">
        <f aca="false">Re_Default!$E$113</f>
        <v>42.3684210526316</v>
      </c>
      <c r="G407" s="46" t="n">
        <f aca="false">IF(ISNUMBER(F407),F407-E407,"n/a")</f>
        <v>-0.0315789473684234</v>
      </c>
      <c r="H407" s="47" t="n">
        <v>0.050000001</v>
      </c>
      <c r="I407" s="48" t="str">
        <f aca="false">IF(ISNUMBER(F407),IF(ABS(F407-E407)&lt;=H407,"PASS","FAIL"),"FAIL")</f>
        <v>PASS</v>
      </c>
      <c r="J407" s="48" t="str">
        <f aca="false">IF(ISNUMBER(F407),IF(ROUND(F407,1)=ROUND(E407,1),"same","differs"),"n/a")</f>
        <v>same</v>
      </c>
    </row>
    <row r="408" customFormat="false" ht="15" hidden="false" customHeight="false" outlineLevel="0" collapsed="false">
      <c r="B408" s="39" t="n">
        <v>401</v>
      </c>
      <c r="C408" s="8" t="s">
        <v>751</v>
      </c>
      <c r="D408" s="8" t="s">
        <v>839</v>
      </c>
      <c r="E408" s="51" t="n">
        <v>0</v>
      </c>
      <c r="F408" s="52" t="n">
        <f aca="false">Re_Default!$E$115</f>
        <v>0</v>
      </c>
      <c r="G408" s="46" t="n">
        <f aca="false">IF(ISNUMBER(F408),F408-E408,"n/a")</f>
        <v>0</v>
      </c>
      <c r="H408" s="47" t="n">
        <v>0.050000001</v>
      </c>
      <c r="I408" s="48" t="str">
        <f aca="false">IF(ISNUMBER(F408),IF(ABS(F408-E408)&lt;=H408,"PASS","FAIL"),"FAIL")</f>
        <v>PASS</v>
      </c>
      <c r="J408" s="48" t="str">
        <f aca="false">IF(ISNUMBER(F408),IF(ROUND(F408,1)=ROUND(E408,1),"same","differs"),"n/a")</f>
        <v>same</v>
      </c>
    </row>
    <row r="409" customFormat="false" ht="15" hidden="false" customHeight="false" outlineLevel="0" collapsed="false">
      <c r="B409" s="39" t="n">
        <v>402</v>
      </c>
      <c r="C409" s="8" t="s">
        <v>751</v>
      </c>
      <c r="D409" s="8" t="s">
        <v>840</v>
      </c>
      <c r="E409" s="51" t="n">
        <v>0</v>
      </c>
      <c r="F409" s="52" t="n">
        <f aca="false">Re_Default!$E$116</f>
        <v>0</v>
      </c>
      <c r="G409" s="46" t="n">
        <f aca="false">IF(ISNUMBER(F409),F409-E409,"n/a")</f>
        <v>0</v>
      </c>
      <c r="H409" s="47" t="n">
        <v>0.050000001</v>
      </c>
      <c r="I409" s="48" t="str">
        <f aca="false">IF(ISNUMBER(F409),IF(ABS(F409-E409)&lt;=H409,"PASS","FAIL"),"FAIL")</f>
        <v>PASS</v>
      </c>
      <c r="J409" s="48" t="str">
        <f aca="false">IF(ISNUMBER(F409),IF(ROUND(F409,1)=ROUND(E409,1),"same","differs"),"n/a")</f>
        <v>same</v>
      </c>
    </row>
    <row r="410" customFormat="false" ht="15" hidden="false" customHeight="false" outlineLevel="0" collapsed="false">
      <c r="B410" s="39" t="n">
        <v>403</v>
      </c>
      <c r="C410" s="8" t="s">
        <v>751</v>
      </c>
      <c r="D410" s="8" t="s">
        <v>841</v>
      </c>
      <c r="E410" s="51" t="n">
        <v>574</v>
      </c>
      <c r="F410" s="52" t="n">
        <f aca="false">Re_Default!$E$99</f>
        <v>574</v>
      </c>
      <c r="G410" s="46" t="n">
        <f aca="false">IF(ISNUMBER(F410),F410-E410,"n/a")</f>
        <v>0</v>
      </c>
      <c r="H410" s="47" t="n">
        <v>0.050000001</v>
      </c>
      <c r="I410" s="48" t="str">
        <f aca="false">IF(ISNUMBER(F410),IF(ABS(F410-E410)&lt;=H410,"PASS","FAIL"),"FAIL")</f>
        <v>PASS</v>
      </c>
      <c r="J410" s="48" t="str">
        <f aca="false">IF(ISNUMBER(F410),IF(ROUND(F410,1)=ROUND(E410,1),"same","differs"),"n/a")</f>
        <v>same</v>
      </c>
    </row>
    <row r="411" customFormat="false" ht="15" hidden="false" customHeight="false" outlineLevel="0" collapsed="false">
      <c r="B411" s="39" t="n">
        <v>404</v>
      </c>
      <c r="C411" s="8" t="s">
        <v>751</v>
      </c>
      <c r="D411" s="8" t="s">
        <v>842</v>
      </c>
      <c r="E411" s="51" t="n">
        <v>179.8</v>
      </c>
      <c r="F411" s="52" t="n">
        <f aca="false">Re_Default!$E$100</f>
        <v>179.849485171303</v>
      </c>
      <c r="G411" s="46" t="n">
        <f aca="false">IF(ISNUMBER(F411),F411-E411,"n/a")</f>
        <v>0.049485171303445</v>
      </c>
      <c r="H411" s="47" t="n">
        <v>0.050000001</v>
      </c>
      <c r="I411" s="48" t="str">
        <f aca="false">IF(ISNUMBER(F411),IF(ABS(F411-E411)&lt;=H411,"PASS","FAIL"),"FAIL")</f>
        <v>PASS</v>
      </c>
      <c r="J411" s="48" t="str">
        <f aca="false">IF(ISNUMBER(F411),IF(ROUND(F411,1)=ROUND(E411,1),"same","differs"),"n/a")</f>
        <v>same</v>
      </c>
    </row>
    <row r="412" customFormat="false" ht="15" hidden="false" customHeight="false" outlineLevel="0" collapsed="false">
      <c r="B412" s="39" t="n">
        <v>405</v>
      </c>
      <c r="C412" s="8" t="s">
        <v>751</v>
      </c>
      <c r="D412" s="8" t="s">
        <v>843</v>
      </c>
      <c r="E412" s="51" t="n">
        <v>50</v>
      </c>
      <c r="F412" s="52" t="n">
        <f aca="false">Re_Default!$E$101</f>
        <v>50</v>
      </c>
      <c r="G412" s="46" t="n">
        <f aca="false">IF(ISNUMBER(F412),F412-E412,"n/a")</f>
        <v>0</v>
      </c>
      <c r="H412" s="47" t="n">
        <v>0.050000001</v>
      </c>
      <c r="I412" s="48" t="str">
        <f aca="false">IF(ISNUMBER(F412),IF(ABS(F412-E412)&lt;=H412,"PASS","FAIL"),"FAIL")</f>
        <v>PASS</v>
      </c>
      <c r="J412" s="48" t="str">
        <f aca="false">IF(ISNUMBER(F412),IF(ROUND(F412,1)=ROUND(E412,1),"same","differs"),"n/a")</f>
        <v>same</v>
      </c>
    </row>
    <row r="413" customFormat="false" ht="15" hidden="false" customHeight="false" outlineLevel="0" collapsed="false">
      <c r="B413" s="39" t="n">
        <v>406</v>
      </c>
      <c r="C413" s="8" t="s">
        <v>751</v>
      </c>
      <c r="D413" s="8" t="s">
        <v>844</v>
      </c>
      <c r="E413" s="51" t="n">
        <v>66.4</v>
      </c>
      <c r="F413" s="52" t="n">
        <f aca="false">Re_Default!$E$102</f>
        <v>66.4090342450279</v>
      </c>
      <c r="G413" s="46" t="n">
        <f aca="false">IF(ISNUMBER(F413),F413-E413,"n/a")</f>
        <v>0.00903424502790529</v>
      </c>
      <c r="H413" s="47" t="n">
        <v>0.050000001</v>
      </c>
      <c r="I413" s="48" t="str">
        <f aca="false">IF(ISNUMBER(F413),IF(ABS(F413-E413)&lt;=H413,"PASS","FAIL"),"FAIL")</f>
        <v>PASS</v>
      </c>
      <c r="J413" s="48" t="str">
        <f aca="false">IF(ISNUMBER(F413),IF(ROUND(F413,1)=ROUND(E413,1),"same","differs"),"n/a")</f>
        <v>same</v>
      </c>
    </row>
    <row r="414" customFormat="false" ht="15" hidden="false" customHeight="false" outlineLevel="0" collapsed="false">
      <c r="B414" s="39" t="n">
        <v>407</v>
      </c>
      <c r="C414" s="8" t="s">
        <v>751</v>
      </c>
      <c r="D414" s="8" t="s">
        <v>845</v>
      </c>
      <c r="E414" s="51" t="n">
        <v>0</v>
      </c>
      <c r="F414" s="52" t="n">
        <f aca="false">Re_Default!$E$103</f>
        <v>0</v>
      </c>
      <c r="G414" s="46" t="n">
        <f aca="false">IF(ISNUMBER(F414),F414-E414,"n/a")</f>
        <v>0</v>
      </c>
      <c r="H414" s="47" t="n">
        <v>0.050000001</v>
      </c>
      <c r="I414" s="48" t="str">
        <f aca="false">IF(ISNUMBER(F414),IF(ABS(F414-E414)&lt;=H414,"PASS","FAIL"),"FAIL")</f>
        <v>PASS</v>
      </c>
      <c r="J414" s="48" t="str">
        <f aca="false">IF(ISNUMBER(F414),IF(ROUND(F414,1)=ROUND(E414,1),"same","differs"),"n/a")</f>
        <v>same</v>
      </c>
    </row>
    <row r="415" customFormat="false" ht="15" hidden="false" customHeight="false" outlineLevel="0" collapsed="false">
      <c r="B415" s="39" t="n">
        <v>408</v>
      </c>
      <c r="C415" s="8" t="s">
        <v>751</v>
      </c>
      <c r="D415" s="8" t="s">
        <v>846</v>
      </c>
      <c r="E415" s="51" t="n">
        <v>65.6</v>
      </c>
      <c r="F415" s="52" t="n">
        <f aca="false">Re_Default!$E$120</f>
        <v>65.5789473684213</v>
      </c>
      <c r="G415" s="46" t="n">
        <f aca="false">IF(ISNUMBER(F415),F415-E415,"n/a")</f>
        <v>-0.0210526315786694</v>
      </c>
      <c r="H415" s="47" t="n">
        <v>0.050000001</v>
      </c>
      <c r="I415" s="48" t="str">
        <f aca="false">IF(ISNUMBER(F415),IF(ABS(F415-E415)&lt;=H415,"PASS","FAIL"),"FAIL")</f>
        <v>PASS</v>
      </c>
      <c r="J415" s="48" t="str">
        <f aca="false">IF(ISNUMBER(F415),IF(ROUND(F415,1)=ROUND(E415,1),"same","differs"),"n/a")</f>
        <v>same</v>
      </c>
    </row>
    <row r="416" customFormat="false" ht="15" hidden="false" customHeight="false" outlineLevel="0" collapsed="false">
      <c r="B416" s="39" t="n">
        <v>409</v>
      </c>
      <c r="C416" s="8" t="s">
        <v>751</v>
      </c>
      <c r="D416" s="8" t="s">
        <v>847</v>
      </c>
      <c r="E416" s="51" t="n">
        <v>-74.4</v>
      </c>
      <c r="F416" s="52" t="n">
        <f aca="false">Re_Default!$E$121</f>
        <v>-74.361041144486</v>
      </c>
      <c r="G416" s="46" t="n">
        <f aca="false">IF(ISNUMBER(F416),F416-E416,"n/a")</f>
        <v>0.0389588555140108</v>
      </c>
      <c r="H416" s="47" t="n">
        <v>0.050000001</v>
      </c>
      <c r="I416" s="48" t="str">
        <f aca="false">IF(ISNUMBER(F416),IF(ABS(F416-E416)&lt;=H416,"PASS","FAIL"),"FAIL")</f>
        <v>PASS</v>
      </c>
      <c r="J416" s="48" t="str">
        <f aca="false">IF(ISNUMBER(F416),IF(ROUND(F416,1)=ROUND(E416,1),"same","differs"),"n/a")</f>
        <v>same</v>
      </c>
    </row>
    <row r="417" customFormat="false" ht="15" hidden="false" customHeight="false" outlineLevel="0" collapsed="false">
      <c r="B417" s="39" t="n">
        <v>410</v>
      </c>
      <c r="C417" s="8" t="s">
        <v>751</v>
      </c>
      <c r="D417" s="8" t="s">
        <v>848</v>
      </c>
      <c r="E417" s="51" t="n">
        <v>7.6</v>
      </c>
      <c r="F417" s="52" t="n">
        <f aca="false">Re_Default!$E$122</f>
        <v>7.63157894736843</v>
      </c>
      <c r="G417" s="46" t="n">
        <f aca="false">IF(ISNUMBER(F417),F417-E417,"n/a")</f>
        <v>0.0315789473684252</v>
      </c>
      <c r="H417" s="47" t="n">
        <v>0.050000001</v>
      </c>
      <c r="I417" s="48" t="str">
        <f aca="false">IF(ISNUMBER(F417),IF(ABS(F417-E417)&lt;=H417,"PASS","FAIL"),"FAIL")</f>
        <v>PASS</v>
      </c>
      <c r="J417" s="48" t="str">
        <f aca="false">IF(ISNUMBER(F417),IF(ROUND(F417,1)=ROUND(E417,1),"same","differs"),"n/a")</f>
        <v>same</v>
      </c>
    </row>
    <row r="418" customFormat="false" ht="15" hidden="false" customHeight="false" outlineLevel="0" collapsed="false">
      <c r="B418" s="39" t="n">
        <v>411</v>
      </c>
      <c r="C418" s="8" t="s">
        <v>751</v>
      </c>
      <c r="D418" s="8" t="s">
        <v>849</v>
      </c>
      <c r="E418" s="51" t="n">
        <v>66.4</v>
      </c>
      <c r="F418" s="52" t="n">
        <f aca="false">Re_Default!$E$123</f>
        <v>66.4090342450279</v>
      </c>
      <c r="G418" s="46" t="n">
        <f aca="false">IF(ISNUMBER(F418),F418-E418,"n/a")</f>
        <v>0.00903424502790529</v>
      </c>
      <c r="H418" s="47" t="n">
        <v>0.050000001</v>
      </c>
      <c r="I418" s="48" t="str">
        <f aca="false">IF(ISNUMBER(F418),IF(ABS(F418-E418)&lt;=H418,"PASS","FAIL"),"FAIL")</f>
        <v>PASS</v>
      </c>
      <c r="J418" s="48" t="str">
        <f aca="false">IF(ISNUMBER(F418),IF(ROUND(F418,1)=ROUND(E418,1),"same","differs"),"n/a")</f>
        <v>same</v>
      </c>
    </row>
    <row r="419" customFormat="false" ht="15" hidden="false" customHeight="false" outlineLevel="0" collapsed="false">
      <c r="B419" s="39" t="n">
        <v>412</v>
      </c>
      <c r="C419" s="8" t="s">
        <v>751</v>
      </c>
      <c r="D419" s="8" t="s">
        <v>850</v>
      </c>
      <c r="E419" s="51" t="n">
        <v>0</v>
      </c>
      <c r="F419" s="52" t="n">
        <f aca="false">Re_Default!$E$124</f>
        <v>0</v>
      </c>
      <c r="G419" s="46" t="n">
        <f aca="false">IF(ISNUMBER(F419),F419-E419,"n/a")</f>
        <v>0</v>
      </c>
      <c r="H419" s="47" t="n">
        <v>0.050000001</v>
      </c>
      <c r="I419" s="48" t="str">
        <f aca="false">IF(ISNUMBER(F419),IF(ABS(F419-E419)&lt;=H419,"PASS","FAIL"),"FAIL")</f>
        <v>PASS</v>
      </c>
      <c r="J419" s="48" t="str">
        <f aca="false">IF(ISNUMBER(F419),IF(ROUND(F419,1)=ROUND(E419,1),"same","differs"),"n/a")</f>
        <v>same</v>
      </c>
    </row>
  </sheetData>
  <conditionalFormatting sqref="I8:I419">
    <cfRule type="cellIs" priority="2" operator="equal" aboveAverage="0" equalAverage="0" bottom="0" percent="0" rank="0" text="" dxfId="0">
      <formula>"FAIL"</formula>
    </cfRule>
  </conditionalFormatting>
  <conditionalFormatting sqref="J8:J419">
    <cfRule type="cellIs" priority="3" operator="equal" aboveAverage="0" equalAverage="0" bottom="0" percent="0" rank="0" text="" dxfId="0">
      <formula>"differs"</formula>
    </cfRule>
  </conditionalFormatting>
  <conditionalFormatting sqref="E6">
    <cfRule type="cellIs" priority="4" operator="greaterThan" aboveAverage="0" equalAverage="0" bottom="0" percent="0" rank="0" text="" dxfId="0">
      <formula>0</formula>
    </cfRule>
  </conditionalFormatting>
  <conditionalFormatting sqref="J5">
    <cfRule type="cellIs" priority="5" operator="greaterThan" aboveAverage="0" equalAverage="0" bottom="0" percent="0" rank="0" text="" dxfId="0">
      <formula>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2026-09-23T22:18:47Z</dcterms:created>
  <dc:creator>openpyxl</dc:creator>
  <dc:description/>
  <dc:language>en-US</dc:language>
  <cp:lastModifiedBy/>
  <dcterms:modified xsi:type="dcterms:W3CDTF">2026-09-23T22:18:48Z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