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0. Read Me" sheetId="1" state="visible" r:id="rId1"/>
    <sheet xmlns:r="http://schemas.openxmlformats.org/officeDocument/2006/relationships" name="1. Forecast" sheetId="2" state="visible" r:id="rId2"/>
    <sheet xmlns:r="http://schemas.openxmlformats.org/officeDocument/2006/relationships" name="2. Variance" sheetId="3" state="visible" r:id="rId3"/>
    <sheet xmlns:r="http://schemas.openxmlformats.org/officeDocument/2006/relationships" name="3. Variance by week" sheetId="4" state="visible" r:id="rId4"/>
    <sheet xmlns:r="http://schemas.openxmlformats.org/officeDocument/2006/relationships" name="4. Creditor map" sheetId="5" state="visible" r:id="rId5"/>
    <sheet xmlns:r="http://schemas.openxmlformats.org/officeDocument/2006/relationships" name="5. Waterfall" sheetId="6" state="visible" r:id="rId6"/>
    <sheet xmlns:r="http://schemas.openxmlformats.org/officeDocument/2006/relationships" name="6. Checks" sheetId="7" state="visible" r:id="rId7"/>
  </sheets>
  <definedNames/>
  <calcPr calcId="124519" fullCalcOnLoad="1"/>
</workbook>
</file>

<file path=xl/styles.xml><?xml version="1.0" encoding="utf-8"?>
<styleSheet xmlns="http://schemas.openxmlformats.org/spreadsheetml/2006/main">
  <numFmts count="8">
    <numFmt numFmtId="164" formatCode="dd mmm yyyy"/>
    <numFmt numFmtId="165" formatCode="&quot;Week &quot;0"/>
    <numFmt numFmtId="166" formatCode="#,##0.00;(#,##0.00);-"/>
    <numFmt numFmtId="167" formatCode="#,##0.00;(#,##0.00)"/>
    <numFmt numFmtId="168" formatCode="0.0%"/>
    <numFmt numFmtId="169" formatCode="0.00&quot;x&quot;"/>
    <numFmt numFmtId="170" formatCode="#,##0.0"/>
    <numFmt numFmtId="171" formatCode="#,##0.0;(#,##0.0);-"/>
  </numFmts>
  <fonts count="8">
    <font>
      <name val="Calibri"/>
      <family val="2"/>
      <color theme="1"/>
      <sz val="11"/>
      <scheme val="minor"/>
    </font>
    <font>
      <name val="Calibri"/>
      <b val="1"/>
      <sz val="14"/>
    </font>
    <font>
      <name val="Calibri"/>
      <color rgb="005B6475"/>
    </font>
    <font>
      <name val="Calibri"/>
    </font>
    <font>
      <name val="Calibri"/>
      <b val="1"/>
    </font>
    <font>
      <name val="Calibri"/>
      <color rgb="001F4FB4"/>
    </font>
    <font>
      <name val="Calibri"/>
      <b val="1"/>
      <color rgb="00FFFFFF"/>
    </font>
    <font>
      <name val="Calibri"/>
      <b val="1"/>
      <color rgb="001F4FB4"/>
    </font>
  </fonts>
  <fills count="6">
    <fill>
      <patternFill/>
    </fill>
    <fill>
      <patternFill patternType="gray125"/>
    </fill>
    <fill>
      <patternFill patternType="solid">
        <fgColor rgb="00FFF2CC"/>
      </patternFill>
    </fill>
    <fill>
      <patternFill patternType="solid">
        <fgColor rgb="0016213A"/>
      </patternFill>
    </fill>
    <fill>
      <patternFill patternType="solid">
        <fgColor rgb="00DCE3ED"/>
      </patternFill>
    </fill>
    <fill>
      <patternFill patternType="solid">
        <fgColor rgb="00EFF3F8"/>
      </patternFill>
    </fill>
  </fills>
  <borders count="2">
    <border>
      <left/>
      <right/>
      <top/>
      <bottom/>
      <diagonal/>
    </border>
    <border>
      <left style="thin">
        <color rgb="009AA3B2"/>
      </left>
      <right style="thin">
        <color rgb="009AA3B2"/>
      </right>
      <top style="thin">
        <color rgb="009AA3B2"/>
      </top>
      <bottom style="thin">
        <color rgb="009AA3B2"/>
      </bottom>
    </border>
  </borders>
  <cellStyleXfs count="1">
    <xf numFmtId="0" fontId="0" fillId="0" borderId="0"/>
  </cellStyleXfs>
  <cellXfs count="50">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pivotButton="0" quotePrefix="0" xfId="0"/>
    <xf numFmtId="0" fontId="2" fillId="0" borderId="0" pivotButton="0" quotePrefix="0" xfId="0"/>
    <xf numFmtId="0" fontId="3" fillId="0" borderId="1" pivotButton="0" quotePrefix="0" xfId="0"/>
    <xf numFmtId="0" fontId="5" fillId="2" borderId="1" pivotButton="0" quotePrefix="0" xfId="0"/>
    <xf numFmtId="4" fontId="5" fillId="2" borderId="1" pivotButton="0" quotePrefix="0" xfId="0"/>
    <xf numFmtId="164" fontId="5" fillId="2" borderId="1" pivotButton="0" quotePrefix="0" xfId="0"/>
    <xf numFmtId="0" fontId="6" fillId="3" borderId="1" applyAlignment="1" pivotButton="0" quotePrefix="0" xfId="0">
      <alignment vertical="center" wrapText="1"/>
    </xf>
    <xf numFmtId="0" fontId="6" fillId="3" borderId="1" applyAlignment="1" pivotButton="0" quotePrefix="0" xfId="0">
      <alignment horizontal="center" vertical="center" wrapText="1"/>
    </xf>
    <xf numFmtId="165" fontId="6" fillId="3" borderId="1" applyAlignment="1" pivotButton="0" quotePrefix="0" xfId="0">
      <alignment horizontal="center" vertical="center" wrapText="1"/>
    </xf>
    <xf numFmtId="0" fontId="4" fillId="4" borderId="1" pivotButton="0" quotePrefix="0" xfId="0"/>
    <xf numFmtId="0" fontId="0" fillId="4" borderId="1" pivotButton="0" quotePrefix="0" xfId="0"/>
    <xf numFmtId="0" fontId="0" fillId="0" borderId="1" pivotButton="0" quotePrefix="0" xfId="0"/>
    <xf numFmtId="166" fontId="5" fillId="2" borderId="1" pivotButton="0" quotePrefix="0" xfId="0"/>
    <xf numFmtId="166" fontId="3" fillId="5" borderId="1" pivotButton="0" quotePrefix="0" xfId="0"/>
    <xf numFmtId="0" fontId="4" fillId="0" borderId="1" pivotButton="0" quotePrefix="0" xfId="0"/>
    <xf numFmtId="166" fontId="4" fillId="5" borderId="1" pivotButton="0" quotePrefix="0" xfId="0"/>
    <xf numFmtId="1" fontId="3" fillId="5" borderId="1" applyAlignment="1" pivotButton="0" quotePrefix="0" xfId="0">
      <alignment horizontal="center"/>
    </xf>
    <xf numFmtId="1" fontId="4" fillId="5" borderId="1" pivotButton="0" quotePrefix="0" xfId="0"/>
    <xf numFmtId="167" fontId="4" fillId="5" borderId="1" pivotButton="0" quotePrefix="0" xfId="0"/>
    <xf numFmtId="1" fontId="3" fillId="5" borderId="1" pivotButton="0" quotePrefix="0" xfId="0"/>
    <xf numFmtId="168" fontId="5" fillId="2" borderId="1" pivotButton="0" quotePrefix="0" xfId="0"/>
    <xf numFmtId="169" fontId="5" fillId="2" borderId="1" pivotButton="0" quotePrefix="0" xfId="0"/>
    <xf numFmtId="0" fontId="4" fillId="0" borderId="1" applyAlignment="1" pivotButton="0" quotePrefix="0" xfId="0">
      <alignment vertical="top" wrapText="1"/>
    </xf>
    <xf numFmtId="168" fontId="3" fillId="5" borderId="1" pivotButton="0" quotePrefix="0" xfId="0"/>
    <xf numFmtId="169" fontId="4" fillId="5" borderId="1" pivotButton="0" quotePrefix="0" xfId="0"/>
    <xf numFmtId="0" fontId="3" fillId="5" borderId="1" applyAlignment="1" pivotButton="0" quotePrefix="0" xfId="0">
      <alignment horizontal="center" wrapText="1"/>
    </xf>
    <xf numFmtId="1" fontId="5" fillId="2" borderId="1" pivotButton="0" quotePrefix="0" xfId="0"/>
    <xf numFmtId="0" fontId="3" fillId="5" borderId="1" pivotButton="0" quotePrefix="0" xfId="0"/>
    <xf numFmtId="0" fontId="5" fillId="2" borderId="1" applyAlignment="1" pivotButton="0" quotePrefix="0" xfId="0">
      <alignment horizontal="center"/>
    </xf>
    <xf numFmtId="0" fontId="5" fillId="2" borderId="1" applyAlignment="1" pivotButton="0" quotePrefix="0" xfId="0">
      <alignment vertical="top" wrapText="1"/>
    </xf>
    <xf numFmtId="0" fontId="4" fillId="0" borderId="1" applyAlignment="1" pivotButton="0" quotePrefix="0" xfId="0">
      <alignment horizontal="center"/>
    </xf>
    <xf numFmtId="0" fontId="4" fillId="0" borderId="1" applyAlignment="1" pivotButton="0" quotePrefix="0" xfId="0">
      <alignment vertical="center" wrapText="1"/>
    </xf>
    <xf numFmtId="4" fontId="4" fillId="5" borderId="1" pivotButton="0" quotePrefix="0" xfId="0"/>
    <xf numFmtId="0" fontId="3" fillId="0" borderId="1" applyAlignment="1" pivotButton="0" quotePrefix="0" xfId="0">
      <alignment vertical="center" wrapText="1"/>
    </xf>
    <xf numFmtId="0" fontId="5" fillId="2" borderId="1" applyAlignment="1" pivotButton="0" quotePrefix="0" xfId="0">
      <alignment horizontal="center" wrapText="1"/>
    </xf>
    <xf numFmtId="10" fontId="5" fillId="2" borderId="1" pivotButton="0" quotePrefix="0" xfId="0"/>
    <xf numFmtId="170" fontId="4" fillId="5" borderId="1" pivotButton="0" quotePrefix="0" xfId="0"/>
    <xf numFmtId="170" fontId="7" fillId="2" borderId="1" pivotButton="0" quotePrefix="0" xfId="0"/>
    <xf numFmtId="171" fontId="3" fillId="5" borderId="1" pivotButton="0" quotePrefix="0" xfId="0"/>
    <xf numFmtId="0" fontId="3" fillId="0" borderId="1" applyAlignment="1" pivotButton="0" quotePrefix="0" xfId="0">
      <alignment vertical="top" wrapText="1"/>
    </xf>
    <xf numFmtId="171" fontId="4" fillId="5" borderId="1" pivotButton="0" quotePrefix="0" xfId="0"/>
    <xf numFmtId="168" fontId="4" fillId="5" borderId="1" pivotButton="0" quotePrefix="0" xfId="0"/>
    <xf numFmtId="0" fontId="4" fillId="5" borderId="1" applyAlignment="1" pivotButton="0" quotePrefix="0" xfId="0">
      <alignment horizontal="center"/>
    </xf>
    <xf numFmtId="0" fontId="4" fillId="5" borderId="1" pivotButton="0" quotePrefix="0" xfId="0"/>
    <xf numFmtId="0" fontId="4" fillId="5"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30"/>
  <sheetViews>
    <sheetView showGridLines="0" workbookViewId="0">
      <selection activeCell="A1" sqref="A1"/>
    </sheetView>
  </sheetViews>
  <sheetFormatPr baseColWidth="8" defaultRowHeight="15"/>
  <cols>
    <col width="2" customWidth="1" min="1" max="1"/>
    <col width="120" customWidth="1" min="2" max="2"/>
  </cols>
  <sheetData>
    <row r="1" ht="6" customHeight="1"/>
    <row r="2">
      <c r="B2" s="1" t="inlineStr">
        <is>
          <t>The 13-week cash flow and the creditor map: blank templates</t>
        </is>
      </c>
    </row>
    <row r="3">
      <c r="B3" s="2" t="inlineStr">
        <is>
          <t>Companion file to The Corporate Restructuring Handbook, by Julian R. Sterling. julianrsterling.com/restructuring</t>
        </is>
      </c>
    </row>
    <row r="4">
      <c r="B4" s="3" t="inlineStr"/>
    </row>
    <row r="5">
      <c r="B5" s="4" t="inlineStr">
        <is>
          <t>What is in this workbook</t>
        </is>
      </c>
    </row>
    <row r="6">
      <c r="B6" s="3" t="inlineStr">
        <is>
          <t>Sheet 1, Forecast: the 13-week cash flow on the direct method (Chapter 2 and Appendix B). One line per driver, one owner per line, thirteen weekly columns, ending cash against the operating minimum, the first week below it, the trough, and a block that turns cash into usable liquidity: cash above the minimum plus what can be drawn on the revolver before a springing covenant is tested (Chapter 3).</t>
        </is>
      </c>
    </row>
    <row r="7">
      <c r="B7" s="3" t="inlineStr">
        <is>
          <t>Sheet 2, Variance: the weekly variance report for one week. Forecast, actual, variance (positive when favorable to cash), and a column to classify each variance as Timing or Permanent, with the owner's explanation.</t>
        </is>
      </c>
    </row>
    <row r="8">
      <c r="B8" s="3" t="inlineStr">
        <is>
          <t>Sheet 3, Variance by week: the running record, week by week: net variance, cumulative variance, the permanent part, and the reconciliation of opening cash to the bank.</t>
        </is>
      </c>
    </row>
    <row r="9">
      <c r="B9" s="3" t="inlineStr">
        <is>
          <t>Sheet 4, Creditor map: every claim, its class, how it is paid in the waterfall (senior cash claims charged to the collateral, senior cash claims paid first from unencumbered value, secured or unsecured), its security, rate, maturity, holders and thresholds (Appendix C, section 6).</t>
        </is>
      </c>
    </row>
    <row r="10">
      <c r="B10" s="3" t="inlineStr">
        <is>
          <t>Sheet 5, Waterfall: recovery by class at up to eight enterprise values, with the cash above the minimum counted as collateral, each senior cash claim charged to the pot that bears it, a share of value outside the collateral, the deficiency claim sharing that value with the unsecured pool, and the fulcrum (Chapter 12).</t>
        </is>
      </c>
    </row>
    <row r="11">
      <c r="B11" s="3" t="inlineStr">
        <is>
          <t>Sheet 6, Checks: the first line counts the inputs still empty; the others test that the model holds together.</t>
        </is>
      </c>
    </row>
    <row r="12">
      <c r="B12" s="3" t="inlineStr"/>
    </row>
    <row r="13">
      <c r="B13" s="4" t="inlineStr">
        <is>
          <t>How to use it</t>
        </is>
      </c>
    </row>
    <row r="14">
      <c r="B14" s="3" t="inlineStr">
        <is>
          <t>Yellow cells with blue type are inputs. They are all empty. Grey cells are formulas: do not type over them. Amounts are in millions, in the currency of the company. Enter disbursements as positive numbers: the sheet subtracts them.</t>
        </is>
      </c>
    </row>
    <row r="15">
      <c r="B15" s="3" t="inlineStr">
        <is>
          <t>Leave a line empty if it does not apply. Rename the spare lines if you need them. Every formula has been written to return a blank, a zero or "none" while its inputs are empty, never an error.</t>
        </is>
      </c>
    </row>
    <row r="16">
      <c r="B16" s="3" t="inlineStr">
        <is>
          <t>The waterfall follows the conventions of the book's model (Appendix A). Senior cash claims are entered in two groups. Those charged to the collateral: a DIP and its interest, repaid from the collateral they primed, and unpaid professional fees, paid from the carve-out a DIP order grants out of the collateral. Those paid first from unencumbered value: priority claims and cure costs, with any part the unencumbered value cannot cover charged to the collateral. Cash above the minimum at emergence is entered once, on sheet 5, and counted as collateral. If the collateral cannot cover the claims charged to it, the rest is paid from unencumbered value before the unsecured pool shares it. How a court would charge a particular estate's claims to particular assets is for counsel.</t>
        </is>
      </c>
    </row>
    <row r="17">
      <c r="B17" s="3" t="inlineStr">
        <is>
          <t>Every claim marked Secured is one class sharing one pool of collateral, pari passu, and every claim marked Unsecured is one pool. A second-lien or structurally senior claim needs its own column: add it rather than forcing it into these four treatments. To reproduce the simplified waterfall of the book's Part II, enter its fixed senior claims as charged to the collateral, set the unencumbered share to 0% and enter the cash then held above the minimum.</t>
        </is>
      </c>
    </row>
    <row r="18">
      <c r="B18" s="3" t="inlineStr"/>
    </row>
    <row r="19">
      <c r="B19" s="4" t="inlineStr">
        <is>
          <t>The weekly roll-forward (Appendix B)</t>
        </is>
      </c>
    </row>
    <row r="20">
      <c r="B20" s="3" t="inlineStr">
        <is>
          <t>1. Replace the forecast for the week just ended with actuals on sheet 2, and reset opening cash on sheet 1 to the reconciled bank balance (sheet 3 shows the difference).</t>
        </is>
      </c>
    </row>
    <row r="21">
      <c r="B21" s="3" t="inlineStr">
        <is>
          <t>2. Classify every variance above your threshold as Timing or Permanent. Reverse timing variances in the week they unwind; carry permanent ones into every future week they affect.</t>
        </is>
      </c>
    </row>
    <row r="22">
      <c r="B22" s="3" t="inlineStr">
        <is>
          <t>3. Drop the oldest week and add a new week 13, built line by line from its drivers, not copied from the week before. In this file: copy weeks 2 to 13 one column to the left, then build the new last column.</t>
        </is>
      </c>
    </row>
    <row r="23">
      <c r="B23" s="3" t="inlineStr">
        <is>
          <t>4. Update the drivers that have changed: supplier terms, customer payment behavior, the reference rate, adviser engagements, any lever pulled or withdrawn.</t>
        </is>
      </c>
    </row>
    <row r="24">
      <c r="B24" s="3" t="inlineStr">
        <is>
          <t>5. Recompute and compare with last week: the first week below the minimum, the trough and its week, usable liquidity by week. Explain each change.</t>
        </is>
      </c>
    </row>
    <row r="25">
      <c r="B25" s="3" t="inlineStr">
        <is>
          <t>6. Send the package in the same format every week. A forecast whose format changes when the news is bad invites the reader to wonder why.</t>
        </is>
      </c>
    </row>
    <row r="26">
      <c r="B26" s="3" t="inlineStr"/>
    </row>
    <row r="27">
      <c r="B27" s="4" t="inlineStr">
        <is>
          <t>Check it against the book</t>
        </is>
      </c>
    </row>
    <row r="28">
      <c r="B28" s="3" t="inlineStr">
        <is>
          <t>Type Brantwell's figures from Appendix B (opening cash 45.0, minimum 25.0, the fifteen lines) and sheet 1 returns ending cash of 48.45 in week 1 and 19.89 in week 13, first below the minimum in week 11, a trough of 19.88 in week 12, and usable liquidity of 22.5 at week 0 with first-lien net leverage of 6.86x. Type the claims of Chapter 12: charged to the collateral, the DIP 65.0, its interest 1.40 and unpaid fees 14.0 (80.40 in all); paid first from unencumbered value, priority claims 7.0 and cure costs 5.0; first lien 960.13; unsecured 502.62. Enter 22.54 of cash above the minimum and 8% unencumbered. At an enterprise value of 975 sheet 5 returns 852.0 (88.7%) for the first lien and 53.2 (10.6%) for the unsecured pool, and the first lien is paid in full above 1,106.5.</t>
        </is>
      </c>
    </row>
    <row r="29">
      <c r="B29" s="3" t="inlineStr"/>
    </row>
    <row r="30">
      <c r="B30" s="3" t="inlineStr">
        <is>
          <t>The file is provided without warranty of any kind. It is a teaching template, not advice: the documents, counsel and the company's own advisers decide. No macros. Nothing is locked, protected or hidden.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2:R80"/>
  <sheetViews>
    <sheetView showGridLines="0" workbookViewId="0">
      <selection activeCell="A1" sqref="A1"/>
    </sheetView>
  </sheetViews>
  <sheetFormatPr baseColWidth="8" defaultRowHeight="15"/>
  <cols>
    <col width="2" customWidth="1" min="1" max="1"/>
    <col width="40" customWidth="1" min="2" max="2"/>
    <col width="15" customWidth="1" min="3" max="3"/>
    <col width="10" customWidth="1" min="4" max="4"/>
    <col width="8.6" customWidth="1" min="5" max="5"/>
    <col width="8.6" customWidth="1" min="6" max="6"/>
    <col width="8.6" customWidth="1" min="7" max="7"/>
    <col width="8.6" customWidth="1" min="8" max="8"/>
    <col width="8.6" customWidth="1" min="9" max="9"/>
    <col width="8.6" customWidth="1" min="10" max="10"/>
    <col width="8.6" customWidth="1" min="11" max="11"/>
    <col width="8.6" customWidth="1" min="12" max="12"/>
    <col width="8.6" customWidth="1" min="13" max="13"/>
    <col width="8.6" customWidth="1" min="14" max="14"/>
    <col width="8.6" customWidth="1" min="15" max="15"/>
    <col width="8.6" customWidth="1" min="16" max="16"/>
    <col width="8.6" customWidth="1" min="17" max="17"/>
    <col width="11" customWidth="1" min="18" max="18"/>
  </cols>
  <sheetData>
    <row r="1" ht="6" customHeight="1"/>
    <row r="2">
      <c r="B2" s="5" t="inlineStr">
        <is>
          <t>The 13-week cash flow, direct method ($m)</t>
        </is>
      </c>
    </row>
    <row r="3">
      <c r="B3" s="6" t="inlineStr">
        <is>
          <t>Yellow cells are inputs, all empty. Disbursements are entered as positive numbers. Week 0 is the Monday the forecast is presented.</t>
        </is>
      </c>
    </row>
    <row r="5">
      <c r="B5" s="7" t="inlineStr">
        <is>
          <t>Company</t>
        </is>
      </c>
      <c r="D5" s="8" t="n"/>
    </row>
    <row r="6">
      <c r="B6" s="7" t="inlineStr">
        <is>
          <t>Opening cash at week 0</t>
        </is>
      </c>
      <c r="D6" s="9" t="n"/>
    </row>
    <row r="7">
      <c r="B7" s="7" t="inlineStr">
        <is>
          <t>Minimum operating cash</t>
        </is>
      </c>
      <c r="D7" s="9" t="n"/>
    </row>
    <row r="8">
      <c r="B8" s="7" t="inlineStr">
        <is>
          <t>First day of week 1</t>
        </is>
      </c>
      <c r="D8" s="10" t="n"/>
    </row>
    <row r="10" ht="30" customHeight="1">
      <c r="B10" s="11" t="inlineStr">
        <is>
          <t>Line</t>
        </is>
      </c>
      <c r="C10" s="12" t="inlineStr">
        <is>
          <t>Owner</t>
        </is>
      </c>
      <c r="D10" s="12" t="inlineStr">
        <is>
          <t>Week 0</t>
        </is>
      </c>
      <c r="E10" s="13" t="n">
        <v>1</v>
      </c>
      <c r="F10" s="13" t="n">
        <v>2</v>
      </c>
      <c r="G10" s="13" t="n">
        <v>3</v>
      </c>
      <c r="H10" s="13" t="n">
        <v>4</v>
      </c>
      <c r="I10" s="13" t="n">
        <v>5</v>
      </c>
      <c r="J10" s="13" t="n">
        <v>6</v>
      </c>
      <c r="K10" s="13" t="n">
        <v>7</v>
      </c>
      <c r="L10" s="13" t="n">
        <v>8</v>
      </c>
      <c r="M10" s="13" t="n">
        <v>9</v>
      </c>
      <c r="N10" s="13" t="n">
        <v>10</v>
      </c>
      <c r="O10" s="13" t="n">
        <v>11</v>
      </c>
      <c r="P10" s="13" t="n">
        <v>12</v>
      </c>
      <c r="Q10" s="13" t="n">
        <v>13</v>
      </c>
      <c r="R10" s="12" t="inlineStr">
        <is>
          <t>13 weeks</t>
        </is>
      </c>
    </row>
    <row r="11">
      <c r="B11" s="14" t="inlineStr">
        <is>
          <t>Receipts</t>
        </is>
      </c>
      <c r="C11" s="15" t="n"/>
      <c r="D11" s="15" t="n"/>
      <c r="E11" s="15" t="n"/>
      <c r="F11" s="15" t="n"/>
      <c r="G11" s="15" t="n"/>
      <c r="H11" s="15" t="n"/>
      <c r="I11" s="15" t="n"/>
      <c r="J11" s="15" t="n"/>
      <c r="K11" s="15" t="n"/>
      <c r="L11" s="15" t="n"/>
      <c r="M11" s="15" t="n"/>
      <c r="N11" s="15" t="n"/>
      <c r="O11" s="15" t="n"/>
      <c r="P11" s="15" t="n"/>
      <c r="Q11" s="15" t="n"/>
      <c r="R11" s="15" t="n"/>
    </row>
    <row r="12">
      <c r="B12" s="7" t="inlineStr">
        <is>
          <t>Customer collections</t>
        </is>
      </c>
      <c r="C12" s="8" t="n"/>
      <c r="D12" s="16" t="n"/>
      <c r="E12" s="17" t="n"/>
      <c r="F12" s="17" t="n"/>
      <c r="G12" s="17" t="n"/>
      <c r="H12" s="17" t="n"/>
      <c r="I12" s="17" t="n"/>
      <c r="J12" s="17" t="n"/>
      <c r="K12" s="17" t="n"/>
      <c r="L12" s="17" t="n"/>
      <c r="M12" s="17" t="n"/>
      <c r="N12" s="17" t="n"/>
      <c r="O12" s="17" t="n"/>
      <c r="P12" s="17" t="n"/>
      <c r="Q12" s="17" t="n"/>
      <c r="R12" s="18">
        <f>SUM(E12:Q12)</f>
        <v/>
      </c>
    </row>
    <row r="13">
      <c r="B13" s="7" t="inlineStr">
        <is>
          <t>Other receipts</t>
        </is>
      </c>
      <c r="C13" s="8" t="n"/>
      <c r="D13" s="16" t="n"/>
      <c r="E13" s="17" t="n"/>
      <c r="F13" s="17" t="n"/>
      <c r="G13" s="17" t="n"/>
      <c r="H13" s="17" t="n"/>
      <c r="I13" s="17" t="n"/>
      <c r="J13" s="17" t="n"/>
      <c r="K13" s="17" t="n"/>
      <c r="L13" s="17" t="n"/>
      <c r="M13" s="17" t="n"/>
      <c r="N13" s="17" t="n"/>
      <c r="O13" s="17" t="n"/>
      <c r="P13" s="17" t="n"/>
      <c r="Q13" s="17" t="n"/>
      <c r="R13" s="18">
        <f>SUM(E13:Q13)</f>
        <v/>
      </c>
    </row>
    <row r="14">
      <c r="B14" s="7" t="inlineStr">
        <is>
          <t>Additional receipt line</t>
        </is>
      </c>
      <c r="C14" s="8" t="n"/>
      <c r="D14" s="16" t="n"/>
      <c r="E14" s="17" t="n"/>
      <c r="F14" s="17" t="n"/>
      <c r="G14" s="17" t="n"/>
      <c r="H14" s="17" t="n"/>
      <c r="I14" s="17" t="n"/>
      <c r="J14" s="17" t="n"/>
      <c r="K14" s="17" t="n"/>
      <c r="L14" s="17" t="n"/>
      <c r="M14" s="17" t="n"/>
      <c r="N14" s="17" t="n"/>
      <c r="O14" s="17" t="n"/>
      <c r="P14" s="17" t="n"/>
      <c r="Q14" s="17" t="n"/>
      <c r="R14" s="18">
        <f>SUM(E14:Q14)</f>
        <v/>
      </c>
    </row>
    <row r="15">
      <c r="B15" s="19" t="inlineStr">
        <is>
          <t>Total receipts</t>
        </is>
      </c>
      <c r="C15" s="16" t="n"/>
      <c r="D15" s="16" t="n"/>
      <c r="E15" s="20">
        <f>SUM(E12:E14)</f>
        <v/>
      </c>
      <c r="F15" s="20">
        <f>SUM(F12:F14)</f>
        <v/>
      </c>
      <c r="G15" s="20">
        <f>SUM(G12:G14)</f>
        <v/>
      </c>
      <c r="H15" s="20">
        <f>SUM(H12:H14)</f>
        <v/>
      </c>
      <c r="I15" s="20">
        <f>SUM(I12:I14)</f>
        <v/>
      </c>
      <c r="J15" s="20">
        <f>SUM(J12:J14)</f>
        <v/>
      </c>
      <c r="K15" s="20">
        <f>SUM(K12:K14)</f>
        <v/>
      </c>
      <c r="L15" s="20">
        <f>SUM(L12:L14)</f>
        <v/>
      </c>
      <c r="M15" s="20">
        <f>SUM(M12:M14)</f>
        <v/>
      </c>
      <c r="N15" s="20">
        <f>SUM(N12:N14)</f>
        <v/>
      </c>
      <c r="O15" s="20">
        <f>SUM(O12:O14)</f>
        <v/>
      </c>
      <c r="P15" s="20">
        <f>SUM(P12:P14)</f>
        <v/>
      </c>
      <c r="Q15" s="20">
        <f>SUM(Q12:Q14)</f>
        <v/>
      </c>
      <c r="R15" s="20">
        <f>SUM(R12:R14)</f>
        <v/>
      </c>
    </row>
    <row r="16">
      <c r="B16" s="14" t="inlineStr">
        <is>
          <t>Operating disbursements</t>
        </is>
      </c>
      <c r="C16" s="15" t="n"/>
      <c r="D16" s="15" t="n"/>
      <c r="E16" s="15" t="n"/>
      <c r="F16" s="15" t="n"/>
      <c r="G16" s="15" t="n"/>
      <c r="H16" s="15" t="n"/>
      <c r="I16" s="15" t="n"/>
      <c r="J16" s="15" t="n"/>
      <c r="K16" s="15" t="n"/>
      <c r="L16" s="15" t="n"/>
      <c r="M16" s="15" t="n"/>
      <c r="N16" s="15" t="n"/>
      <c r="O16" s="15" t="n"/>
      <c r="P16" s="15" t="n"/>
      <c r="Q16" s="15" t="n"/>
      <c r="R16" s="15" t="n"/>
    </row>
    <row r="17">
      <c r="B17" s="7" t="inlineStr">
        <is>
          <t>Suppliers</t>
        </is>
      </c>
      <c r="C17" s="8" t="n"/>
      <c r="D17" s="16" t="n"/>
      <c r="E17" s="17" t="n"/>
      <c r="F17" s="17" t="n"/>
      <c r="G17" s="17" t="n"/>
      <c r="H17" s="17" t="n"/>
      <c r="I17" s="17" t="n"/>
      <c r="J17" s="17" t="n"/>
      <c r="K17" s="17" t="n"/>
      <c r="L17" s="17" t="n"/>
      <c r="M17" s="17" t="n"/>
      <c r="N17" s="17" t="n"/>
      <c r="O17" s="17" t="n"/>
      <c r="P17" s="17" t="n"/>
      <c r="Q17" s="17" t="n"/>
      <c r="R17" s="18">
        <f>SUM(E17:Q17)</f>
        <v/>
      </c>
    </row>
    <row r="18">
      <c r="B18" s="7" t="inlineStr">
        <is>
          <t>Payroll</t>
        </is>
      </c>
      <c r="C18" s="8" t="n"/>
      <c r="D18" s="16" t="n"/>
      <c r="E18" s="17" t="n"/>
      <c r="F18" s="17" t="n"/>
      <c r="G18" s="17" t="n"/>
      <c r="H18" s="17" t="n"/>
      <c r="I18" s="17" t="n"/>
      <c r="J18" s="17" t="n"/>
      <c r="K18" s="17" t="n"/>
      <c r="L18" s="17" t="n"/>
      <c r="M18" s="17" t="n"/>
      <c r="N18" s="17" t="n"/>
      <c r="O18" s="17" t="n"/>
      <c r="P18" s="17" t="n"/>
      <c r="Q18" s="17" t="n"/>
      <c r="R18" s="18">
        <f>SUM(E18:Q18)</f>
        <v/>
      </c>
    </row>
    <row r="19">
      <c r="B19" s="7" t="inlineStr">
        <is>
          <t>Freight and logistics</t>
        </is>
      </c>
      <c r="C19" s="8" t="n"/>
      <c r="D19" s="16" t="n"/>
      <c r="E19" s="17" t="n"/>
      <c r="F19" s="17" t="n"/>
      <c r="G19" s="17" t="n"/>
      <c r="H19" s="17" t="n"/>
      <c r="I19" s="17" t="n"/>
      <c r="J19" s="17" t="n"/>
      <c r="K19" s="17" t="n"/>
      <c r="L19" s="17" t="n"/>
      <c r="M19" s="17" t="n"/>
      <c r="N19" s="17" t="n"/>
      <c r="O19" s="17" t="n"/>
      <c r="P19" s="17" t="n"/>
      <c r="Q19" s="17" t="n"/>
      <c r="R19" s="18">
        <f>SUM(E19:Q19)</f>
        <v/>
      </c>
    </row>
    <row r="20">
      <c r="B20" s="7" t="inlineStr">
        <is>
          <t>Other operating costs</t>
        </is>
      </c>
      <c r="C20" s="8" t="n"/>
      <c r="D20" s="16" t="n"/>
      <c r="E20" s="17" t="n"/>
      <c r="F20" s="17" t="n"/>
      <c r="G20" s="17" t="n"/>
      <c r="H20" s="17" t="n"/>
      <c r="I20" s="17" t="n"/>
      <c r="J20" s="17" t="n"/>
      <c r="K20" s="17" t="n"/>
      <c r="L20" s="17" t="n"/>
      <c r="M20" s="17" t="n"/>
      <c r="N20" s="17" t="n"/>
      <c r="O20" s="17" t="n"/>
      <c r="P20" s="17" t="n"/>
      <c r="Q20" s="17" t="n"/>
      <c r="R20" s="18">
        <f>SUM(E20:Q20)</f>
        <v/>
      </c>
    </row>
    <row r="21">
      <c r="B21" s="7" t="inlineStr">
        <is>
          <t>Rent and utilities</t>
        </is>
      </c>
      <c r="C21" s="8" t="n"/>
      <c r="D21" s="16" t="n"/>
      <c r="E21" s="17" t="n"/>
      <c r="F21" s="17" t="n"/>
      <c r="G21" s="17" t="n"/>
      <c r="H21" s="17" t="n"/>
      <c r="I21" s="17" t="n"/>
      <c r="J21" s="17" t="n"/>
      <c r="K21" s="17" t="n"/>
      <c r="L21" s="17" t="n"/>
      <c r="M21" s="17" t="n"/>
      <c r="N21" s="17" t="n"/>
      <c r="O21" s="17" t="n"/>
      <c r="P21" s="17" t="n"/>
      <c r="Q21" s="17" t="n"/>
      <c r="R21" s="18">
        <f>SUM(E21:Q21)</f>
        <v/>
      </c>
    </row>
    <row r="22">
      <c r="B22" s="7" t="inlineStr">
        <is>
          <t>Customer rebates</t>
        </is>
      </c>
      <c r="C22" s="8" t="n"/>
      <c r="D22" s="16" t="n"/>
      <c r="E22" s="17" t="n"/>
      <c r="F22" s="17" t="n"/>
      <c r="G22" s="17" t="n"/>
      <c r="H22" s="17" t="n"/>
      <c r="I22" s="17" t="n"/>
      <c r="J22" s="17" t="n"/>
      <c r="K22" s="17" t="n"/>
      <c r="L22" s="17" t="n"/>
      <c r="M22" s="17" t="n"/>
      <c r="N22" s="17" t="n"/>
      <c r="O22" s="17" t="n"/>
      <c r="P22" s="17" t="n"/>
      <c r="Q22" s="17" t="n"/>
      <c r="R22" s="18">
        <f>SUM(E22:Q22)</f>
        <v/>
      </c>
    </row>
    <row r="23">
      <c r="B23" s="7" t="inlineStr">
        <is>
          <t>Capital expenditure</t>
        </is>
      </c>
      <c r="C23" s="8" t="n"/>
      <c r="D23" s="16" t="n"/>
      <c r="E23" s="17" t="n"/>
      <c r="F23" s="17" t="n"/>
      <c r="G23" s="17" t="n"/>
      <c r="H23" s="17" t="n"/>
      <c r="I23" s="17" t="n"/>
      <c r="J23" s="17" t="n"/>
      <c r="K23" s="17" t="n"/>
      <c r="L23" s="17" t="n"/>
      <c r="M23" s="17" t="n"/>
      <c r="N23" s="17" t="n"/>
      <c r="O23" s="17" t="n"/>
      <c r="P23" s="17" t="n"/>
      <c r="Q23" s="17" t="n"/>
      <c r="R23" s="18">
        <f>SUM(E23:Q23)</f>
        <v/>
      </c>
    </row>
    <row r="24">
      <c r="B24" s="7" t="inlineStr">
        <is>
          <t>Cash taxes</t>
        </is>
      </c>
      <c r="C24" s="8" t="n"/>
      <c r="D24" s="16" t="n"/>
      <c r="E24" s="17" t="n"/>
      <c r="F24" s="17" t="n"/>
      <c r="G24" s="17" t="n"/>
      <c r="H24" s="17" t="n"/>
      <c r="I24" s="17" t="n"/>
      <c r="J24" s="17" t="n"/>
      <c r="K24" s="17" t="n"/>
      <c r="L24" s="17" t="n"/>
      <c r="M24" s="17" t="n"/>
      <c r="N24" s="17" t="n"/>
      <c r="O24" s="17" t="n"/>
      <c r="P24" s="17" t="n"/>
      <c r="Q24" s="17" t="n"/>
      <c r="R24" s="18">
        <f>SUM(E24:Q24)</f>
        <v/>
      </c>
    </row>
    <row r="25">
      <c r="B25" s="7" t="inlineStr">
        <is>
          <t>Additional operating line</t>
        </is>
      </c>
      <c r="C25" s="8" t="n"/>
      <c r="D25" s="16" t="n"/>
      <c r="E25" s="17" t="n"/>
      <c r="F25" s="17" t="n"/>
      <c r="G25" s="17" t="n"/>
      <c r="H25" s="17" t="n"/>
      <c r="I25" s="17" t="n"/>
      <c r="J25" s="17" t="n"/>
      <c r="K25" s="17" t="n"/>
      <c r="L25" s="17" t="n"/>
      <c r="M25" s="17" t="n"/>
      <c r="N25" s="17" t="n"/>
      <c r="O25" s="17" t="n"/>
      <c r="P25" s="17" t="n"/>
      <c r="Q25" s="17" t="n"/>
      <c r="R25" s="18">
        <f>SUM(E25:Q25)</f>
        <v/>
      </c>
    </row>
    <row r="26">
      <c r="B26" s="19" t="inlineStr">
        <is>
          <t>Total operating disbursements</t>
        </is>
      </c>
      <c r="C26" s="16" t="n"/>
      <c r="D26" s="16" t="n"/>
      <c r="E26" s="20">
        <f>SUM(E17:E25)</f>
        <v/>
      </c>
      <c r="F26" s="20">
        <f>SUM(F17:F25)</f>
        <v/>
      </c>
      <c r="G26" s="20">
        <f>SUM(G17:G25)</f>
        <v/>
      </c>
      <c r="H26" s="20">
        <f>SUM(H17:H25)</f>
        <v/>
      </c>
      <c r="I26" s="20">
        <f>SUM(I17:I25)</f>
        <v/>
      </c>
      <c r="J26" s="20">
        <f>SUM(J17:J25)</f>
        <v/>
      </c>
      <c r="K26" s="20">
        <f>SUM(K17:K25)</f>
        <v/>
      </c>
      <c r="L26" s="20">
        <f>SUM(L17:L25)</f>
        <v/>
      </c>
      <c r="M26" s="20">
        <f>SUM(M17:M25)</f>
        <v/>
      </c>
      <c r="N26" s="20">
        <f>SUM(N17:N25)</f>
        <v/>
      </c>
      <c r="O26" s="20">
        <f>SUM(O17:O25)</f>
        <v/>
      </c>
      <c r="P26" s="20">
        <f>SUM(P17:P25)</f>
        <v/>
      </c>
      <c r="Q26" s="20">
        <f>SUM(Q17:Q25)</f>
        <v/>
      </c>
      <c r="R26" s="20">
        <f>SUM(R17:R25)</f>
        <v/>
      </c>
    </row>
    <row r="27">
      <c r="B27" s="19" t="inlineStr">
        <is>
          <t>OPERATING CASH FLOW</t>
        </is>
      </c>
      <c r="C27" s="16" t="n"/>
      <c r="D27" s="16" t="n"/>
      <c r="E27" s="20">
        <f>E15-E26</f>
        <v/>
      </c>
      <c r="F27" s="20">
        <f>F15-F26</f>
        <v/>
      </c>
      <c r="G27" s="20">
        <f>G15-G26</f>
        <v/>
      </c>
      <c r="H27" s="20">
        <f>H15-H26</f>
        <v/>
      </c>
      <c r="I27" s="20">
        <f>I15-I26</f>
        <v/>
      </c>
      <c r="J27" s="20">
        <f>J15-J26</f>
        <v/>
      </c>
      <c r="K27" s="20">
        <f>K15-K26</f>
        <v/>
      </c>
      <c r="L27" s="20">
        <f>L15-L26</f>
        <v/>
      </c>
      <c r="M27" s="20">
        <f>M15-M26</f>
        <v/>
      </c>
      <c r="N27" s="20">
        <f>N15-N26</f>
        <v/>
      </c>
      <c r="O27" s="20">
        <f>O15-O26</f>
        <v/>
      </c>
      <c r="P27" s="20">
        <f>P15-P26</f>
        <v/>
      </c>
      <c r="Q27" s="20">
        <f>Q15-Q26</f>
        <v/>
      </c>
      <c r="R27" s="20">
        <f>R15-R26</f>
        <v/>
      </c>
    </row>
    <row r="28">
      <c r="B28" s="14" t="inlineStr">
        <is>
          <t>Advisers</t>
        </is>
      </c>
      <c r="C28" s="15" t="n"/>
      <c r="D28" s="15" t="n"/>
      <c r="E28" s="15" t="n"/>
      <c r="F28" s="15" t="n"/>
      <c r="G28" s="15" t="n"/>
      <c r="H28" s="15" t="n"/>
      <c r="I28" s="15" t="n"/>
      <c r="J28" s="15" t="n"/>
      <c r="K28" s="15" t="n"/>
      <c r="L28" s="15" t="n"/>
      <c r="M28" s="15" t="n"/>
      <c r="N28" s="15" t="n"/>
      <c r="O28" s="15" t="n"/>
      <c r="P28" s="15" t="n"/>
      <c r="Q28" s="15" t="n"/>
      <c r="R28" s="15" t="n"/>
    </row>
    <row r="29">
      <c r="B29" s="7" t="inlineStr">
        <is>
          <t>Company restructuring advisers</t>
        </is>
      </c>
      <c r="C29" s="8" t="n"/>
      <c r="D29" s="16" t="n"/>
      <c r="E29" s="17" t="n"/>
      <c r="F29" s="17" t="n"/>
      <c r="G29" s="17" t="n"/>
      <c r="H29" s="17" t="n"/>
      <c r="I29" s="17" t="n"/>
      <c r="J29" s="17" t="n"/>
      <c r="K29" s="17" t="n"/>
      <c r="L29" s="17" t="n"/>
      <c r="M29" s="17" t="n"/>
      <c r="N29" s="17" t="n"/>
      <c r="O29" s="17" t="n"/>
      <c r="P29" s="17" t="n"/>
      <c r="Q29" s="17" t="n"/>
      <c r="R29" s="18">
        <f>SUM(E29:Q29)</f>
        <v/>
      </c>
    </row>
    <row r="30">
      <c r="B30" s="7" t="inlineStr">
        <is>
          <t>Lenders' advisers paid by the company</t>
        </is>
      </c>
      <c r="C30" s="8" t="n"/>
      <c r="D30" s="16" t="n"/>
      <c r="E30" s="17" t="n"/>
      <c r="F30" s="17" t="n"/>
      <c r="G30" s="17" t="n"/>
      <c r="H30" s="17" t="n"/>
      <c r="I30" s="17" t="n"/>
      <c r="J30" s="17" t="n"/>
      <c r="K30" s="17" t="n"/>
      <c r="L30" s="17" t="n"/>
      <c r="M30" s="17" t="n"/>
      <c r="N30" s="17" t="n"/>
      <c r="O30" s="17" t="n"/>
      <c r="P30" s="17" t="n"/>
      <c r="Q30" s="17" t="n"/>
      <c r="R30" s="18">
        <f>SUM(E30:Q30)</f>
        <v/>
      </c>
    </row>
    <row r="31">
      <c r="B31" s="19" t="inlineStr">
        <is>
          <t>Total advisers</t>
        </is>
      </c>
      <c r="C31" s="16" t="n"/>
      <c r="D31" s="16" t="n"/>
      <c r="E31" s="20">
        <f>SUM(E29:E30)</f>
        <v/>
      </c>
      <c r="F31" s="20">
        <f>SUM(F29:F30)</f>
        <v/>
      </c>
      <c r="G31" s="20">
        <f>SUM(G29:G30)</f>
        <v/>
      </c>
      <c r="H31" s="20">
        <f>SUM(H29:H30)</f>
        <v/>
      </c>
      <c r="I31" s="20">
        <f>SUM(I29:I30)</f>
        <v/>
      </c>
      <c r="J31" s="20">
        <f>SUM(J29:J30)</f>
        <v/>
      </c>
      <c r="K31" s="20">
        <f>SUM(K29:K30)</f>
        <v/>
      </c>
      <c r="L31" s="20">
        <f>SUM(L29:L30)</f>
        <v/>
      </c>
      <c r="M31" s="20">
        <f>SUM(M29:M30)</f>
        <v/>
      </c>
      <c r="N31" s="20">
        <f>SUM(N29:N30)</f>
        <v/>
      </c>
      <c r="O31" s="20">
        <f>SUM(O29:O30)</f>
        <v/>
      </c>
      <c r="P31" s="20">
        <f>SUM(P29:P30)</f>
        <v/>
      </c>
      <c r="Q31" s="20">
        <f>SUM(Q29:Q30)</f>
        <v/>
      </c>
      <c r="R31" s="20">
        <f>SUM(R29:R30)</f>
        <v/>
      </c>
    </row>
    <row r="32">
      <c r="B32" s="14" t="inlineStr">
        <is>
          <t>Debt service</t>
        </is>
      </c>
      <c r="C32" s="15" t="n"/>
      <c r="D32" s="15" t="n"/>
      <c r="E32" s="15" t="n"/>
      <c r="F32" s="15" t="n"/>
      <c r="G32" s="15" t="n"/>
      <c r="H32" s="15" t="n"/>
      <c r="I32" s="15" t="n"/>
      <c r="J32" s="15" t="n"/>
      <c r="K32" s="15" t="n"/>
      <c r="L32" s="15" t="n"/>
      <c r="M32" s="15" t="n"/>
      <c r="N32" s="15" t="n"/>
      <c r="O32" s="15" t="n"/>
      <c r="P32" s="15" t="n"/>
      <c r="Q32" s="15" t="n"/>
      <c r="R32" s="15" t="n"/>
    </row>
    <row r="33">
      <c r="B33" s="7" t="inlineStr">
        <is>
          <t>Term loan interest</t>
        </is>
      </c>
      <c r="C33" s="8" t="n"/>
      <c r="D33" s="16" t="n"/>
      <c r="E33" s="17" t="n"/>
      <c r="F33" s="17" t="n"/>
      <c r="G33" s="17" t="n"/>
      <c r="H33" s="17" t="n"/>
      <c r="I33" s="17" t="n"/>
      <c r="J33" s="17" t="n"/>
      <c r="K33" s="17" t="n"/>
      <c r="L33" s="17" t="n"/>
      <c r="M33" s="17" t="n"/>
      <c r="N33" s="17" t="n"/>
      <c r="O33" s="17" t="n"/>
      <c r="P33" s="17" t="n"/>
      <c r="Q33" s="17" t="n"/>
      <c r="R33" s="18">
        <f>SUM(E33:Q33)</f>
        <v/>
      </c>
    </row>
    <row r="34">
      <c r="B34" s="7" t="inlineStr">
        <is>
          <t>Term loan amortization</t>
        </is>
      </c>
      <c r="C34" s="8" t="n"/>
      <c r="D34" s="16" t="n"/>
      <c r="E34" s="17" t="n"/>
      <c r="F34" s="17" t="n"/>
      <c r="G34" s="17" t="n"/>
      <c r="H34" s="17" t="n"/>
      <c r="I34" s="17" t="n"/>
      <c r="J34" s="17" t="n"/>
      <c r="K34" s="17" t="n"/>
      <c r="L34" s="17" t="n"/>
      <c r="M34" s="17" t="n"/>
      <c r="N34" s="17" t="n"/>
      <c r="O34" s="17" t="n"/>
      <c r="P34" s="17" t="n"/>
      <c r="Q34" s="17" t="n"/>
      <c r="R34" s="18">
        <f>SUM(E34:Q34)</f>
        <v/>
      </c>
    </row>
    <row r="35">
      <c r="B35" s="7" t="inlineStr">
        <is>
          <t>Revolver interest and fees</t>
        </is>
      </c>
      <c r="C35" s="8" t="n"/>
      <c r="D35" s="16" t="n"/>
      <c r="E35" s="17" t="n"/>
      <c r="F35" s="17" t="n"/>
      <c r="G35" s="17" t="n"/>
      <c r="H35" s="17" t="n"/>
      <c r="I35" s="17" t="n"/>
      <c r="J35" s="17" t="n"/>
      <c r="K35" s="17" t="n"/>
      <c r="L35" s="17" t="n"/>
      <c r="M35" s="17" t="n"/>
      <c r="N35" s="17" t="n"/>
      <c r="O35" s="17" t="n"/>
      <c r="P35" s="17" t="n"/>
      <c r="Q35" s="17" t="n"/>
      <c r="R35" s="18">
        <f>SUM(E35:Q35)</f>
        <v/>
      </c>
    </row>
    <row r="36">
      <c r="B36" s="7" t="inlineStr">
        <is>
          <t>Notes coupon</t>
        </is>
      </c>
      <c r="C36" s="8" t="n"/>
      <c r="D36" s="16" t="n"/>
      <c r="E36" s="17" t="n"/>
      <c r="F36" s="17" t="n"/>
      <c r="G36" s="17" t="n"/>
      <c r="H36" s="17" t="n"/>
      <c r="I36" s="17" t="n"/>
      <c r="J36" s="17" t="n"/>
      <c r="K36" s="17" t="n"/>
      <c r="L36" s="17" t="n"/>
      <c r="M36" s="17" t="n"/>
      <c r="N36" s="17" t="n"/>
      <c r="O36" s="17" t="n"/>
      <c r="P36" s="17" t="n"/>
      <c r="Q36" s="17" t="n"/>
      <c r="R36" s="18">
        <f>SUM(E36:Q36)</f>
        <v/>
      </c>
    </row>
    <row r="37">
      <c r="B37" s="7" t="inlineStr">
        <is>
          <t>Additional debt service line</t>
        </is>
      </c>
      <c r="C37" s="8" t="n"/>
      <c r="D37" s="16" t="n"/>
      <c r="E37" s="17" t="n"/>
      <c r="F37" s="17" t="n"/>
      <c r="G37" s="17" t="n"/>
      <c r="H37" s="17" t="n"/>
      <c r="I37" s="17" t="n"/>
      <c r="J37" s="17" t="n"/>
      <c r="K37" s="17" t="n"/>
      <c r="L37" s="17" t="n"/>
      <c r="M37" s="17" t="n"/>
      <c r="N37" s="17" t="n"/>
      <c r="O37" s="17" t="n"/>
      <c r="P37" s="17" t="n"/>
      <c r="Q37" s="17" t="n"/>
      <c r="R37" s="18">
        <f>SUM(E37:Q37)</f>
        <v/>
      </c>
    </row>
    <row r="38">
      <c r="B38" s="19" t="inlineStr">
        <is>
          <t>Total debt service</t>
        </is>
      </c>
      <c r="C38" s="16" t="n"/>
      <c r="D38" s="16" t="n"/>
      <c r="E38" s="20">
        <f>SUM(E33:E37)</f>
        <v/>
      </c>
      <c r="F38" s="20">
        <f>SUM(F33:F37)</f>
        <v/>
      </c>
      <c r="G38" s="20">
        <f>SUM(G33:G37)</f>
        <v/>
      </c>
      <c r="H38" s="20">
        <f>SUM(H33:H37)</f>
        <v/>
      </c>
      <c r="I38" s="20">
        <f>SUM(I33:I37)</f>
        <v/>
      </c>
      <c r="J38" s="20">
        <f>SUM(J33:J37)</f>
        <v/>
      </c>
      <c r="K38" s="20">
        <f>SUM(K33:K37)</f>
        <v/>
      </c>
      <c r="L38" s="20">
        <f>SUM(L33:L37)</f>
        <v/>
      </c>
      <c r="M38" s="20">
        <f>SUM(M33:M37)</f>
        <v/>
      </c>
      <c r="N38" s="20">
        <f>SUM(N33:N37)</f>
        <v/>
      </c>
      <c r="O38" s="20">
        <f>SUM(O33:O37)</f>
        <v/>
      </c>
      <c r="P38" s="20">
        <f>SUM(P33:P37)</f>
        <v/>
      </c>
      <c r="Q38" s="20">
        <f>SUM(Q33:Q37)</f>
        <v/>
      </c>
      <c r="R38" s="20">
        <f>SUM(R33:R37)</f>
        <v/>
      </c>
    </row>
    <row r="39">
      <c r="B39" s="14" t="inlineStr">
        <is>
          <t>Financing: borrowing, not operations (+ in, - out)</t>
        </is>
      </c>
      <c r="C39" s="15" t="n"/>
      <c r="D39" s="15" t="n"/>
      <c r="E39" s="15" t="n"/>
      <c r="F39" s="15" t="n"/>
      <c r="G39" s="15" t="n"/>
      <c r="H39" s="15" t="n"/>
      <c r="I39" s="15" t="n"/>
      <c r="J39" s="15" t="n"/>
      <c r="K39" s="15" t="n"/>
      <c r="L39" s="15" t="n"/>
      <c r="M39" s="15" t="n"/>
      <c r="N39" s="15" t="n"/>
      <c r="O39" s="15" t="n"/>
      <c r="P39" s="15" t="n"/>
      <c r="Q39" s="15" t="n"/>
      <c r="R39" s="15" t="n"/>
    </row>
    <row r="40">
      <c r="B40" s="7" t="inlineStr">
        <is>
          <t>Revolver drawings (+) or repayments (-)</t>
        </is>
      </c>
      <c r="C40" s="8" t="n"/>
      <c r="D40" s="16" t="n"/>
      <c r="E40" s="17" t="n"/>
      <c r="F40" s="17" t="n"/>
      <c r="G40" s="17" t="n"/>
      <c r="H40" s="17" t="n"/>
      <c r="I40" s="17" t="n"/>
      <c r="J40" s="17" t="n"/>
      <c r="K40" s="17" t="n"/>
      <c r="L40" s="17" t="n"/>
      <c r="M40" s="17" t="n"/>
      <c r="N40" s="17" t="n"/>
      <c r="O40" s="17" t="n"/>
      <c r="P40" s="17" t="n"/>
      <c r="Q40" s="17" t="n"/>
      <c r="R40" s="18">
        <f>SUM(E40:Q40)</f>
        <v/>
      </c>
    </row>
    <row r="41">
      <c r="B41" s="7" t="inlineStr">
        <is>
          <t>Receivables program and other borrowing (+ advance, - reversal)</t>
        </is>
      </c>
      <c r="C41" s="8" t="n"/>
      <c r="D41" s="16" t="n"/>
      <c r="E41" s="17" t="n"/>
      <c r="F41" s="17" t="n"/>
      <c r="G41" s="17" t="n"/>
      <c r="H41" s="17" t="n"/>
      <c r="I41" s="17" t="n"/>
      <c r="J41" s="17" t="n"/>
      <c r="K41" s="17" t="n"/>
      <c r="L41" s="17" t="n"/>
      <c r="M41" s="17" t="n"/>
      <c r="N41" s="17" t="n"/>
      <c r="O41" s="17" t="n"/>
      <c r="P41" s="17" t="n"/>
      <c r="Q41" s="17" t="n"/>
      <c r="R41" s="18">
        <f>SUM(E41:Q41)</f>
        <v/>
      </c>
    </row>
    <row r="42">
      <c r="B42" s="19" t="inlineStr">
        <is>
          <t>Total financing</t>
        </is>
      </c>
      <c r="C42" s="16" t="n"/>
      <c r="D42" s="16" t="n"/>
      <c r="E42" s="20">
        <f>SUM(E40:E41)</f>
        <v/>
      </c>
      <c r="F42" s="20">
        <f>SUM(F40:F41)</f>
        <v/>
      </c>
      <c r="G42" s="20">
        <f>SUM(G40:G41)</f>
        <v/>
      </c>
      <c r="H42" s="20">
        <f>SUM(H40:H41)</f>
        <v/>
      </c>
      <c r="I42" s="20">
        <f>SUM(I40:I41)</f>
        <v/>
      </c>
      <c r="J42" s="20">
        <f>SUM(J40:J41)</f>
        <v/>
      </c>
      <c r="K42" s="20">
        <f>SUM(K40:K41)</f>
        <v/>
      </c>
      <c r="L42" s="20">
        <f>SUM(L40:L41)</f>
        <v/>
      </c>
      <c r="M42" s="20">
        <f>SUM(M40:M41)</f>
        <v/>
      </c>
      <c r="N42" s="20">
        <f>SUM(N40:N41)</f>
        <v/>
      </c>
      <c r="O42" s="20">
        <f>SUM(O40:O41)</f>
        <v/>
      </c>
      <c r="P42" s="20">
        <f>SUM(P40:P41)</f>
        <v/>
      </c>
      <c r="Q42" s="20">
        <f>SUM(Q40:Q41)</f>
        <v/>
      </c>
      <c r="R42" s="20">
        <f>SUM(R40:R41)</f>
        <v/>
      </c>
    </row>
    <row r="43">
      <c r="B43" s="19" t="inlineStr">
        <is>
          <t>NET FLOW</t>
        </is>
      </c>
      <c r="C43" s="16" t="n"/>
      <c r="D43" s="16" t="n"/>
      <c r="E43" s="20">
        <f>E15-E26-E31-E38+E42</f>
        <v/>
      </c>
      <c r="F43" s="20">
        <f>F15-F26-F31-F38+F42</f>
        <v/>
      </c>
      <c r="G43" s="20">
        <f>G15-G26-G31-G38+G42</f>
        <v/>
      </c>
      <c r="H43" s="20">
        <f>H15-H26-H31-H38+H42</f>
        <v/>
      </c>
      <c r="I43" s="20">
        <f>I15-I26-I31-I38+I42</f>
        <v/>
      </c>
      <c r="J43" s="20">
        <f>J15-J26-J31-J38+J42</f>
        <v/>
      </c>
      <c r="K43" s="20">
        <f>K15-K26-K31-K38+K42</f>
        <v/>
      </c>
      <c r="L43" s="20">
        <f>L15-L26-L31-L38+L42</f>
        <v/>
      </c>
      <c r="M43" s="20">
        <f>M15-M26-M31-M38+M42</f>
        <v/>
      </c>
      <c r="N43" s="20">
        <f>N15-N26-N31-N38+N42</f>
        <v/>
      </c>
      <c r="O43" s="20">
        <f>O15-O26-O31-O38+O42</f>
        <v/>
      </c>
      <c r="P43" s="20">
        <f>P15-P26-P31-P38+P42</f>
        <v/>
      </c>
      <c r="Q43" s="20">
        <f>Q15-Q26-Q31-Q38+Q42</f>
        <v/>
      </c>
      <c r="R43" s="20">
        <f>SUM(E43:Q43)</f>
        <v/>
      </c>
    </row>
    <row r="44">
      <c r="B44" s="7" t="inlineStr">
        <is>
          <t>Opening cash</t>
        </is>
      </c>
      <c r="C44" s="16" t="n"/>
      <c r="D44" s="16" t="n"/>
      <c r="E44" s="18">
        <f>D45</f>
        <v/>
      </c>
      <c r="F44" s="18">
        <f>E45</f>
        <v/>
      </c>
      <c r="G44" s="18">
        <f>F45</f>
        <v/>
      </c>
      <c r="H44" s="18">
        <f>G45</f>
        <v/>
      </c>
      <c r="I44" s="18">
        <f>H45</f>
        <v/>
      </c>
      <c r="J44" s="18">
        <f>I45</f>
        <v/>
      </c>
      <c r="K44" s="18">
        <f>J45</f>
        <v/>
      </c>
      <c r="L44" s="18">
        <f>K45</f>
        <v/>
      </c>
      <c r="M44" s="18">
        <f>L45</f>
        <v/>
      </c>
      <c r="N44" s="18">
        <f>M45</f>
        <v/>
      </c>
      <c r="O44" s="18">
        <f>N45</f>
        <v/>
      </c>
      <c r="P44" s="18">
        <f>O45</f>
        <v/>
      </c>
      <c r="Q44" s="18">
        <f>P45</f>
        <v/>
      </c>
      <c r="R44" s="16" t="n"/>
    </row>
    <row r="45">
      <c r="B45" s="19" t="inlineStr">
        <is>
          <t>ENDING CASH</t>
        </is>
      </c>
      <c r="C45" s="16" t="n"/>
      <c r="D45" s="20">
        <f>D6</f>
        <v/>
      </c>
      <c r="E45" s="20">
        <f>E44+E43</f>
        <v/>
      </c>
      <c r="F45" s="20">
        <f>F44+F43</f>
        <v/>
      </c>
      <c r="G45" s="20">
        <f>G44+G43</f>
        <v/>
      </c>
      <c r="H45" s="20">
        <f>H44+H43</f>
        <v/>
      </c>
      <c r="I45" s="20">
        <f>I44+I43</f>
        <v/>
      </c>
      <c r="J45" s="20">
        <f>J44+J43</f>
        <v/>
      </c>
      <c r="K45" s="20">
        <f>K44+K43</f>
        <v/>
      </c>
      <c r="L45" s="20">
        <f>L44+L43</f>
        <v/>
      </c>
      <c r="M45" s="20">
        <f>M44+M43</f>
        <v/>
      </c>
      <c r="N45" s="20">
        <f>N44+N43</f>
        <v/>
      </c>
      <c r="O45" s="20">
        <f>O44+O43</f>
        <v/>
      </c>
      <c r="P45" s="20">
        <f>P44+P43</f>
        <v/>
      </c>
      <c r="Q45" s="20">
        <f>Q44+Q43</f>
        <v/>
      </c>
      <c r="R45" s="16" t="n"/>
    </row>
    <row r="46">
      <c r="B46" s="7" t="inlineStr">
        <is>
          <t>Minimum operating cash</t>
        </is>
      </c>
      <c r="C46" s="16" t="n"/>
      <c r="D46" s="16" t="n"/>
      <c r="E46" s="18">
        <f>$D$7</f>
        <v/>
      </c>
      <c r="F46" s="18">
        <f>$D$7</f>
        <v/>
      </c>
      <c r="G46" s="18">
        <f>$D$7</f>
        <v/>
      </c>
      <c r="H46" s="18">
        <f>$D$7</f>
        <v/>
      </c>
      <c r="I46" s="18">
        <f>$D$7</f>
        <v/>
      </c>
      <c r="J46" s="18">
        <f>$D$7</f>
        <v/>
      </c>
      <c r="K46" s="18">
        <f>$D$7</f>
        <v/>
      </c>
      <c r="L46" s="18">
        <f>$D$7</f>
        <v/>
      </c>
      <c r="M46" s="18">
        <f>$D$7</f>
        <v/>
      </c>
      <c r="N46" s="18">
        <f>$D$7</f>
        <v/>
      </c>
      <c r="O46" s="18">
        <f>$D$7</f>
        <v/>
      </c>
      <c r="P46" s="18">
        <f>$D$7</f>
        <v/>
      </c>
      <c r="Q46" s="18">
        <f>$D$7</f>
        <v/>
      </c>
      <c r="R46" s="16" t="n"/>
    </row>
    <row r="47">
      <c r="B47" s="7" t="inlineStr">
        <is>
          <t>Headroom over the minimum</t>
        </is>
      </c>
      <c r="C47" s="16" t="n"/>
      <c r="D47" s="18">
        <f>D45-$D$7</f>
        <v/>
      </c>
      <c r="E47" s="18">
        <f>E45-E46</f>
        <v/>
      </c>
      <c r="F47" s="18">
        <f>F45-F46</f>
        <v/>
      </c>
      <c r="G47" s="18">
        <f>G45-G46</f>
        <v/>
      </c>
      <c r="H47" s="18">
        <f>H45-H46</f>
        <v/>
      </c>
      <c r="I47" s="18">
        <f>I45-I46</f>
        <v/>
      </c>
      <c r="J47" s="18">
        <f>J45-J46</f>
        <v/>
      </c>
      <c r="K47" s="18">
        <f>K45-K46</f>
        <v/>
      </c>
      <c r="L47" s="18">
        <f>L45-L46</f>
        <v/>
      </c>
      <c r="M47" s="18">
        <f>M45-M46</f>
        <v/>
      </c>
      <c r="N47" s="18">
        <f>N45-N46</f>
        <v/>
      </c>
      <c r="O47" s="18">
        <f>O45-O46</f>
        <v/>
      </c>
      <c r="P47" s="18">
        <f>P45-P46</f>
        <v/>
      </c>
      <c r="Q47" s="18">
        <f>Q45-Q46</f>
        <v/>
      </c>
      <c r="R47" s="16" t="n"/>
    </row>
    <row r="48">
      <c r="B48" s="7" t="inlineStr">
        <is>
          <t>Week below the minimum</t>
        </is>
      </c>
      <c r="C48" s="16" t="n"/>
      <c r="D48" s="16" t="n"/>
      <c r="E48" s="21">
        <f>IF(COUNT($E$12:$Q$41)=0,"",IF(E45&lt;$D$7,E$10,""))</f>
        <v/>
      </c>
      <c r="F48" s="21">
        <f>IF(COUNT($E$12:$Q$41)=0,"",IF(F45&lt;$D$7,F$10,""))</f>
        <v/>
      </c>
      <c r="G48" s="21">
        <f>IF(COUNT($E$12:$Q$41)=0,"",IF(G45&lt;$D$7,G$10,""))</f>
        <v/>
      </c>
      <c r="H48" s="21">
        <f>IF(COUNT($E$12:$Q$41)=0,"",IF(H45&lt;$D$7,H$10,""))</f>
        <v/>
      </c>
      <c r="I48" s="21">
        <f>IF(COUNT($E$12:$Q$41)=0,"",IF(I45&lt;$D$7,I$10,""))</f>
        <v/>
      </c>
      <c r="J48" s="21">
        <f>IF(COUNT($E$12:$Q$41)=0,"",IF(J45&lt;$D$7,J$10,""))</f>
        <v/>
      </c>
      <c r="K48" s="21">
        <f>IF(COUNT($E$12:$Q$41)=0,"",IF(K45&lt;$D$7,K$10,""))</f>
        <v/>
      </c>
      <c r="L48" s="21">
        <f>IF(COUNT($E$12:$Q$41)=0,"",IF(L45&lt;$D$7,L$10,""))</f>
        <v/>
      </c>
      <c r="M48" s="21">
        <f>IF(COUNT($E$12:$Q$41)=0,"",IF(M45&lt;$D$7,M$10,""))</f>
        <v/>
      </c>
      <c r="N48" s="21">
        <f>IF(COUNT($E$12:$Q$41)=0,"",IF(N45&lt;$D$7,N$10,""))</f>
        <v/>
      </c>
      <c r="O48" s="21">
        <f>IF(COUNT($E$12:$Q$41)=0,"",IF(O45&lt;$D$7,O$10,""))</f>
        <v/>
      </c>
      <c r="P48" s="21">
        <f>IF(COUNT($E$12:$Q$41)=0,"",IF(P45&lt;$D$7,P$10,""))</f>
        <v/>
      </c>
      <c r="Q48" s="21">
        <f>IF(COUNT($E$12:$Q$41)=0,"",IF(Q45&lt;$D$7,Q$10,""))</f>
        <v/>
      </c>
      <c r="R48" s="16" t="n"/>
    </row>
    <row r="50">
      <c r="B50" s="14" t="inlineStr">
        <is>
          <t>What the forecast says</t>
        </is>
      </c>
      <c r="C50" s="15" t="n"/>
      <c r="D50" s="15" t="n"/>
    </row>
    <row r="51">
      <c r="B51" s="7" t="inlineStr">
        <is>
          <t>First week below the minimum</t>
        </is>
      </c>
      <c r="C51" s="16" t="n"/>
      <c r="D51" s="22">
        <f>IF(COUNT($E$12:$Q$41)=0,"",IF(COUNT(E48:Q48)=0,"none",MIN(E48:Q48)))</f>
        <v/>
      </c>
    </row>
    <row r="52">
      <c r="B52" s="7" t="inlineStr">
        <is>
          <t>Trough: lowest ending cash</t>
        </is>
      </c>
      <c r="C52" s="16" t="n"/>
      <c r="D52" s="23">
        <f>IF(COUNT($E$12:$Q$41)=0,"",MIN(E45:Q45))</f>
        <v/>
      </c>
    </row>
    <row r="53">
      <c r="B53" s="7" t="inlineStr">
        <is>
          <t>Week of the trough</t>
        </is>
      </c>
      <c r="C53" s="16" t="n"/>
      <c r="D53" s="24">
        <f>IF(COUNT($E$12:$Q$41)=0,"",MATCH(D52,E45:Q45,0))</f>
        <v/>
      </c>
    </row>
    <row r="54">
      <c r="B54" s="7" t="inlineStr">
        <is>
          <t>Operating cash flow over the 13 weeks</t>
        </is>
      </c>
      <c r="C54" s="16" t="n"/>
      <c r="D54" s="18">
        <f>R27</f>
        <v/>
      </c>
    </row>
    <row r="55">
      <c r="B55" s="7" t="inlineStr">
        <is>
          <t>Debt service over the 13 weeks</t>
        </is>
      </c>
      <c r="C55" s="16" t="n"/>
      <c r="D55" s="18">
        <f>R38</f>
        <v/>
      </c>
    </row>
    <row r="56">
      <c r="B56" s="7" t="inlineStr">
        <is>
          <t>Net flow over the 13 weeks</t>
        </is>
      </c>
      <c r="C56" s="16" t="n"/>
      <c r="D56" s="18">
        <f>R43</f>
        <v/>
      </c>
    </row>
    <row r="57">
      <c r="B57" s="7" t="inlineStr">
        <is>
          <t>Average weekly burn (net outflow a week)</t>
        </is>
      </c>
      <c r="C57" s="16" t="n"/>
      <c r="D57" s="18">
        <f>-R43/13</f>
        <v/>
      </c>
    </row>
    <row r="59">
      <c r="B59" s="14" t="inlineStr">
        <is>
          <t>Usable liquidity and the springing covenant</t>
        </is>
      </c>
      <c r="C59" s="15" t="n"/>
      <c r="D59" s="15" t="n"/>
      <c r="E59" s="15" t="n"/>
      <c r="F59" s="15" t="n"/>
      <c r="G59" s="15" t="n"/>
      <c r="H59" s="15" t="n"/>
      <c r="I59" s="15" t="n"/>
      <c r="J59" s="15" t="n"/>
      <c r="K59" s="15" t="n"/>
      <c r="L59" s="15" t="n"/>
      <c r="M59" s="15" t="n"/>
      <c r="N59" s="15" t="n"/>
      <c r="O59" s="15" t="n"/>
      <c r="P59" s="15" t="n"/>
      <c r="Q59" s="15" t="n"/>
      <c r="R59" s="15" t="n"/>
    </row>
    <row r="60">
      <c r="B60" s="7" t="inlineStr">
        <is>
          <t>Revolver commitments</t>
        </is>
      </c>
      <c r="C60" s="16" t="n"/>
      <c r="D60" s="9" t="n"/>
    </row>
    <row r="61">
      <c r="B61" s="7" t="inlineStr">
        <is>
          <t>Revolver drawn at week 0</t>
        </is>
      </c>
      <c r="C61" s="16" t="n"/>
      <c r="D61" s="9" t="n"/>
    </row>
    <row r="62">
      <c r="B62" s="7" t="inlineStr">
        <is>
          <t>Springing test applies when drawings exceed this share of commitments</t>
        </is>
      </c>
      <c r="C62" s="16" t="n"/>
      <c r="D62" s="25" t="n"/>
    </row>
    <row r="63">
      <c r="B63" s="7" t="inlineStr">
        <is>
          <t>Covenant: maximum first-lien net leverage (times)</t>
        </is>
      </c>
      <c r="C63" s="16" t="n"/>
      <c r="D63" s="26" t="n"/>
    </row>
    <row r="64">
      <c r="B64" s="7" t="inlineStr">
        <is>
          <t>First-lien term debt at week 0, excluding the revolver</t>
        </is>
      </c>
      <c r="C64" s="16" t="n"/>
      <c r="D64" s="9" t="n"/>
    </row>
    <row r="65">
      <c r="B65" s="7" t="inlineStr">
        <is>
          <t>Covenant EBITDA, last twelve months</t>
        </is>
      </c>
      <c r="C65" s="16" t="n"/>
      <c r="D65" s="9" t="n"/>
    </row>
    <row r="66" ht="30" customHeight="1">
      <c r="B66" s="11" t="inlineStr">
        <is>
          <t>By week</t>
        </is>
      </c>
      <c r="C66" s="12" t="inlineStr"/>
      <c r="D66" s="12" t="inlineStr">
        <is>
          <t>Week 0</t>
        </is>
      </c>
      <c r="E66" s="13" t="n">
        <v>1</v>
      </c>
      <c r="F66" s="13" t="n">
        <v>2</v>
      </c>
      <c r="G66" s="13" t="n">
        <v>3</v>
      </c>
      <c r="H66" s="13" t="n">
        <v>4</v>
      </c>
      <c r="I66" s="13" t="n">
        <v>5</v>
      </c>
      <c r="J66" s="13" t="n">
        <v>6</v>
      </c>
      <c r="K66" s="13" t="n">
        <v>7</v>
      </c>
      <c r="L66" s="13" t="n">
        <v>8</v>
      </c>
      <c r="M66" s="13" t="n">
        <v>9</v>
      </c>
      <c r="N66" s="13" t="n">
        <v>10</v>
      </c>
      <c r="O66" s="13" t="n">
        <v>11</v>
      </c>
      <c r="P66" s="13" t="n">
        <v>12</v>
      </c>
      <c r="Q66" s="13" t="n">
        <v>13</v>
      </c>
      <c r="R66" s="12" t="inlineStr"/>
    </row>
    <row r="67" ht="15" customHeight="1">
      <c r="B67" s="7" t="inlineStr">
        <is>
          <t>Cash</t>
        </is>
      </c>
      <c r="C67" s="16" t="n"/>
      <c r="D67" s="18">
        <f>D6</f>
        <v/>
      </c>
      <c r="E67" s="18">
        <f>E45</f>
        <v/>
      </c>
      <c r="F67" s="18">
        <f>F45</f>
        <v/>
      </c>
      <c r="G67" s="18">
        <f>G45</f>
        <v/>
      </c>
      <c r="H67" s="18">
        <f>H45</f>
        <v/>
      </c>
      <c r="I67" s="18">
        <f>I45</f>
        <v/>
      </c>
      <c r="J67" s="18">
        <f>J45</f>
        <v/>
      </c>
      <c r="K67" s="18">
        <f>K45</f>
        <v/>
      </c>
      <c r="L67" s="18">
        <f>L45</f>
        <v/>
      </c>
      <c r="M67" s="18">
        <f>M45</f>
        <v/>
      </c>
      <c r="N67" s="18">
        <f>N45</f>
        <v/>
      </c>
      <c r="O67" s="18">
        <f>O45</f>
        <v/>
      </c>
      <c r="P67" s="18">
        <f>P45</f>
        <v/>
      </c>
      <c r="Q67" s="18">
        <f>Q45</f>
        <v/>
      </c>
      <c r="R67" s="16" t="n"/>
    </row>
    <row r="68" ht="15" customHeight="1">
      <c r="B68" s="7" t="inlineStr">
        <is>
          <t>Revolver drawn</t>
        </is>
      </c>
      <c r="C68" s="16" t="n"/>
      <c r="D68" s="18">
        <f>$D$61</f>
        <v/>
      </c>
      <c r="E68" s="18">
        <f>D68+E40</f>
        <v/>
      </c>
      <c r="F68" s="18">
        <f>E68+F40</f>
        <v/>
      </c>
      <c r="G68" s="18">
        <f>F68+G40</f>
        <v/>
      </c>
      <c r="H68" s="18">
        <f>G68+H40</f>
        <v/>
      </c>
      <c r="I68" s="18">
        <f>H68+I40</f>
        <v/>
      </c>
      <c r="J68" s="18">
        <f>I68+J40</f>
        <v/>
      </c>
      <c r="K68" s="18">
        <f>J68+K40</f>
        <v/>
      </c>
      <c r="L68" s="18">
        <f>K68+L40</f>
        <v/>
      </c>
      <c r="M68" s="18">
        <f>L68+M40</f>
        <v/>
      </c>
      <c r="N68" s="18">
        <f>M68+N40</f>
        <v/>
      </c>
      <c r="O68" s="18">
        <f>N68+O40</f>
        <v/>
      </c>
      <c r="P68" s="18">
        <f>O68+P40</f>
        <v/>
      </c>
      <c r="Q68" s="18">
        <f>P68+Q40</f>
        <v/>
      </c>
      <c r="R68" s="16" t="n"/>
    </row>
    <row r="69" ht="15" customHeight="1">
      <c r="B69" s="7" t="inlineStr">
        <is>
          <t>Drawings above which the test applies</t>
        </is>
      </c>
      <c r="C69" s="16" t="n"/>
      <c r="D69" s="18">
        <f>$D$62*$D$60</f>
        <v/>
      </c>
      <c r="E69" s="18">
        <f>$D$62*$D$60</f>
        <v/>
      </c>
      <c r="F69" s="18">
        <f>$D$62*$D$60</f>
        <v/>
      </c>
      <c r="G69" s="18">
        <f>$D$62*$D$60</f>
        <v/>
      </c>
      <c r="H69" s="18">
        <f>$D$62*$D$60</f>
        <v/>
      </c>
      <c r="I69" s="18">
        <f>$D$62*$D$60</f>
        <v/>
      </c>
      <c r="J69" s="18">
        <f>$D$62*$D$60</f>
        <v/>
      </c>
      <c r="K69" s="18">
        <f>$D$62*$D$60</f>
        <v/>
      </c>
      <c r="L69" s="18">
        <f>$D$62*$D$60</f>
        <v/>
      </c>
      <c r="M69" s="18">
        <f>$D$62*$D$60</f>
        <v/>
      </c>
      <c r="N69" s="18">
        <f>$D$62*$D$60</f>
        <v/>
      </c>
      <c r="O69" s="18">
        <f>$D$62*$D$60</f>
        <v/>
      </c>
      <c r="P69" s="18">
        <f>$D$62*$D$60</f>
        <v/>
      </c>
      <c r="Q69" s="18">
        <f>$D$62*$D$60</f>
        <v/>
      </c>
      <c r="R69" s="16" t="n"/>
    </row>
    <row r="70" ht="15" customHeight="1">
      <c r="B70" s="7" t="inlineStr">
        <is>
          <t>Can be drawn before the test applies</t>
        </is>
      </c>
      <c r="C70" s="16" t="n"/>
      <c r="D70" s="18">
        <f>MAX(0,D69-D68)</f>
        <v/>
      </c>
      <c r="E70" s="18">
        <f>MAX(0,E69-E68)</f>
        <v/>
      </c>
      <c r="F70" s="18">
        <f>MAX(0,F69-F68)</f>
        <v/>
      </c>
      <c r="G70" s="18">
        <f>MAX(0,G69-G68)</f>
        <v/>
      </c>
      <c r="H70" s="18">
        <f>MAX(0,H69-H68)</f>
        <v/>
      </c>
      <c r="I70" s="18">
        <f>MAX(0,I69-I68)</f>
        <v/>
      </c>
      <c r="J70" s="18">
        <f>MAX(0,J69-J68)</f>
        <v/>
      </c>
      <c r="K70" s="18">
        <f>MAX(0,K69-K68)</f>
        <v/>
      </c>
      <c r="L70" s="18">
        <f>MAX(0,L69-L68)</f>
        <v/>
      </c>
      <c r="M70" s="18">
        <f>MAX(0,M69-M68)</f>
        <v/>
      </c>
      <c r="N70" s="18">
        <f>MAX(0,N69-N68)</f>
        <v/>
      </c>
      <c r="O70" s="18">
        <f>MAX(0,O69-O68)</f>
        <v/>
      </c>
      <c r="P70" s="18">
        <f>MAX(0,P69-P68)</f>
        <v/>
      </c>
      <c r="Q70" s="18">
        <f>MAX(0,Q69-Q68)</f>
        <v/>
      </c>
      <c r="R70" s="16" t="n"/>
    </row>
    <row r="71" ht="15" customHeight="1">
      <c r="B71" s="7" t="inlineStr">
        <is>
          <t>Undrawn commitments</t>
        </is>
      </c>
      <c r="C71" s="16" t="n"/>
      <c r="D71" s="18">
        <f>MAX(0,$D$60-D68)</f>
        <v/>
      </c>
      <c r="E71" s="18">
        <f>MAX(0,$D$60-E68)</f>
        <v/>
      </c>
      <c r="F71" s="18">
        <f>MAX(0,$D$60-F68)</f>
        <v/>
      </c>
      <c r="G71" s="18">
        <f>MAX(0,$D$60-G68)</f>
        <v/>
      </c>
      <c r="H71" s="18">
        <f>MAX(0,$D$60-H68)</f>
        <v/>
      </c>
      <c r="I71" s="18">
        <f>MAX(0,$D$60-I68)</f>
        <v/>
      </c>
      <c r="J71" s="18">
        <f>MAX(0,$D$60-J68)</f>
        <v/>
      </c>
      <c r="K71" s="18">
        <f>MAX(0,$D$60-K68)</f>
        <v/>
      </c>
      <c r="L71" s="18">
        <f>MAX(0,$D$60-L68)</f>
        <v/>
      </c>
      <c r="M71" s="18">
        <f>MAX(0,$D$60-M68)</f>
        <v/>
      </c>
      <c r="N71" s="18">
        <f>MAX(0,$D$60-N68)</f>
        <v/>
      </c>
      <c r="O71" s="18">
        <f>MAX(0,$D$60-O68)</f>
        <v/>
      </c>
      <c r="P71" s="18">
        <f>MAX(0,$D$60-P68)</f>
        <v/>
      </c>
      <c r="Q71" s="18">
        <f>MAX(0,$D$60-Q68)</f>
        <v/>
      </c>
      <c r="R71" s="16" t="n"/>
    </row>
    <row r="72" ht="15" customHeight="1">
      <c r="B72" s="7" t="inlineStr">
        <is>
          <t>Liquidity on paper: cash plus undrawn</t>
        </is>
      </c>
      <c r="C72" s="16" t="n"/>
      <c r="D72" s="18">
        <f>D67+D71</f>
        <v/>
      </c>
      <c r="E72" s="18">
        <f>E67+E71</f>
        <v/>
      </c>
      <c r="F72" s="18">
        <f>F67+F71</f>
        <v/>
      </c>
      <c r="G72" s="18">
        <f>G67+G71</f>
        <v/>
      </c>
      <c r="H72" s="18">
        <f>H67+H71</f>
        <v/>
      </c>
      <c r="I72" s="18">
        <f>I67+I71</f>
        <v/>
      </c>
      <c r="J72" s="18">
        <f>J67+J71</f>
        <v/>
      </c>
      <c r="K72" s="18">
        <f>K67+K71</f>
        <v/>
      </c>
      <c r="L72" s="18">
        <f>L67+L71</f>
        <v/>
      </c>
      <c r="M72" s="18">
        <f>M67+M71</f>
        <v/>
      </c>
      <c r="N72" s="18">
        <f>N67+N71</f>
        <v/>
      </c>
      <c r="O72" s="18">
        <f>O67+O71</f>
        <v/>
      </c>
      <c r="P72" s="18">
        <f>P67+P71</f>
        <v/>
      </c>
      <c r="Q72" s="18">
        <f>Q67+Q71</f>
        <v/>
      </c>
      <c r="R72" s="16" t="n"/>
    </row>
    <row r="73" ht="30" customHeight="1">
      <c r="B73" s="27" t="inlineStr">
        <is>
          <t>USABLE LIQUIDITY: cash plus drawing before the test, less the minimum</t>
        </is>
      </c>
      <c r="C73" s="16" t="n"/>
      <c r="D73" s="20">
        <f>D67+D70-$D$7</f>
        <v/>
      </c>
      <c r="E73" s="20">
        <f>E67+E70-$D$7</f>
        <v/>
      </c>
      <c r="F73" s="20">
        <f>F67+F70-$D$7</f>
        <v/>
      </c>
      <c r="G73" s="20">
        <f>G67+G70-$D$7</f>
        <v/>
      </c>
      <c r="H73" s="20">
        <f>H67+H70-$D$7</f>
        <v/>
      </c>
      <c r="I73" s="20">
        <f>I67+I70-$D$7</f>
        <v/>
      </c>
      <c r="J73" s="20">
        <f>J67+J70-$D$7</f>
        <v/>
      </c>
      <c r="K73" s="20">
        <f>K67+K70-$D$7</f>
        <v/>
      </c>
      <c r="L73" s="20">
        <f>L67+L70-$D$7</f>
        <v/>
      </c>
      <c r="M73" s="20">
        <f>M67+M70-$D$7</f>
        <v/>
      </c>
      <c r="N73" s="20">
        <f>N67+N70-$D$7</f>
        <v/>
      </c>
      <c r="O73" s="20">
        <f>O67+O70-$D$7</f>
        <v/>
      </c>
      <c r="P73" s="20">
        <f>P67+P70-$D$7</f>
        <v/>
      </c>
      <c r="Q73" s="20">
        <f>Q67+Q70-$D$7</f>
        <v/>
      </c>
      <c r="R73" s="16" t="n"/>
    </row>
    <row r="74" ht="15" customHeight="1">
      <c r="B74" s="7" t="inlineStr">
        <is>
          <t>Share of liquidity on paper that cannot be used</t>
        </is>
      </c>
      <c r="C74" s="16" t="n"/>
      <c r="D74" s="28">
        <f>IFERROR(1-D73/D72,0)</f>
        <v/>
      </c>
      <c r="E74" s="28">
        <f>IFERROR(1-E73/E72,0)</f>
        <v/>
      </c>
      <c r="F74" s="28">
        <f>IFERROR(1-F73/F72,0)</f>
        <v/>
      </c>
      <c r="G74" s="28">
        <f>IFERROR(1-G73/G72,0)</f>
        <v/>
      </c>
      <c r="H74" s="28">
        <f>IFERROR(1-H73/H72,0)</f>
        <v/>
      </c>
      <c r="I74" s="28">
        <f>IFERROR(1-I73/I72,0)</f>
        <v/>
      </c>
      <c r="J74" s="28">
        <f>IFERROR(1-J73/J72,0)</f>
        <v/>
      </c>
      <c r="K74" s="28">
        <f>IFERROR(1-K73/K72,0)</f>
        <v/>
      </c>
      <c r="L74" s="28">
        <f>IFERROR(1-L73/L72,0)</f>
        <v/>
      </c>
      <c r="M74" s="28">
        <f>IFERROR(1-M73/M72,0)</f>
        <v/>
      </c>
      <c r="N74" s="28">
        <f>IFERROR(1-N73/N72,0)</f>
        <v/>
      </c>
      <c r="O74" s="28">
        <f>IFERROR(1-O73/O72,0)</f>
        <v/>
      </c>
      <c r="P74" s="28">
        <f>IFERROR(1-P73/P72,0)</f>
        <v/>
      </c>
      <c r="Q74" s="28">
        <f>IFERROR(1-Q73/Q72,0)</f>
        <v/>
      </c>
      <c r="R74" s="16" t="n"/>
    </row>
    <row r="75" ht="15" customHeight="1">
      <c r="B75" s="7" t="inlineStr">
        <is>
          <t>First-lien term debt</t>
        </is>
      </c>
      <c r="C75" s="16" t="n"/>
      <c r="D75" s="18">
        <f>$D$64</f>
        <v/>
      </c>
      <c r="E75" s="18">
        <f>D75-E34</f>
        <v/>
      </c>
      <c r="F75" s="18">
        <f>E75-F34</f>
        <v/>
      </c>
      <c r="G75" s="18">
        <f>F75-G34</f>
        <v/>
      </c>
      <c r="H75" s="18">
        <f>G75-H34</f>
        <v/>
      </c>
      <c r="I75" s="18">
        <f>H75-I34</f>
        <v/>
      </c>
      <c r="J75" s="18">
        <f>I75-J34</f>
        <v/>
      </c>
      <c r="K75" s="18">
        <f>J75-K34</f>
        <v/>
      </c>
      <c r="L75" s="18">
        <f>K75-L34</f>
        <v/>
      </c>
      <c r="M75" s="18">
        <f>L75-M34</f>
        <v/>
      </c>
      <c r="N75" s="18">
        <f>M75-N34</f>
        <v/>
      </c>
      <c r="O75" s="18">
        <f>N75-O34</f>
        <v/>
      </c>
      <c r="P75" s="18">
        <f>O75-P34</f>
        <v/>
      </c>
      <c r="Q75" s="18">
        <f>P75-Q34</f>
        <v/>
      </c>
      <c r="R75" s="16" t="n"/>
    </row>
    <row r="76" ht="15" customHeight="1">
      <c r="B76" s="7" t="inlineStr">
        <is>
          <t>First-lien net debt: term debt plus revolver less cash</t>
        </is>
      </c>
      <c r="C76" s="16" t="n"/>
      <c r="D76" s="18">
        <f>D75+D68-D67</f>
        <v/>
      </c>
      <c r="E76" s="18">
        <f>E75+E68-E67</f>
        <v/>
      </c>
      <c r="F76" s="18">
        <f>F75+F68-F67</f>
        <v/>
      </c>
      <c r="G76" s="18">
        <f>G75+G68-G67</f>
        <v/>
      </c>
      <c r="H76" s="18">
        <f>H75+H68-H67</f>
        <v/>
      </c>
      <c r="I76" s="18">
        <f>I75+I68-I67</f>
        <v/>
      </c>
      <c r="J76" s="18">
        <f>J75+J68-J67</f>
        <v/>
      </c>
      <c r="K76" s="18">
        <f>K75+K68-K67</f>
        <v/>
      </c>
      <c r="L76" s="18">
        <f>L75+L68-L67</f>
        <v/>
      </c>
      <c r="M76" s="18">
        <f>M75+M68-M67</f>
        <v/>
      </c>
      <c r="N76" s="18">
        <f>N75+N68-N67</f>
        <v/>
      </c>
      <c r="O76" s="18">
        <f>O75+O68-O67</f>
        <v/>
      </c>
      <c r="P76" s="18">
        <f>P75+P68-P67</f>
        <v/>
      </c>
      <c r="Q76" s="18">
        <f>Q75+Q68-Q67</f>
        <v/>
      </c>
      <c r="R76" s="16" t="n"/>
    </row>
    <row r="77" ht="15" customHeight="1">
      <c r="B77" s="19" t="inlineStr">
        <is>
          <t>First-lien net leverage</t>
        </is>
      </c>
      <c r="C77" s="16" t="n"/>
      <c r="D77" s="29">
        <f>IFERROR(D76/$D$65,0)</f>
        <v/>
      </c>
      <c r="E77" s="29">
        <f>IFERROR(E76/$D$65,0)</f>
        <v/>
      </c>
      <c r="F77" s="29">
        <f>IFERROR(F76/$D$65,0)</f>
        <v/>
      </c>
      <c r="G77" s="29">
        <f>IFERROR(G76/$D$65,0)</f>
        <v/>
      </c>
      <c r="H77" s="29">
        <f>IFERROR(H76/$D$65,0)</f>
        <v/>
      </c>
      <c r="I77" s="29">
        <f>IFERROR(I76/$D$65,0)</f>
        <v/>
      </c>
      <c r="J77" s="29">
        <f>IFERROR(J76/$D$65,0)</f>
        <v/>
      </c>
      <c r="K77" s="29">
        <f>IFERROR(K76/$D$65,0)</f>
        <v/>
      </c>
      <c r="L77" s="29">
        <f>IFERROR(L76/$D$65,0)</f>
        <v/>
      </c>
      <c r="M77" s="29">
        <f>IFERROR(M76/$D$65,0)</f>
        <v/>
      </c>
      <c r="N77" s="29">
        <f>IFERROR(N76/$D$65,0)</f>
        <v/>
      </c>
      <c r="O77" s="29">
        <f>IFERROR(O76/$D$65,0)</f>
        <v/>
      </c>
      <c r="P77" s="29">
        <f>IFERROR(P76/$D$65,0)</f>
        <v/>
      </c>
      <c r="Q77" s="29">
        <f>IFERROR(Q76/$D$65,0)</f>
        <v/>
      </c>
      <c r="R77" s="16" t="n"/>
    </row>
    <row r="78" ht="30" customHeight="1">
      <c r="B78" s="7" t="inlineStr">
        <is>
          <t>Is the springing test applied?</t>
        </is>
      </c>
      <c r="C78" s="16" t="n"/>
      <c r="D78" s="30">
        <f>IF(D68&gt;D69,"tested","not tested")</f>
        <v/>
      </c>
      <c r="E78" s="30">
        <f>IF(E68&gt;E69,"tested","not tested")</f>
        <v/>
      </c>
      <c r="F78" s="30">
        <f>IF(F68&gt;F69,"tested","not tested")</f>
        <v/>
      </c>
      <c r="G78" s="30">
        <f>IF(G68&gt;G69,"tested","not tested")</f>
        <v/>
      </c>
      <c r="H78" s="30">
        <f>IF(H68&gt;H69,"tested","not tested")</f>
        <v/>
      </c>
      <c r="I78" s="30">
        <f>IF(I68&gt;I69,"tested","not tested")</f>
        <v/>
      </c>
      <c r="J78" s="30">
        <f>IF(J68&gt;J69,"tested","not tested")</f>
        <v/>
      </c>
      <c r="K78" s="30">
        <f>IF(K68&gt;K69,"tested","not tested")</f>
        <v/>
      </c>
      <c r="L78" s="30">
        <f>IF(L68&gt;L69,"tested","not tested")</f>
        <v/>
      </c>
      <c r="M78" s="30">
        <f>IF(M68&gt;M69,"tested","not tested")</f>
        <v/>
      </c>
      <c r="N78" s="30">
        <f>IF(N68&gt;N69,"tested","not tested")</f>
        <v/>
      </c>
      <c r="O78" s="30">
        <f>IF(O68&gt;O69,"tested","not tested")</f>
        <v/>
      </c>
      <c r="P78" s="30">
        <f>IF(P68&gt;P69,"tested","not tested")</f>
        <v/>
      </c>
      <c r="Q78" s="30">
        <f>IF(Q68&gt;Q69,"tested","not tested")</f>
        <v/>
      </c>
      <c r="R78" s="16" t="n"/>
    </row>
    <row r="79" ht="30" customHeight="1">
      <c r="B79" s="7" t="inlineStr">
        <is>
          <t>If tested, does it pass?</t>
        </is>
      </c>
      <c r="C79" s="16" t="n"/>
      <c r="D79" s="30">
        <f>IF(OR($D$65="",$D$63=""),"",IF(D77&lt;=$D$63,"passes","does not pass"))</f>
        <v/>
      </c>
      <c r="E79" s="30">
        <f>IF(OR($D$65="",$D$63=""),"",IF(E77&lt;=$D$63,"passes","does not pass"))</f>
        <v/>
      </c>
      <c r="F79" s="30">
        <f>IF(OR($D$65="",$D$63=""),"",IF(F77&lt;=$D$63,"passes","does not pass"))</f>
        <v/>
      </c>
      <c r="G79" s="30">
        <f>IF(OR($D$65="",$D$63=""),"",IF(G77&lt;=$D$63,"passes","does not pass"))</f>
        <v/>
      </c>
      <c r="H79" s="30">
        <f>IF(OR($D$65="",$D$63=""),"",IF(H77&lt;=$D$63,"passes","does not pass"))</f>
        <v/>
      </c>
      <c r="I79" s="30">
        <f>IF(OR($D$65="",$D$63=""),"",IF(I77&lt;=$D$63,"passes","does not pass"))</f>
        <v/>
      </c>
      <c r="J79" s="30">
        <f>IF(OR($D$65="",$D$63=""),"",IF(J77&lt;=$D$63,"passes","does not pass"))</f>
        <v/>
      </c>
      <c r="K79" s="30">
        <f>IF(OR($D$65="",$D$63=""),"",IF(K77&lt;=$D$63,"passes","does not pass"))</f>
        <v/>
      </c>
      <c r="L79" s="30">
        <f>IF(OR($D$65="",$D$63=""),"",IF(L77&lt;=$D$63,"passes","does not pass"))</f>
        <v/>
      </c>
      <c r="M79" s="30">
        <f>IF(OR($D$65="",$D$63=""),"",IF(M77&lt;=$D$63,"passes","does not pass"))</f>
        <v/>
      </c>
      <c r="N79" s="30">
        <f>IF(OR($D$65="",$D$63=""),"",IF(N77&lt;=$D$63,"passes","does not pass"))</f>
        <v/>
      </c>
      <c r="O79" s="30">
        <f>IF(OR($D$65="",$D$63=""),"",IF(O77&lt;=$D$63,"passes","does not pass"))</f>
        <v/>
      </c>
      <c r="P79" s="30">
        <f>IF(OR($D$65="",$D$63=""),"",IF(P77&lt;=$D$63,"passes","does not pass"))</f>
        <v/>
      </c>
      <c r="Q79" s="30">
        <f>IF(OR($D$65="",$D$63=""),"",IF(Q77&lt;=$D$63,"passes","does not pass"))</f>
        <v/>
      </c>
      <c r="R79" s="16" t="n"/>
    </row>
    <row r="80" ht="15" customHeight="1">
      <c r="B80" s="7" t="inlineStr">
        <is>
          <t>EBITDA needed to pass</t>
        </is>
      </c>
      <c r="C80" s="16" t="n"/>
      <c r="D80" s="18">
        <f>IFERROR(D76/$D$63,0)</f>
        <v/>
      </c>
      <c r="E80" s="18">
        <f>IFERROR(E76/$D$63,0)</f>
        <v/>
      </c>
      <c r="F80" s="18">
        <f>IFERROR(F76/$D$63,0)</f>
        <v/>
      </c>
      <c r="G80" s="18">
        <f>IFERROR(G76/$D$63,0)</f>
        <v/>
      </c>
      <c r="H80" s="18">
        <f>IFERROR(H76/$D$63,0)</f>
        <v/>
      </c>
      <c r="I80" s="18">
        <f>IFERROR(I76/$D$63,0)</f>
        <v/>
      </c>
      <c r="J80" s="18">
        <f>IFERROR(J76/$D$63,0)</f>
        <v/>
      </c>
      <c r="K80" s="18">
        <f>IFERROR(K76/$D$63,0)</f>
        <v/>
      </c>
      <c r="L80" s="18">
        <f>IFERROR(L76/$D$63,0)</f>
        <v/>
      </c>
      <c r="M80" s="18">
        <f>IFERROR(M76/$D$63,0)</f>
        <v/>
      </c>
      <c r="N80" s="18">
        <f>IFERROR(N76/$D$63,0)</f>
        <v/>
      </c>
      <c r="O80" s="18">
        <f>IFERROR(O76/$D$63,0)</f>
        <v/>
      </c>
      <c r="P80" s="18">
        <f>IFERROR(P76/$D$63,0)</f>
        <v/>
      </c>
      <c r="Q80" s="18">
        <f>IFERROR(Q76/$D$63,0)</f>
        <v/>
      </c>
      <c r="R80" s="16" t="n"/>
    </row>
  </sheetData>
  <dataValidations count="1">
    <dataValidation sqref="E12:Q41" showDropDown="0" showInputMessage="0" showErrorMessage="1" allowBlank="1" errorTitle="Numbers only" error="Enter an amount in millions, as a number." type="decimal" operator="between">
      <formula1>-100000</formula1>
      <formula2>100000</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H32"/>
  <sheetViews>
    <sheetView showGridLines="0" workbookViewId="0">
      <selection activeCell="A1" sqref="A1"/>
    </sheetView>
  </sheetViews>
  <sheetFormatPr baseColWidth="8" defaultRowHeight="15"/>
  <cols>
    <col width="2" customWidth="1" min="1" max="1"/>
    <col width="40" customWidth="1" min="2" max="2"/>
    <col width="15" customWidth="1" min="3" max="3"/>
    <col width="12" customWidth="1" min="4" max="4"/>
    <col width="12" customWidth="1" min="5" max="5"/>
    <col width="14" customWidth="1" min="6" max="6"/>
    <col width="14" customWidth="1" min="7" max="7"/>
    <col width="52" customWidth="1" min="8" max="8"/>
  </cols>
  <sheetData>
    <row r="1" ht="6" customHeight="1"/>
    <row r="2">
      <c r="B2" s="5" t="inlineStr">
        <is>
          <t>Weekly variance report: actual against forecast ($m)</t>
        </is>
      </c>
    </row>
    <row r="3">
      <c r="B3" s="6" t="inlineStr">
        <is>
          <t>Positive variance is favorable to cash. Classify each variance: Timing (it reverses) or Permanent (carry it into every future week).</t>
        </is>
      </c>
    </row>
    <row r="5">
      <c r="B5" s="7" t="inlineStr">
        <is>
          <t>Week reported (1 to 13)</t>
        </is>
      </c>
      <c r="D5" s="31" t="n"/>
    </row>
    <row r="6">
      <c r="B6" s="19" t="inlineStr">
        <is>
          <t>Net variance</t>
        </is>
      </c>
      <c r="D6" s="20">
        <f>SUM(F12:F32)</f>
        <v/>
      </c>
    </row>
    <row r="7">
      <c r="B7" s="7" t="inlineStr">
        <is>
          <t xml:space="preserve">  of which timing</t>
        </is>
      </c>
      <c r="D7" s="18">
        <f>SUMIF(G12:G32,"Timing",F12:F32)</f>
        <v/>
      </c>
    </row>
    <row r="8">
      <c r="B8" s="7" t="inlineStr">
        <is>
          <t xml:space="preserve">  of which permanent</t>
        </is>
      </c>
      <c r="D8" s="18">
        <f>SUMIF(G12:G32,"Permanent",F12:F32)</f>
        <v/>
      </c>
    </row>
    <row r="9">
      <c r="B9" s="7" t="inlineStr">
        <is>
          <t xml:space="preserve">  not yet classified</t>
        </is>
      </c>
      <c r="D9" s="18">
        <f>D6-D7-D8</f>
        <v/>
      </c>
    </row>
    <row r="11" ht="30" customHeight="1">
      <c r="B11" s="11" t="inlineStr">
        <is>
          <t>Line</t>
        </is>
      </c>
      <c r="C11" s="12" t="inlineStr">
        <is>
          <t>Owner</t>
        </is>
      </c>
      <c r="D11" s="12" t="inlineStr">
        <is>
          <t>Forecast</t>
        </is>
      </c>
      <c r="E11" s="12" t="inlineStr">
        <is>
          <t>Actual</t>
        </is>
      </c>
      <c r="F11" s="12" t="inlineStr">
        <is>
          <t>Variance (+ favorable)</t>
        </is>
      </c>
      <c r="G11" s="12" t="inlineStr">
        <is>
          <t>Timing or permanent</t>
        </is>
      </c>
      <c r="H11" s="12" t="inlineStr">
        <is>
          <t>Owner's explanation</t>
        </is>
      </c>
    </row>
    <row r="12">
      <c r="B12" s="7" t="inlineStr">
        <is>
          <t>Customer collections</t>
        </is>
      </c>
      <c r="C12" s="32">
        <f>IF('1. Forecast'!C12="","",'1. Forecast'!C12)</f>
        <v/>
      </c>
      <c r="D12" s="18">
        <f>IF($D$5="","",IFERROR(INDEX('1. Forecast'!$E$12:$Q$12,1,$D$5),""))</f>
        <v/>
      </c>
      <c r="E12" s="17" t="n"/>
      <c r="F12" s="18">
        <f>IF(OR(D12="",E12=""),"",E12-D12)</f>
        <v/>
      </c>
      <c r="G12" s="33" t="n"/>
      <c r="H12" s="34" t="n"/>
    </row>
    <row r="13">
      <c r="B13" s="7" t="inlineStr">
        <is>
          <t>Other receipts</t>
        </is>
      </c>
      <c r="C13" s="32">
        <f>IF('1. Forecast'!C13="","",'1. Forecast'!C13)</f>
        <v/>
      </c>
      <c r="D13" s="18">
        <f>IF($D$5="","",IFERROR(INDEX('1. Forecast'!$E$13:$Q$13,1,$D$5),""))</f>
        <v/>
      </c>
      <c r="E13" s="17" t="n"/>
      <c r="F13" s="18">
        <f>IF(OR(D13="",E13=""),"",E13-D13)</f>
        <v/>
      </c>
      <c r="G13" s="33" t="n"/>
      <c r="H13" s="34" t="n"/>
    </row>
    <row r="14">
      <c r="B14" s="7" t="inlineStr">
        <is>
          <t>Additional receipt line</t>
        </is>
      </c>
      <c r="C14" s="32">
        <f>IF('1. Forecast'!C14="","",'1. Forecast'!C14)</f>
        <v/>
      </c>
      <c r="D14" s="18">
        <f>IF($D$5="","",IFERROR(INDEX('1. Forecast'!$E$14:$Q$14,1,$D$5),""))</f>
        <v/>
      </c>
      <c r="E14" s="17" t="n"/>
      <c r="F14" s="18">
        <f>IF(OR(D14="",E14=""),"",E14-D14)</f>
        <v/>
      </c>
      <c r="G14" s="33" t="n"/>
      <c r="H14" s="34" t="n"/>
    </row>
    <row r="15">
      <c r="B15" s="7" t="inlineStr">
        <is>
          <t>Suppliers</t>
        </is>
      </c>
      <c r="C15" s="32">
        <f>IF('1. Forecast'!C17="","",'1. Forecast'!C17)</f>
        <v/>
      </c>
      <c r="D15" s="18">
        <f>IF($D$5="","",IFERROR(INDEX('1. Forecast'!$E$17:$Q$17,1,$D$5),""))</f>
        <v/>
      </c>
      <c r="E15" s="17" t="n"/>
      <c r="F15" s="18">
        <f>IF(OR(D15="",E15=""),"",D15-E15)</f>
        <v/>
      </c>
      <c r="G15" s="33" t="n"/>
      <c r="H15" s="34" t="n"/>
    </row>
    <row r="16">
      <c r="B16" s="7" t="inlineStr">
        <is>
          <t>Payroll</t>
        </is>
      </c>
      <c r="C16" s="32">
        <f>IF('1. Forecast'!C18="","",'1. Forecast'!C18)</f>
        <v/>
      </c>
      <c r="D16" s="18">
        <f>IF($D$5="","",IFERROR(INDEX('1. Forecast'!$E$18:$Q$18,1,$D$5),""))</f>
        <v/>
      </c>
      <c r="E16" s="17" t="n"/>
      <c r="F16" s="18">
        <f>IF(OR(D16="",E16=""),"",D16-E16)</f>
        <v/>
      </c>
      <c r="G16" s="33" t="n"/>
      <c r="H16" s="34" t="n"/>
    </row>
    <row r="17">
      <c r="B17" s="7" t="inlineStr">
        <is>
          <t>Freight and logistics</t>
        </is>
      </c>
      <c r="C17" s="32">
        <f>IF('1. Forecast'!C19="","",'1. Forecast'!C19)</f>
        <v/>
      </c>
      <c r="D17" s="18">
        <f>IF($D$5="","",IFERROR(INDEX('1. Forecast'!$E$19:$Q$19,1,$D$5),""))</f>
        <v/>
      </c>
      <c r="E17" s="17" t="n"/>
      <c r="F17" s="18">
        <f>IF(OR(D17="",E17=""),"",D17-E17)</f>
        <v/>
      </c>
      <c r="G17" s="33" t="n"/>
      <c r="H17" s="34" t="n"/>
    </row>
    <row r="18">
      <c r="B18" s="7" t="inlineStr">
        <is>
          <t>Other operating costs</t>
        </is>
      </c>
      <c r="C18" s="32">
        <f>IF('1. Forecast'!C20="","",'1. Forecast'!C20)</f>
        <v/>
      </c>
      <c r="D18" s="18">
        <f>IF($D$5="","",IFERROR(INDEX('1. Forecast'!$E$20:$Q$20,1,$D$5),""))</f>
        <v/>
      </c>
      <c r="E18" s="17" t="n"/>
      <c r="F18" s="18">
        <f>IF(OR(D18="",E18=""),"",D18-E18)</f>
        <v/>
      </c>
      <c r="G18" s="33" t="n"/>
      <c r="H18" s="34" t="n"/>
    </row>
    <row r="19">
      <c r="B19" s="7" t="inlineStr">
        <is>
          <t>Rent and utilities</t>
        </is>
      </c>
      <c r="C19" s="32">
        <f>IF('1. Forecast'!C21="","",'1. Forecast'!C21)</f>
        <v/>
      </c>
      <c r="D19" s="18">
        <f>IF($D$5="","",IFERROR(INDEX('1. Forecast'!$E$21:$Q$21,1,$D$5),""))</f>
        <v/>
      </c>
      <c r="E19" s="17" t="n"/>
      <c r="F19" s="18">
        <f>IF(OR(D19="",E19=""),"",D19-E19)</f>
        <v/>
      </c>
      <c r="G19" s="33" t="n"/>
      <c r="H19" s="34" t="n"/>
    </row>
    <row r="20">
      <c r="B20" s="7" t="inlineStr">
        <is>
          <t>Customer rebates</t>
        </is>
      </c>
      <c r="C20" s="32">
        <f>IF('1. Forecast'!C22="","",'1. Forecast'!C22)</f>
        <v/>
      </c>
      <c r="D20" s="18">
        <f>IF($D$5="","",IFERROR(INDEX('1. Forecast'!$E$22:$Q$22,1,$D$5),""))</f>
        <v/>
      </c>
      <c r="E20" s="17" t="n"/>
      <c r="F20" s="18">
        <f>IF(OR(D20="",E20=""),"",D20-E20)</f>
        <v/>
      </c>
      <c r="G20" s="33" t="n"/>
      <c r="H20" s="34" t="n"/>
    </row>
    <row r="21">
      <c r="B21" s="7" t="inlineStr">
        <is>
          <t>Capital expenditure</t>
        </is>
      </c>
      <c r="C21" s="32">
        <f>IF('1. Forecast'!C23="","",'1. Forecast'!C23)</f>
        <v/>
      </c>
      <c r="D21" s="18">
        <f>IF($D$5="","",IFERROR(INDEX('1. Forecast'!$E$23:$Q$23,1,$D$5),""))</f>
        <v/>
      </c>
      <c r="E21" s="17" t="n"/>
      <c r="F21" s="18">
        <f>IF(OR(D21="",E21=""),"",D21-E21)</f>
        <v/>
      </c>
      <c r="G21" s="33" t="n"/>
      <c r="H21" s="34" t="n"/>
    </row>
    <row r="22">
      <c r="B22" s="7" t="inlineStr">
        <is>
          <t>Cash taxes</t>
        </is>
      </c>
      <c r="C22" s="32">
        <f>IF('1. Forecast'!C24="","",'1. Forecast'!C24)</f>
        <v/>
      </c>
      <c r="D22" s="18">
        <f>IF($D$5="","",IFERROR(INDEX('1. Forecast'!$E$24:$Q$24,1,$D$5),""))</f>
        <v/>
      </c>
      <c r="E22" s="17" t="n"/>
      <c r="F22" s="18">
        <f>IF(OR(D22="",E22=""),"",D22-E22)</f>
        <v/>
      </c>
      <c r="G22" s="33" t="n"/>
      <c r="H22" s="34" t="n"/>
    </row>
    <row r="23">
      <c r="B23" s="7" t="inlineStr">
        <is>
          <t>Additional operating line</t>
        </is>
      </c>
      <c r="C23" s="32">
        <f>IF('1. Forecast'!C25="","",'1. Forecast'!C25)</f>
        <v/>
      </c>
      <c r="D23" s="18">
        <f>IF($D$5="","",IFERROR(INDEX('1. Forecast'!$E$25:$Q$25,1,$D$5),""))</f>
        <v/>
      </c>
      <c r="E23" s="17" t="n"/>
      <c r="F23" s="18">
        <f>IF(OR(D23="",E23=""),"",D23-E23)</f>
        <v/>
      </c>
      <c r="G23" s="33" t="n"/>
      <c r="H23" s="34" t="n"/>
    </row>
    <row r="24">
      <c r="B24" s="7" t="inlineStr">
        <is>
          <t>Company restructuring advisers</t>
        </is>
      </c>
      <c r="C24" s="32">
        <f>IF('1. Forecast'!C29="","",'1. Forecast'!C29)</f>
        <v/>
      </c>
      <c r="D24" s="18">
        <f>IF($D$5="","",IFERROR(INDEX('1. Forecast'!$E$29:$Q$29,1,$D$5),""))</f>
        <v/>
      </c>
      <c r="E24" s="17" t="n"/>
      <c r="F24" s="18">
        <f>IF(OR(D24="",E24=""),"",D24-E24)</f>
        <v/>
      </c>
      <c r="G24" s="33" t="n"/>
      <c r="H24" s="34" t="n"/>
    </row>
    <row r="25">
      <c r="B25" s="7" t="inlineStr">
        <is>
          <t>Lenders' advisers paid by the company</t>
        </is>
      </c>
      <c r="C25" s="32">
        <f>IF('1. Forecast'!C30="","",'1. Forecast'!C30)</f>
        <v/>
      </c>
      <c r="D25" s="18">
        <f>IF($D$5="","",IFERROR(INDEX('1. Forecast'!$E$30:$Q$30,1,$D$5),""))</f>
        <v/>
      </c>
      <c r="E25" s="17" t="n"/>
      <c r="F25" s="18">
        <f>IF(OR(D25="",E25=""),"",D25-E25)</f>
        <v/>
      </c>
      <c r="G25" s="33" t="n"/>
      <c r="H25" s="34" t="n"/>
    </row>
    <row r="26">
      <c r="B26" s="7" t="inlineStr">
        <is>
          <t>Term loan interest</t>
        </is>
      </c>
      <c r="C26" s="32">
        <f>IF('1. Forecast'!C33="","",'1. Forecast'!C33)</f>
        <v/>
      </c>
      <c r="D26" s="18">
        <f>IF($D$5="","",IFERROR(INDEX('1. Forecast'!$E$33:$Q$33,1,$D$5),""))</f>
        <v/>
      </c>
      <c r="E26" s="17" t="n"/>
      <c r="F26" s="18">
        <f>IF(OR(D26="",E26=""),"",D26-E26)</f>
        <v/>
      </c>
      <c r="G26" s="33" t="n"/>
      <c r="H26" s="34" t="n"/>
    </row>
    <row r="27">
      <c r="B27" s="7" t="inlineStr">
        <is>
          <t>Term loan amortization</t>
        </is>
      </c>
      <c r="C27" s="32">
        <f>IF('1. Forecast'!C34="","",'1. Forecast'!C34)</f>
        <v/>
      </c>
      <c r="D27" s="18">
        <f>IF($D$5="","",IFERROR(INDEX('1. Forecast'!$E$34:$Q$34,1,$D$5),""))</f>
        <v/>
      </c>
      <c r="E27" s="17" t="n"/>
      <c r="F27" s="18">
        <f>IF(OR(D27="",E27=""),"",D27-E27)</f>
        <v/>
      </c>
      <c r="G27" s="33" t="n"/>
      <c r="H27" s="34" t="n"/>
    </row>
    <row r="28">
      <c r="B28" s="7" t="inlineStr">
        <is>
          <t>Revolver interest and fees</t>
        </is>
      </c>
      <c r="C28" s="32">
        <f>IF('1. Forecast'!C35="","",'1. Forecast'!C35)</f>
        <v/>
      </c>
      <c r="D28" s="18">
        <f>IF($D$5="","",IFERROR(INDEX('1. Forecast'!$E$35:$Q$35,1,$D$5),""))</f>
        <v/>
      </c>
      <c r="E28" s="17" t="n"/>
      <c r="F28" s="18">
        <f>IF(OR(D28="",E28=""),"",D28-E28)</f>
        <v/>
      </c>
      <c r="G28" s="33" t="n"/>
      <c r="H28" s="34" t="n"/>
    </row>
    <row r="29">
      <c r="B29" s="7" t="inlineStr">
        <is>
          <t>Notes coupon</t>
        </is>
      </c>
      <c r="C29" s="32">
        <f>IF('1. Forecast'!C36="","",'1. Forecast'!C36)</f>
        <v/>
      </c>
      <c r="D29" s="18">
        <f>IF($D$5="","",IFERROR(INDEX('1. Forecast'!$E$36:$Q$36,1,$D$5),""))</f>
        <v/>
      </c>
      <c r="E29" s="17" t="n"/>
      <c r="F29" s="18">
        <f>IF(OR(D29="",E29=""),"",D29-E29)</f>
        <v/>
      </c>
      <c r="G29" s="33" t="n"/>
      <c r="H29" s="34" t="n"/>
    </row>
    <row r="30">
      <c r="B30" s="7" t="inlineStr">
        <is>
          <t>Additional debt service line</t>
        </is>
      </c>
      <c r="C30" s="32">
        <f>IF('1. Forecast'!C37="","",'1. Forecast'!C37)</f>
        <v/>
      </c>
      <c r="D30" s="18">
        <f>IF($D$5="","",IFERROR(INDEX('1. Forecast'!$E$37:$Q$37,1,$D$5),""))</f>
        <v/>
      </c>
      <c r="E30" s="17" t="n"/>
      <c r="F30" s="18">
        <f>IF(OR(D30="",E30=""),"",D30-E30)</f>
        <v/>
      </c>
      <c r="G30" s="33" t="n"/>
      <c r="H30" s="34" t="n"/>
    </row>
    <row r="31">
      <c r="B31" s="7" t="inlineStr">
        <is>
          <t>Revolver drawings (+) or repayments (-)</t>
        </is>
      </c>
      <c r="C31" s="32">
        <f>IF('1. Forecast'!C40="","",'1. Forecast'!C40)</f>
        <v/>
      </c>
      <c r="D31" s="18">
        <f>IF($D$5="","",IFERROR(INDEX('1. Forecast'!$E$40:$Q$40,1,$D$5),""))</f>
        <v/>
      </c>
      <c r="E31" s="17" t="n"/>
      <c r="F31" s="18">
        <f>IF(OR(D31="",E31=""),"",E31-D31)</f>
        <v/>
      </c>
      <c r="G31" s="33" t="n"/>
      <c r="H31" s="34" t="n"/>
    </row>
    <row r="32">
      <c r="B32" s="7" t="inlineStr">
        <is>
          <t>Receivables program and other borrowing (+ advance, - reversal)</t>
        </is>
      </c>
      <c r="C32" s="32">
        <f>IF('1. Forecast'!C41="","",'1. Forecast'!C41)</f>
        <v/>
      </c>
      <c r="D32" s="18">
        <f>IF($D$5="","",IFERROR(INDEX('1. Forecast'!$E$41:$Q$41,1,$D$5),""))</f>
        <v/>
      </c>
      <c r="E32" s="17" t="n"/>
      <c r="F32" s="18">
        <f>IF(OR(D32="",E32=""),"",E32-D32)</f>
        <v/>
      </c>
      <c r="G32" s="33" t="n"/>
      <c r="H32" s="34" t="n"/>
    </row>
  </sheetData>
  <dataValidations count="2">
    <dataValidation sqref="G12:G32" showDropDown="0" showInputMessage="0" showErrorMessage="1" allowBlank="1" errorTitle="Timing or Permanent" error="Choose Timing or Permanent." type="list">
      <formula1>"Timing,Permanent"</formula1>
    </dataValidation>
    <dataValidation sqref="D5" showDropDown="0" showInputMessage="0" showErrorMessage="1" allowBlank="1" errorTitle="Week" error="Enter a week number from 1 to 13." type="whole" operator="between">
      <formula1>1</formula1>
      <formula2>13</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B2:L18"/>
  <sheetViews>
    <sheetView showGridLines="0" workbookViewId="0">
      <selection activeCell="A1" sqref="A1"/>
    </sheetView>
  </sheetViews>
  <sheetFormatPr baseColWidth="8" defaultRowHeight="15"/>
  <cols>
    <col width="2" customWidth="1" min="1" max="1"/>
    <col width="10" customWidth="1" min="2" max="2"/>
    <col width="13" customWidth="1" min="3" max="3"/>
    <col width="13" customWidth="1" min="4" max="4"/>
    <col width="13" customWidth="1" min="5" max="5"/>
    <col width="13" customWidth="1" min="6" max="6"/>
    <col width="13" customWidth="1" min="7" max="7"/>
    <col width="13" customWidth="1" min="8" max="8"/>
    <col width="14" customWidth="1" min="9" max="9"/>
    <col width="14" customWidth="1" min="10" max="10"/>
    <col width="15" customWidth="1" min="11" max="11"/>
    <col width="15" customWidth="1" min="12" max="12"/>
  </cols>
  <sheetData>
    <row r="1" ht="6" customHeight="1"/>
    <row r="2">
      <c r="B2" s="5" t="inlineStr">
        <is>
          <t>Variance week by week, and the bank reconciliation ($m)</t>
        </is>
      </c>
    </row>
    <row r="3">
      <c r="B3" s="6" t="inlineStr">
        <is>
          <t>Actual totals from each week's report. Disbursements include operating lines, advisers and debt service; financing is left out.</t>
        </is>
      </c>
    </row>
    <row r="5" ht="45" customHeight="1">
      <c r="B5" s="11" t="inlineStr">
        <is>
          <t>Week</t>
        </is>
      </c>
      <c r="C5" s="12" t="inlineStr">
        <is>
          <t>Forecast receipts</t>
        </is>
      </c>
      <c r="D5" s="12" t="inlineStr">
        <is>
          <t>Actual receipts</t>
        </is>
      </c>
      <c r="E5" s="12" t="inlineStr">
        <is>
          <t>Forecast disbursements</t>
        </is>
      </c>
      <c r="F5" s="12" t="inlineStr">
        <is>
          <t>Actual disbursements</t>
        </is>
      </c>
      <c r="G5" s="12" t="inlineStr">
        <is>
          <t>Net variance</t>
        </is>
      </c>
      <c r="H5" s="12" t="inlineStr">
        <is>
          <t>Cumulative variance</t>
        </is>
      </c>
      <c r="I5" s="12" t="inlineStr">
        <is>
          <t>Of which permanent</t>
        </is>
      </c>
      <c r="J5" s="12" t="inlineStr">
        <is>
          <t>Cumulative permanent</t>
        </is>
      </c>
      <c r="K5" s="12" t="inlineStr">
        <is>
          <t>Bank balance at start of week</t>
        </is>
      </c>
      <c r="L5" s="12" t="inlineStr">
        <is>
          <t>Difference from forecast opening cash</t>
        </is>
      </c>
    </row>
    <row r="6">
      <c r="B6" s="35" t="n">
        <v>1</v>
      </c>
      <c r="C6" s="18">
        <f>'1. Forecast'!E15</f>
        <v/>
      </c>
      <c r="D6" s="17" t="n"/>
      <c r="E6" s="18">
        <f>'1. Forecast'!E26+'1. Forecast'!E31+'1. Forecast'!E38</f>
        <v/>
      </c>
      <c r="F6" s="17" t="n"/>
      <c r="G6" s="18">
        <f>IF(AND(D6="",F6=""),"",(N(D6)-C6)+(E6-N(F6)))</f>
        <v/>
      </c>
      <c r="H6" s="20">
        <f>IF(G6="","",SUM($G$6:G6))</f>
        <v/>
      </c>
      <c r="I6" s="17" t="n"/>
      <c r="J6" s="18">
        <f>IF(I6="","",SUM($I$6:I6))</f>
        <v/>
      </c>
      <c r="K6" s="17" t="n"/>
      <c r="L6" s="18">
        <f>IF(K6="","",K6-'1. Forecast'!E44)</f>
        <v/>
      </c>
    </row>
    <row r="7">
      <c r="B7" s="35" t="n">
        <v>2</v>
      </c>
      <c r="C7" s="18">
        <f>'1. Forecast'!F15</f>
        <v/>
      </c>
      <c r="D7" s="17" t="n"/>
      <c r="E7" s="18">
        <f>'1. Forecast'!F26+'1. Forecast'!F31+'1. Forecast'!F38</f>
        <v/>
      </c>
      <c r="F7" s="17" t="n"/>
      <c r="G7" s="18">
        <f>IF(AND(D7="",F7=""),"",(N(D7)-C7)+(E7-N(F7)))</f>
        <v/>
      </c>
      <c r="H7" s="20">
        <f>IF(G7="","",SUM($G$6:G7))</f>
        <v/>
      </c>
      <c r="I7" s="17" t="n"/>
      <c r="J7" s="18">
        <f>IF(I7="","",SUM($I$6:I7))</f>
        <v/>
      </c>
      <c r="K7" s="17" t="n"/>
      <c r="L7" s="18">
        <f>IF(K7="","",K7-'1. Forecast'!F44)</f>
        <v/>
      </c>
    </row>
    <row r="8">
      <c r="B8" s="35" t="n">
        <v>3</v>
      </c>
      <c r="C8" s="18">
        <f>'1. Forecast'!G15</f>
        <v/>
      </c>
      <c r="D8" s="17" t="n"/>
      <c r="E8" s="18">
        <f>'1. Forecast'!G26+'1. Forecast'!G31+'1. Forecast'!G38</f>
        <v/>
      </c>
      <c r="F8" s="17" t="n"/>
      <c r="G8" s="18">
        <f>IF(AND(D8="",F8=""),"",(N(D8)-C8)+(E8-N(F8)))</f>
        <v/>
      </c>
      <c r="H8" s="20">
        <f>IF(G8="","",SUM($G$6:G8))</f>
        <v/>
      </c>
      <c r="I8" s="17" t="n"/>
      <c r="J8" s="18">
        <f>IF(I8="","",SUM($I$6:I8))</f>
        <v/>
      </c>
      <c r="K8" s="17" t="n"/>
      <c r="L8" s="18">
        <f>IF(K8="","",K8-'1. Forecast'!G44)</f>
        <v/>
      </c>
    </row>
    <row r="9">
      <c r="B9" s="35" t="n">
        <v>4</v>
      </c>
      <c r="C9" s="18">
        <f>'1. Forecast'!H15</f>
        <v/>
      </c>
      <c r="D9" s="17" t="n"/>
      <c r="E9" s="18">
        <f>'1. Forecast'!H26+'1. Forecast'!H31+'1. Forecast'!H38</f>
        <v/>
      </c>
      <c r="F9" s="17" t="n"/>
      <c r="G9" s="18">
        <f>IF(AND(D9="",F9=""),"",(N(D9)-C9)+(E9-N(F9)))</f>
        <v/>
      </c>
      <c r="H9" s="20">
        <f>IF(G9="","",SUM($G$6:G9))</f>
        <v/>
      </c>
      <c r="I9" s="17" t="n"/>
      <c r="J9" s="18">
        <f>IF(I9="","",SUM($I$6:I9))</f>
        <v/>
      </c>
      <c r="K9" s="17" t="n"/>
      <c r="L9" s="18">
        <f>IF(K9="","",K9-'1. Forecast'!H44)</f>
        <v/>
      </c>
    </row>
    <row r="10">
      <c r="B10" s="35" t="n">
        <v>5</v>
      </c>
      <c r="C10" s="18">
        <f>'1. Forecast'!I15</f>
        <v/>
      </c>
      <c r="D10" s="17" t="n"/>
      <c r="E10" s="18">
        <f>'1. Forecast'!I26+'1. Forecast'!I31+'1. Forecast'!I38</f>
        <v/>
      </c>
      <c r="F10" s="17" t="n"/>
      <c r="G10" s="18">
        <f>IF(AND(D10="",F10=""),"",(N(D10)-C10)+(E10-N(F10)))</f>
        <v/>
      </c>
      <c r="H10" s="20">
        <f>IF(G10="","",SUM($G$6:G10))</f>
        <v/>
      </c>
      <c r="I10" s="17" t="n"/>
      <c r="J10" s="18">
        <f>IF(I10="","",SUM($I$6:I10))</f>
        <v/>
      </c>
      <c r="K10" s="17" t="n"/>
      <c r="L10" s="18">
        <f>IF(K10="","",K10-'1. Forecast'!I44)</f>
        <v/>
      </c>
    </row>
    <row r="11">
      <c r="B11" s="35" t="n">
        <v>6</v>
      </c>
      <c r="C11" s="18">
        <f>'1. Forecast'!J15</f>
        <v/>
      </c>
      <c r="D11" s="17" t="n"/>
      <c r="E11" s="18">
        <f>'1. Forecast'!J26+'1. Forecast'!J31+'1. Forecast'!J38</f>
        <v/>
      </c>
      <c r="F11" s="17" t="n"/>
      <c r="G11" s="18">
        <f>IF(AND(D11="",F11=""),"",(N(D11)-C11)+(E11-N(F11)))</f>
        <v/>
      </c>
      <c r="H11" s="20">
        <f>IF(G11="","",SUM($G$6:G11))</f>
        <v/>
      </c>
      <c r="I11" s="17" t="n"/>
      <c r="J11" s="18">
        <f>IF(I11="","",SUM($I$6:I11))</f>
        <v/>
      </c>
      <c r="K11" s="17" t="n"/>
      <c r="L11" s="18">
        <f>IF(K11="","",K11-'1. Forecast'!J44)</f>
        <v/>
      </c>
    </row>
    <row r="12">
      <c r="B12" s="35" t="n">
        <v>7</v>
      </c>
      <c r="C12" s="18">
        <f>'1. Forecast'!K15</f>
        <v/>
      </c>
      <c r="D12" s="17" t="n"/>
      <c r="E12" s="18">
        <f>'1. Forecast'!K26+'1. Forecast'!K31+'1. Forecast'!K38</f>
        <v/>
      </c>
      <c r="F12" s="17" t="n"/>
      <c r="G12" s="18">
        <f>IF(AND(D12="",F12=""),"",(N(D12)-C12)+(E12-N(F12)))</f>
        <v/>
      </c>
      <c r="H12" s="20">
        <f>IF(G12="","",SUM($G$6:G12))</f>
        <v/>
      </c>
      <c r="I12" s="17" t="n"/>
      <c r="J12" s="18">
        <f>IF(I12="","",SUM($I$6:I12))</f>
        <v/>
      </c>
      <c r="K12" s="17" t="n"/>
      <c r="L12" s="18">
        <f>IF(K12="","",K12-'1. Forecast'!K44)</f>
        <v/>
      </c>
    </row>
    <row r="13">
      <c r="B13" s="35" t="n">
        <v>8</v>
      </c>
      <c r="C13" s="18">
        <f>'1. Forecast'!L15</f>
        <v/>
      </c>
      <c r="D13" s="17" t="n"/>
      <c r="E13" s="18">
        <f>'1. Forecast'!L26+'1. Forecast'!L31+'1. Forecast'!L38</f>
        <v/>
      </c>
      <c r="F13" s="17" t="n"/>
      <c r="G13" s="18">
        <f>IF(AND(D13="",F13=""),"",(N(D13)-C13)+(E13-N(F13)))</f>
        <v/>
      </c>
      <c r="H13" s="20">
        <f>IF(G13="","",SUM($G$6:G13))</f>
        <v/>
      </c>
      <c r="I13" s="17" t="n"/>
      <c r="J13" s="18">
        <f>IF(I13="","",SUM($I$6:I13))</f>
        <v/>
      </c>
      <c r="K13" s="17" t="n"/>
      <c r="L13" s="18">
        <f>IF(K13="","",K13-'1. Forecast'!L44)</f>
        <v/>
      </c>
    </row>
    <row r="14">
      <c r="B14" s="35" t="n">
        <v>9</v>
      </c>
      <c r="C14" s="18">
        <f>'1. Forecast'!M15</f>
        <v/>
      </c>
      <c r="D14" s="17" t="n"/>
      <c r="E14" s="18">
        <f>'1. Forecast'!M26+'1. Forecast'!M31+'1. Forecast'!M38</f>
        <v/>
      </c>
      <c r="F14" s="17" t="n"/>
      <c r="G14" s="18">
        <f>IF(AND(D14="",F14=""),"",(N(D14)-C14)+(E14-N(F14)))</f>
        <v/>
      </c>
      <c r="H14" s="20">
        <f>IF(G14="","",SUM($G$6:G14))</f>
        <v/>
      </c>
      <c r="I14" s="17" t="n"/>
      <c r="J14" s="18">
        <f>IF(I14="","",SUM($I$6:I14))</f>
        <v/>
      </c>
      <c r="K14" s="17" t="n"/>
      <c r="L14" s="18">
        <f>IF(K14="","",K14-'1. Forecast'!M44)</f>
        <v/>
      </c>
    </row>
    <row r="15">
      <c r="B15" s="35" t="n">
        <v>10</v>
      </c>
      <c r="C15" s="18">
        <f>'1. Forecast'!N15</f>
        <v/>
      </c>
      <c r="D15" s="17" t="n"/>
      <c r="E15" s="18">
        <f>'1. Forecast'!N26+'1. Forecast'!N31+'1. Forecast'!N38</f>
        <v/>
      </c>
      <c r="F15" s="17" t="n"/>
      <c r="G15" s="18">
        <f>IF(AND(D15="",F15=""),"",(N(D15)-C15)+(E15-N(F15)))</f>
        <v/>
      </c>
      <c r="H15" s="20">
        <f>IF(G15="","",SUM($G$6:G15))</f>
        <v/>
      </c>
      <c r="I15" s="17" t="n"/>
      <c r="J15" s="18">
        <f>IF(I15="","",SUM($I$6:I15))</f>
        <v/>
      </c>
      <c r="K15" s="17" t="n"/>
      <c r="L15" s="18">
        <f>IF(K15="","",K15-'1. Forecast'!N44)</f>
        <v/>
      </c>
    </row>
    <row r="16">
      <c r="B16" s="35" t="n">
        <v>11</v>
      </c>
      <c r="C16" s="18">
        <f>'1. Forecast'!O15</f>
        <v/>
      </c>
      <c r="D16" s="17" t="n"/>
      <c r="E16" s="18">
        <f>'1. Forecast'!O26+'1. Forecast'!O31+'1. Forecast'!O38</f>
        <v/>
      </c>
      <c r="F16" s="17" t="n"/>
      <c r="G16" s="18">
        <f>IF(AND(D16="",F16=""),"",(N(D16)-C16)+(E16-N(F16)))</f>
        <v/>
      </c>
      <c r="H16" s="20">
        <f>IF(G16="","",SUM($G$6:G16))</f>
        <v/>
      </c>
      <c r="I16" s="17" t="n"/>
      <c r="J16" s="18">
        <f>IF(I16="","",SUM($I$6:I16))</f>
        <v/>
      </c>
      <c r="K16" s="17" t="n"/>
      <c r="L16" s="18">
        <f>IF(K16="","",K16-'1. Forecast'!O44)</f>
        <v/>
      </c>
    </row>
    <row r="17">
      <c r="B17" s="35" t="n">
        <v>12</v>
      </c>
      <c r="C17" s="18">
        <f>'1. Forecast'!P15</f>
        <v/>
      </c>
      <c r="D17" s="17" t="n"/>
      <c r="E17" s="18">
        <f>'1. Forecast'!P26+'1. Forecast'!P31+'1. Forecast'!P38</f>
        <v/>
      </c>
      <c r="F17" s="17" t="n"/>
      <c r="G17" s="18">
        <f>IF(AND(D17="",F17=""),"",(N(D17)-C17)+(E17-N(F17)))</f>
        <v/>
      </c>
      <c r="H17" s="20">
        <f>IF(G17="","",SUM($G$6:G17))</f>
        <v/>
      </c>
      <c r="I17" s="17" t="n"/>
      <c r="J17" s="18">
        <f>IF(I17="","",SUM($I$6:I17))</f>
        <v/>
      </c>
      <c r="K17" s="17" t="n"/>
      <c r="L17" s="18">
        <f>IF(K17="","",K17-'1. Forecast'!P44)</f>
        <v/>
      </c>
    </row>
    <row r="18">
      <c r="B18" s="35" t="n">
        <v>13</v>
      </c>
      <c r="C18" s="18">
        <f>'1. Forecast'!Q15</f>
        <v/>
      </c>
      <c r="D18" s="17" t="n"/>
      <c r="E18" s="18">
        <f>'1. Forecast'!Q26+'1. Forecast'!Q31+'1. Forecast'!Q38</f>
        <v/>
      </c>
      <c r="F18" s="17" t="n"/>
      <c r="G18" s="18">
        <f>IF(AND(D18="",F18=""),"",(N(D18)-C18)+(E18-N(F18)))</f>
        <v/>
      </c>
      <c r="H18" s="20">
        <f>IF(G18="","",SUM($G$6:G18))</f>
        <v/>
      </c>
      <c r="I18" s="17" t="n"/>
      <c r="J18" s="18">
        <f>IF(I18="","",SUM($I$6:I18))</f>
        <v/>
      </c>
      <c r="K18" s="17" t="n"/>
      <c r="L18" s="18">
        <f>IF(K18="","",K18-'1. Forecast'!Q44)</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B2:K31"/>
  <sheetViews>
    <sheetView showGridLines="0" workbookViewId="0">
      <selection activeCell="A1" sqref="A1"/>
    </sheetView>
  </sheetViews>
  <sheetFormatPr baseColWidth="8" defaultRowHeight="15"/>
  <cols>
    <col width="2" customWidth="1" min="1" max="1"/>
    <col width="34" customWidth="1" min="2" max="2"/>
    <col width="11" customWidth="1" min="3" max="3"/>
    <col width="16" customWidth="1" min="4" max="4"/>
    <col width="12" customWidth="1" min="5" max="5"/>
    <col width="30" customWidth="1" min="6" max="6"/>
    <col width="10" customWidth="1" min="7" max="7"/>
    <col width="12" customWidth="1" min="8" max="8"/>
    <col width="30" customWidth="1" min="9" max="9"/>
    <col width="30" customWidth="1" min="10" max="10"/>
    <col width="13" customWidth="1" min="11" max="11"/>
  </cols>
  <sheetData>
    <row r="1" ht="6" customHeight="1"/>
    <row r="2">
      <c r="B2" s="5" t="inlineStr">
        <is>
          <t>The creditor map: every claim, how it ranks, who holds it ($m)</t>
        </is>
      </c>
    </row>
    <row r="3">
      <c r="B3" s="6" t="inlineStr">
        <is>
          <t>Treatment decides how the waterfall on sheet 5 pays the claim: Senior on collateral, Senior unencumbered first (both paid in cash at emergence), Secured (one class, one pool of collateral) or Unsecured (one pool).</t>
        </is>
      </c>
    </row>
    <row r="5" ht="30" customHeight="1">
      <c r="B5" s="36" t="inlineStr">
        <is>
          <t>Senior cash claims charged to the collateral (DIP, its interest, fee carve-out)</t>
        </is>
      </c>
      <c r="C5" s="16" t="n"/>
      <c r="D5" s="16" t="n"/>
      <c r="E5" s="37">
        <f>SUMIF(D12:D31,"Senior on collateral",E12:E31)</f>
        <v/>
      </c>
    </row>
    <row r="6" ht="30" customHeight="1">
      <c r="B6" s="36" t="inlineStr">
        <is>
          <t>Senior cash claims paid first from unencumbered value (priority, cure)</t>
        </is>
      </c>
      <c r="C6" s="16" t="n"/>
      <c r="D6" s="16" t="n"/>
      <c r="E6" s="37">
        <f>SUMIF(D12:D31,"Senior unencumbered first",E12:E31)</f>
        <v/>
      </c>
    </row>
    <row r="7" ht="15" customHeight="1">
      <c r="B7" s="36" t="inlineStr">
        <is>
          <t>Secured claims (first lien)</t>
        </is>
      </c>
      <c r="C7" s="16" t="n"/>
      <c r="D7" s="16" t="n"/>
      <c r="E7" s="37">
        <f>SUMIF(D12:D31,"Secured",E12:E31)</f>
        <v/>
      </c>
    </row>
    <row r="8" ht="15" customHeight="1">
      <c r="B8" s="36" t="inlineStr">
        <is>
          <t>Unsecured claims (general unsecured pool)</t>
        </is>
      </c>
      <c r="C8" s="16" t="n"/>
      <c r="D8" s="16" t="n"/>
      <c r="E8" s="37">
        <f>SUMIF(D12:D31,"Unsecured",E12:E31)</f>
        <v/>
      </c>
    </row>
    <row r="9" ht="15" customHeight="1">
      <c r="B9" s="38" t="inlineStr">
        <is>
          <t>Recovery column K shown at enterprise value number (1 to 8, sheet 5)</t>
        </is>
      </c>
      <c r="C9" s="16" t="n"/>
      <c r="D9" s="16" t="n"/>
      <c r="E9" s="31" t="n"/>
    </row>
    <row r="11" ht="30" customHeight="1">
      <c r="B11" s="11" t="inlineStr">
        <is>
          <t>Claim</t>
        </is>
      </c>
      <c r="C11" s="12" t="inlineStr">
        <is>
          <t>Class</t>
        </is>
      </c>
      <c r="D11" s="12" t="inlineStr">
        <is>
          <t>Treatment</t>
        </is>
      </c>
      <c r="E11" s="12" t="inlineStr">
        <is>
          <t>Amount</t>
        </is>
      </c>
      <c r="F11" s="12" t="inlineStr">
        <is>
          <t>Security or collateral</t>
        </is>
      </c>
      <c r="G11" s="12" t="inlineStr">
        <is>
          <t>Rate</t>
        </is>
      </c>
      <c r="H11" s="12" t="inlineStr">
        <is>
          <t>Maturity</t>
        </is>
      </c>
      <c r="I11" s="12" t="inlineStr">
        <is>
          <t>Holders, ad hoc groups, advisers</t>
        </is>
      </c>
      <c r="J11" s="12" t="inlineStr">
        <is>
          <t>Amendment and voting thresholds</t>
        </is>
      </c>
      <c r="K11" s="12" t="inlineStr">
        <is>
          <t>Recovery at the EV chosen</t>
        </is>
      </c>
    </row>
    <row r="12">
      <c r="B12" s="8" t="n"/>
      <c r="C12" s="33" t="n"/>
      <c r="D12" s="39" t="n"/>
      <c r="E12" s="9" t="n"/>
      <c r="F12" s="8" t="n"/>
      <c r="G12" s="40" t="n"/>
      <c r="H12" s="8" t="n"/>
      <c r="I12" s="8" t="n"/>
      <c r="J12" s="8" t="n"/>
      <c r="K12" s="28">
        <f>IF(OR($E$9="",D12="",E12=""),"",IFERROR(IF(LEFT(D12,6)="Senior",INDEX('5. Waterfall'!$D$36:$K$36,1,$E$9),IF(D12="Secured",INDEX('5. Waterfall'!$D$37:$K$37,1,$E$9),IF(D12="Unsecured",INDEX('5. Waterfall'!$D$38:$K$38,1,$E$9),""))),""))</f>
        <v/>
      </c>
    </row>
    <row r="13">
      <c r="B13" s="8" t="n"/>
      <c r="C13" s="33" t="n"/>
      <c r="D13" s="39" t="n"/>
      <c r="E13" s="9" t="n"/>
      <c r="F13" s="8" t="n"/>
      <c r="G13" s="40" t="n"/>
      <c r="H13" s="8" t="n"/>
      <c r="I13" s="8" t="n"/>
      <c r="J13" s="8" t="n"/>
      <c r="K13" s="28">
        <f>IF(OR($E$9="",D13="",E13=""),"",IFERROR(IF(LEFT(D13,6)="Senior",INDEX('5. Waterfall'!$D$36:$K$36,1,$E$9),IF(D13="Secured",INDEX('5. Waterfall'!$D$37:$K$37,1,$E$9),IF(D13="Unsecured",INDEX('5. Waterfall'!$D$38:$K$38,1,$E$9),""))),""))</f>
        <v/>
      </c>
    </row>
    <row r="14">
      <c r="B14" s="8" t="n"/>
      <c r="C14" s="33" t="n"/>
      <c r="D14" s="39" t="n"/>
      <c r="E14" s="9" t="n"/>
      <c r="F14" s="8" t="n"/>
      <c r="G14" s="40" t="n"/>
      <c r="H14" s="8" t="n"/>
      <c r="I14" s="8" t="n"/>
      <c r="J14" s="8" t="n"/>
      <c r="K14" s="28">
        <f>IF(OR($E$9="",D14="",E14=""),"",IFERROR(IF(LEFT(D14,6)="Senior",INDEX('5. Waterfall'!$D$36:$K$36,1,$E$9),IF(D14="Secured",INDEX('5. Waterfall'!$D$37:$K$37,1,$E$9),IF(D14="Unsecured",INDEX('5. Waterfall'!$D$38:$K$38,1,$E$9),""))),""))</f>
        <v/>
      </c>
    </row>
    <row r="15">
      <c r="B15" s="8" t="n"/>
      <c r="C15" s="33" t="n"/>
      <c r="D15" s="39" t="n"/>
      <c r="E15" s="9" t="n"/>
      <c r="F15" s="8" t="n"/>
      <c r="G15" s="40" t="n"/>
      <c r="H15" s="8" t="n"/>
      <c r="I15" s="8" t="n"/>
      <c r="J15" s="8" t="n"/>
      <c r="K15" s="28">
        <f>IF(OR($E$9="",D15="",E15=""),"",IFERROR(IF(LEFT(D15,6)="Senior",INDEX('5. Waterfall'!$D$36:$K$36,1,$E$9),IF(D15="Secured",INDEX('5. Waterfall'!$D$37:$K$37,1,$E$9),IF(D15="Unsecured",INDEX('5. Waterfall'!$D$38:$K$38,1,$E$9),""))),""))</f>
        <v/>
      </c>
    </row>
    <row r="16">
      <c r="B16" s="8" t="n"/>
      <c r="C16" s="33" t="n"/>
      <c r="D16" s="39" t="n"/>
      <c r="E16" s="9" t="n"/>
      <c r="F16" s="8" t="n"/>
      <c r="G16" s="40" t="n"/>
      <c r="H16" s="8" t="n"/>
      <c r="I16" s="8" t="n"/>
      <c r="J16" s="8" t="n"/>
      <c r="K16" s="28">
        <f>IF(OR($E$9="",D16="",E16=""),"",IFERROR(IF(LEFT(D16,6)="Senior",INDEX('5. Waterfall'!$D$36:$K$36,1,$E$9),IF(D16="Secured",INDEX('5. Waterfall'!$D$37:$K$37,1,$E$9),IF(D16="Unsecured",INDEX('5. Waterfall'!$D$38:$K$38,1,$E$9),""))),""))</f>
        <v/>
      </c>
    </row>
    <row r="17">
      <c r="B17" s="8" t="n"/>
      <c r="C17" s="33" t="n"/>
      <c r="D17" s="39" t="n"/>
      <c r="E17" s="9" t="n"/>
      <c r="F17" s="8" t="n"/>
      <c r="G17" s="40" t="n"/>
      <c r="H17" s="8" t="n"/>
      <c r="I17" s="8" t="n"/>
      <c r="J17" s="8" t="n"/>
      <c r="K17" s="28">
        <f>IF(OR($E$9="",D17="",E17=""),"",IFERROR(IF(LEFT(D17,6)="Senior",INDEX('5. Waterfall'!$D$36:$K$36,1,$E$9),IF(D17="Secured",INDEX('5. Waterfall'!$D$37:$K$37,1,$E$9),IF(D17="Unsecured",INDEX('5. Waterfall'!$D$38:$K$38,1,$E$9),""))),""))</f>
        <v/>
      </c>
    </row>
    <row r="18">
      <c r="B18" s="8" t="n"/>
      <c r="C18" s="33" t="n"/>
      <c r="D18" s="39" t="n"/>
      <c r="E18" s="9" t="n"/>
      <c r="F18" s="8" t="n"/>
      <c r="G18" s="40" t="n"/>
      <c r="H18" s="8" t="n"/>
      <c r="I18" s="8" t="n"/>
      <c r="J18" s="8" t="n"/>
      <c r="K18" s="28">
        <f>IF(OR($E$9="",D18="",E18=""),"",IFERROR(IF(LEFT(D18,6)="Senior",INDEX('5. Waterfall'!$D$36:$K$36,1,$E$9),IF(D18="Secured",INDEX('5. Waterfall'!$D$37:$K$37,1,$E$9),IF(D18="Unsecured",INDEX('5. Waterfall'!$D$38:$K$38,1,$E$9),""))),""))</f>
        <v/>
      </c>
    </row>
    <row r="19">
      <c r="B19" s="8" t="n"/>
      <c r="C19" s="33" t="n"/>
      <c r="D19" s="39" t="n"/>
      <c r="E19" s="9" t="n"/>
      <c r="F19" s="8" t="n"/>
      <c r="G19" s="40" t="n"/>
      <c r="H19" s="8" t="n"/>
      <c r="I19" s="8" t="n"/>
      <c r="J19" s="8" t="n"/>
      <c r="K19" s="28">
        <f>IF(OR($E$9="",D19="",E19=""),"",IFERROR(IF(LEFT(D19,6)="Senior",INDEX('5. Waterfall'!$D$36:$K$36,1,$E$9),IF(D19="Secured",INDEX('5. Waterfall'!$D$37:$K$37,1,$E$9),IF(D19="Unsecured",INDEX('5. Waterfall'!$D$38:$K$38,1,$E$9),""))),""))</f>
        <v/>
      </c>
    </row>
    <row r="20">
      <c r="B20" s="8" t="n"/>
      <c r="C20" s="33" t="n"/>
      <c r="D20" s="39" t="n"/>
      <c r="E20" s="9" t="n"/>
      <c r="F20" s="8" t="n"/>
      <c r="G20" s="40" t="n"/>
      <c r="H20" s="8" t="n"/>
      <c r="I20" s="8" t="n"/>
      <c r="J20" s="8" t="n"/>
      <c r="K20" s="28">
        <f>IF(OR($E$9="",D20="",E20=""),"",IFERROR(IF(LEFT(D20,6)="Senior",INDEX('5. Waterfall'!$D$36:$K$36,1,$E$9),IF(D20="Secured",INDEX('5. Waterfall'!$D$37:$K$37,1,$E$9),IF(D20="Unsecured",INDEX('5. Waterfall'!$D$38:$K$38,1,$E$9),""))),""))</f>
        <v/>
      </c>
    </row>
    <row r="21">
      <c r="B21" s="8" t="n"/>
      <c r="C21" s="33" t="n"/>
      <c r="D21" s="39" t="n"/>
      <c r="E21" s="9" t="n"/>
      <c r="F21" s="8" t="n"/>
      <c r="G21" s="40" t="n"/>
      <c r="H21" s="8" t="n"/>
      <c r="I21" s="8" t="n"/>
      <c r="J21" s="8" t="n"/>
      <c r="K21" s="28">
        <f>IF(OR($E$9="",D21="",E21=""),"",IFERROR(IF(LEFT(D21,6)="Senior",INDEX('5. Waterfall'!$D$36:$K$36,1,$E$9),IF(D21="Secured",INDEX('5. Waterfall'!$D$37:$K$37,1,$E$9),IF(D21="Unsecured",INDEX('5. Waterfall'!$D$38:$K$38,1,$E$9),""))),""))</f>
        <v/>
      </c>
    </row>
    <row r="22">
      <c r="B22" s="8" t="n"/>
      <c r="C22" s="33" t="n"/>
      <c r="D22" s="39" t="n"/>
      <c r="E22" s="9" t="n"/>
      <c r="F22" s="8" t="n"/>
      <c r="G22" s="40" t="n"/>
      <c r="H22" s="8" t="n"/>
      <c r="I22" s="8" t="n"/>
      <c r="J22" s="8" t="n"/>
      <c r="K22" s="28">
        <f>IF(OR($E$9="",D22="",E22=""),"",IFERROR(IF(LEFT(D22,6)="Senior",INDEX('5. Waterfall'!$D$36:$K$36,1,$E$9),IF(D22="Secured",INDEX('5. Waterfall'!$D$37:$K$37,1,$E$9),IF(D22="Unsecured",INDEX('5. Waterfall'!$D$38:$K$38,1,$E$9),""))),""))</f>
        <v/>
      </c>
    </row>
    <row r="23">
      <c r="B23" s="8" t="n"/>
      <c r="C23" s="33" t="n"/>
      <c r="D23" s="39" t="n"/>
      <c r="E23" s="9" t="n"/>
      <c r="F23" s="8" t="n"/>
      <c r="G23" s="40" t="n"/>
      <c r="H23" s="8" t="n"/>
      <c r="I23" s="8" t="n"/>
      <c r="J23" s="8" t="n"/>
      <c r="K23" s="28">
        <f>IF(OR($E$9="",D23="",E23=""),"",IFERROR(IF(LEFT(D23,6)="Senior",INDEX('5. Waterfall'!$D$36:$K$36,1,$E$9),IF(D23="Secured",INDEX('5. Waterfall'!$D$37:$K$37,1,$E$9),IF(D23="Unsecured",INDEX('5. Waterfall'!$D$38:$K$38,1,$E$9),""))),""))</f>
        <v/>
      </c>
    </row>
    <row r="24">
      <c r="B24" s="8" t="n"/>
      <c r="C24" s="33" t="n"/>
      <c r="D24" s="39" t="n"/>
      <c r="E24" s="9" t="n"/>
      <c r="F24" s="8" t="n"/>
      <c r="G24" s="40" t="n"/>
      <c r="H24" s="8" t="n"/>
      <c r="I24" s="8" t="n"/>
      <c r="J24" s="8" t="n"/>
      <c r="K24" s="28">
        <f>IF(OR($E$9="",D24="",E24=""),"",IFERROR(IF(LEFT(D24,6)="Senior",INDEX('5. Waterfall'!$D$36:$K$36,1,$E$9),IF(D24="Secured",INDEX('5. Waterfall'!$D$37:$K$37,1,$E$9),IF(D24="Unsecured",INDEX('5. Waterfall'!$D$38:$K$38,1,$E$9),""))),""))</f>
        <v/>
      </c>
    </row>
    <row r="25">
      <c r="B25" s="8" t="n"/>
      <c r="C25" s="33" t="n"/>
      <c r="D25" s="39" t="n"/>
      <c r="E25" s="9" t="n"/>
      <c r="F25" s="8" t="n"/>
      <c r="G25" s="40" t="n"/>
      <c r="H25" s="8" t="n"/>
      <c r="I25" s="8" t="n"/>
      <c r="J25" s="8" t="n"/>
      <c r="K25" s="28">
        <f>IF(OR($E$9="",D25="",E25=""),"",IFERROR(IF(LEFT(D25,6)="Senior",INDEX('5. Waterfall'!$D$36:$K$36,1,$E$9),IF(D25="Secured",INDEX('5. Waterfall'!$D$37:$K$37,1,$E$9),IF(D25="Unsecured",INDEX('5. Waterfall'!$D$38:$K$38,1,$E$9),""))),""))</f>
        <v/>
      </c>
    </row>
    <row r="26">
      <c r="B26" s="8" t="n"/>
      <c r="C26" s="33" t="n"/>
      <c r="D26" s="39" t="n"/>
      <c r="E26" s="9" t="n"/>
      <c r="F26" s="8" t="n"/>
      <c r="G26" s="40" t="n"/>
      <c r="H26" s="8" t="n"/>
      <c r="I26" s="8" t="n"/>
      <c r="J26" s="8" t="n"/>
      <c r="K26" s="28">
        <f>IF(OR($E$9="",D26="",E26=""),"",IFERROR(IF(LEFT(D26,6)="Senior",INDEX('5. Waterfall'!$D$36:$K$36,1,$E$9),IF(D26="Secured",INDEX('5. Waterfall'!$D$37:$K$37,1,$E$9),IF(D26="Unsecured",INDEX('5. Waterfall'!$D$38:$K$38,1,$E$9),""))),""))</f>
        <v/>
      </c>
    </row>
    <row r="27">
      <c r="B27" s="8" t="n"/>
      <c r="C27" s="33" t="n"/>
      <c r="D27" s="39" t="n"/>
      <c r="E27" s="9" t="n"/>
      <c r="F27" s="8" t="n"/>
      <c r="G27" s="40" t="n"/>
      <c r="H27" s="8" t="n"/>
      <c r="I27" s="8" t="n"/>
      <c r="J27" s="8" t="n"/>
      <c r="K27" s="28">
        <f>IF(OR($E$9="",D27="",E27=""),"",IFERROR(IF(LEFT(D27,6)="Senior",INDEX('5. Waterfall'!$D$36:$K$36,1,$E$9),IF(D27="Secured",INDEX('5. Waterfall'!$D$37:$K$37,1,$E$9),IF(D27="Unsecured",INDEX('5. Waterfall'!$D$38:$K$38,1,$E$9),""))),""))</f>
        <v/>
      </c>
    </row>
    <row r="28">
      <c r="B28" s="8" t="n"/>
      <c r="C28" s="33" t="n"/>
      <c r="D28" s="39" t="n"/>
      <c r="E28" s="9" t="n"/>
      <c r="F28" s="8" t="n"/>
      <c r="G28" s="40" t="n"/>
      <c r="H28" s="8" t="n"/>
      <c r="I28" s="8" t="n"/>
      <c r="J28" s="8" t="n"/>
      <c r="K28" s="28">
        <f>IF(OR($E$9="",D28="",E28=""),"",IFERROR(IF(LEFT(D28,6)="Senior",INDEX('5. Waterfall'!$D$36:$K$36,1,$E$9),IF(D28="Secured",INDEX('5. Waterfall'!$D$37:$K$37,1,$E$9),IF(D28="Unsecured",INDEX('5. Waterfall'!$D$38:$K$38,1,$E$9),""))),""))</f>
        <v/>
      </c>
    </row>
    <row r="29">
      <c r="B29" s="8" t="n"/>
      <c r="C29" s="33" t="n"/>
      <c r="D29" s="39" t="n"/>
      <c r="E29" s="9" t="n"/>
      <c r="F29" s="8" t="n"/>
      <c r="G29" s="40" t="n"/>
      <c r="H29" s="8" t="n"/>
      <c r="I29" s="8" t="n"/>
      <c r="J29" s="8" t="n"/>
      <c r="K29" s="28">
        <f>IF(OR($E$9="",D29="",E29=""),"",IFERROR(IF(LEFT(D29,6)="Senior",INDEX('5. Waterfall'!$D$36:$K$36,1,$E$9),IF(D29="Secured",INDEX('5. Waterfall'!$D$37:$K$37,1,$E$9),IF(D29="Unsecured",INDEX('5. Waterfall'!$D$38:$K$38,1,$E$9),""))),""))</f>
        <v/>
      </c>
    </row>
    <row r="30">
      <c r="B30" s="8" t="n"/>
      <c r="C30" s="33" t="n"/>
      <c r="D30" s="39" t="n"/>
      <c r="E30" s="9" t="n"/>
      <c r="F30" s="8" t="n"/>
      <c r="G30" s="40" t="n"/>
      <c r="H30" s="8" t="n"/>
      <c r="I30" s="8" t="n"/>
      <c r="J30" s="8" t="n"/>
      <c r="K30" s="28">
        <f>IF(OR($E$9="",D30="",E30=""),"",IFERROR(IF(LEFT(D30,6)="Senior",INDEX('5. Waterfall'!$D$36:$K$36,1,$E$9),IF(D30="Secured",INDEX('5. Waterfall'!$D$37:$K$37,1,$E$9),IF(D30="Unsecured",INDEX('5. Waterfall'!$D$38:$K$38,1,$E$9),""))),""))</f>
        <v/>
      </c>
    </row>
    <row r="31">
      <c r="B31" s="8" t="n"/>
      <c r="C31" s="33" t="n"/>
      <c r="D31" s="39" t="n"/>
      <c r="E31" s="9" t="n"/>
      <c r="F31" s="8" t="n"/>
      <c r="G31" s="40" t="n"/>
      <c r="H31" s="8" t="n"/>
      <c r="I31" s="8" t="n"/>
      <c r="J31" s="8" t="n"/>
      <c r="K31" s="28">
        <f>IF(OR($E$9="",D31="",E31=""),"",IFERROR(IF(LEFT(D31,6)="Senior",INDEX('5. Waterfall'!$D$36:$K$36,1,$E$9),IF(D31="Secured",INDEX('5. Waterfall'!$D$37:$K$37,1,$E$9),IF(D31="Unsecured",INDEX('5. Waterfall'!$D$38:$K$38,1,$E$9),""))),""))</f>
        <v/>
      </c>
    </row>
  </sheetData>
  <dataValidations count="2">
    <dataValidation sqref="D12:D31" showDropDown="0" showInputMessage="0" showErrorMessage="1" allowBlank="1" errorTitle="Treatment" error="Choose Senior on collateral, Senior unencumbered first, Secured or Unsecured." type="list">
      <formula1>"Senior on collateral,Senior unencumbered first,Secured,Unsecured"</formula1>
    </dataValidation>
    <dataValidation sqref="E9" showDropDown="0" showInputMessage="0" showErrorMessage="1" allowBlank="1" errorTitle="EV number" error="Enter 1 to 8: the column of the enterprise value on sheet 5." type="whole" operator="between">
      <formula1>1</formula1>
      <formula2>8</formula2>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B2:K39"/>
  <sheetViews>
    <sheetView showGridLines="0" workbookViewId="0">
      <selection activeCell="A1" sqref="A1"/>
    </sheetView>
  </sheetViews>
  <sheetFormatPr baseColWidth="8" defaultRowHeight="15"/>
  <cols>
    <col width="2" customWidth="1" min="1" max="1"/>
    <col width="60" customWidth="1" min="2" max="2"/>
    <col width="4"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s>
  <sheetData>
    <row r="1" ht="6" customHeight="1"/>
    <row r="2">
      <c r="B2" s="5" t="inlineStr">
        <is>
          <t>The waterfall at up to eight enterprise values ($m)</t>
        </is>
      </c>
    </row>
    <row r="3">
      <c r="B3" s="6" t="inlineStr">
        <is>
          <t>Claims come from sheet 4. Cash above the minimum counts as collateral. The value outside the collateral pays the senior claims charged to it first, then is shared by the deficiency claim and the unsecured pool, pro rata.</t>
        </is>
      </c>
    </row>
    <row r="5">
      <c r="B5" s="7" t="inlineStr">
        <is>
          <t>Share of enterprise value outside the collateral (unencumbered)</t>
        </is>
      </c>
      <c r="C5" s="16" t="n"/>
      <c r="D5" s="25" t="n"/>
    </row>
    <row r="6">
      <c r="B6" s="7" t="inlineStr">
        <is>
          <t>Cash above the minimum at emergence (counted as collateral)</t>
        </is>
      </c>
      <c r="C6" s="16" t="n"/>
      <c r="D6" s="9" t="n"/>
    </row>
    <row r="7">
      <c r="B7" s="7" t="inlineStr">
        <is>
          <t>Enterprise value above which the secured class is paid in full</t>
        </is>
      </c>
      <c r="C7" s="16" t="n"/>
      <c r="D7" s="41">
        <f>IF('4. Creditor map'!$E$7=0,"",IFERROR(MAX(0,IF($D$5*('4. Creditor map'!$E$7+'4. Creditor map'!$E$5-N($D$6))/(1-$D$5)&gt;='4. Creditor map'!$E$6,('4. Creditor map'!$E$7+'4. Creditor map'!$E$5-N($D$6))/(1-$D$5),'4. Creditor map'!$E$7+'4. Creditor map'!$E$5+'4. Creditor map'!$E$6-N($D$6))),""))</f>
        <v/>
      </c>
    </row>
    <row r="8">
      <c r="B8" s="7" t="inlineStr">
        <is>
          <t>Enterprise value above which the unsecured pool is paid in full</t>
        </is>
      </c>
      <c r="C8" s="16" t="n"/>
      <c r="D8" s="41">
        <f>IF('4. Creditor map'!$E$8=0,"",IFERROR(MAX(N(D7),'4. Creditor map'!$E$7+'4. Creditor map'!$E$8+'4. Creditor map'!$E$5+'4. Creditor map'!$E$6-N($D$6)),""))</f>
        <v/>
      </c>
    </row>
    <row r="10" ht="20" customHeight="1">
      <c r="B10" s="11" t="inlineStr">
        <is>
          <t>Enterprise value number</t>
        </is>
      </c>
      <c r="C10" s="12" t="inlineStr"/>
      <c r="D10" s="12" t="n">
        <v>1</v>
      </c>
      <c r="E10" s="12" t="n">
        <v>2</v>
      </c>
      <c r="F10" s="12" t="n">
        <v>3</v>
      </c>
      <c r="G10" s="12" t="n">
        <v>4</v>
      </c>
      <c r="H10" s="12" t="n">
        <v>5</v>
      </c>
      <c r="I10" s="12" t="n">
        <v>6</v>
      </c>
      <c r="J10" s="12" t="n">
        <v>7</v>
      </c>
      <c r="K10" s="12" t="n">
        <v>8</v>
      </c>
    </row>
    <row r="11">
      <c r="B11" s="19" t="inlineStr">
        <is>
          <t>ENTERPRISE VALUE (input)</t>
        </is>
      </c>
      <c r="C11" s="16" t="n"/>
      <c r="D11" s="42" t="n"/>
      <c r="E11" s="42" t="n"/>
      <c r="F11" s="42" t="n"/>
      <c r="G11" s="42" t="n"/>
      <c r="H11" s="42" t="n"/>
      <c r="I11" s="42" t="n"/>
      <c r="J11" s="42" t="n"/>
      <c r="K11" s="42" t="n"/>
    </row>
    <row r="12">
      <c r="B12" s="7" t="inlineStr">
        <is>
          <t>Senior cash claims charged to the collateral</t>
        </is>
      </c>
      <c r="C12" s="16" t="n"/>
      <c r="D12" s="43">
        <f>'4. Creditor map'!$E$5</f>
        <v/>
      </c>
      <c r="E12" s="43">
        <f>'4. Creditor map'!$E$5</f>
        <v/>
      </c>
      <c r="F12" s="43">
        <f>'4. Creditor map'!$E$5</f>
        <v/>
      </c>
      <c r="G12" s="43">
        <f>'4. Creditor map'!$E$5</f>
        <v/>
      </c>
      <c r="H12" s="43">
        <f>'4. Creditor map'!$E$5</f>
        <v/>
      </c>
      <c r="I12" s="43">
        <f>'4. Creditor map'!$E$5</f>
        <v/>
      </c>
      <c r="J12" s="43">
        <f>'4. Creditor map'!$E$5</f>
        <v/>
      </c>
      <c r="K12" s="43">
        <f>'4. Creditor map'!$E$5</f>
        <v/>
      </c>
    </row>
    <row r="13">
      <c r="B13" s="7" t="inlineStr">
        <is>
          <t>Senior cash claims paid first from unencumbered value</t>
        </is>
      </c>
      <c r="C13" s="16" t="n"/>
      <c r="D13" s="43">
        <f>'4. Creditor map'!$E$6</f>
        <v/>
      </c>
      <c r="E13" s="43">
        <f>'4. Creditor map'!$E$6</f>
        <v/>
      </c>
      <c r="F13" s="43">
        <f>'4. Creditor map'!$E$6</f>
        <v/>
      </c>
      <c r="G13" s="43">
        <f>'4. Creditor map'!$E$6</f>
        <v/>
      </c>
      <c r="H13" s="43">
        <f>'4. Creditor map'!$E$6</f>
        <v/>
      </c>
      <c r="I13" s="43">
        <f>'4. Creditor map'!$E$6</f>
        <v/>
      </c>
      <c r="J13" s="43">
        <f>'4. Creditor map'!$E$6</f>
        <v/>
      </c>
      <c r="K13" s="43">
        <f>'4. Creditor map'!$E$6</f>
        <v/>
      </c>
    </row>
    <row r="14">
      <c r="B14" s="7" t="inlineStr">
        <is>
          <t>Secured claim</t>
        </is>
      </c>
      <c r="C14" s="16" t="n"/>
      <c r="D14" s="43">
        <f>'4. Creditor map'!$E$7</f>
        <v/>
      </c>
      <c r="E14" s="43">
        <f>'4. Creditor map'!$E$7</f>
        <v/>
      </c>
      <c r="F14" s="43">
        <f>'4. Creditor map'!$E$7</f>
        <v/>
      </c>
      <c r="G14" s="43">
        <f>'4. Creditor map'!$E$7</f>
        <v/>
      </c>
      <c r="H14" s="43">
        <f>'4. Creditor map'!$E$7</f>
        <v/>
      </c>
      <c r="I14" s="43">
        <f>'4. Creditor map'!$E$7</f>
        <v/>
      </c>
      <c r="J14" s="43">
        <f>'4. Creditor map'!$E$7</f>
        <v/>
      </c>
      <c r="K14" s="43">
        <f>'4. Creditor map'!$E$7</f>
        <v/>
      </c>
    </row>
    <row r="15">
      <c r="B15" s="7" t="inlineStr">
        <is>
          <t>Unsecured claims (general unsecured pool)</t>
        </is>
      </c>
      <c r="C15" s="16" t="n"/>
      <c r="D15" s="43">
        <f>'4. Creditor map'!$E$8</f>
        <v/>
      </c>
      <c r="E15" s="43">
        <f>'4. Creditor map'!$E$8</f>
        <v/>
      </c>
      <c r="F15" s="43">
        <f>'4. Creditor map'!$E$8</f>
        <v/>
      </c>
      <c r="G15" s="43">
        <f>'4. Creditor map'!$E$8</f>
        <v/>
      </c>
      <c r="H15" s="43">
        <f>'4. Creditor map'!$E$8</f>
        <v/>
      </c>
      <c r="I15" s="43">
        <f>'4. Creditor map'!$E$8</f>
        <v/>
      </c>
      <c r="J15" s="43">
        <f>'4. Creditor map'!$E$8</f>
        <v/>
      </c>
      <c r="K15" s="43">
        <f>'4. Creditor map'!$E$8</f>
        <v/>
      </c>
    </row>
    <row r="16">
      <c r="B16" s="7" t="inlineStr">
        <is>
          <t>Cash above the minimum (collateral)</t>
        </is>
      </c>
      <c r="C16" s="16" t="n"/>
      <c r="D16" s="43">
        <f>IF(D11="",0,N($D$6))</f>
        <v/>
      </c>
      <c r="E16" s="43">
        <f>IF(E11="",0,N($D$6))</f>
        <v/>
      </c>
      <c r="F16" s="43">
        <f>IF(F11="",0,N($D$6))</f>
        <v/>
      </c>
      <c r="G16" s="43">
        <f>IF(G11="",0,N($D$6))</f>
        <v/>
      </c>
      <c r="H16" s="43">
        <f>IF(H11="",0,N($D$6))</f>
        <v/>
      </c>
      <c r="I16" s="43">
        <f>IF(I11="",0,N($D$6))</f>
        <v/>
      </c>
      <c r="J16" s="43">
        <f>IF(J11="",0,N($D$6))</f>
        <v/>
      </c>
      <c r="K16" s="43">
        <f>IF(K11="",0,N($D$6))</f>
        <v/>
      </c>
    </row>
    <row r="17">
      <c r="B17" s="7" t="inlineStr">
        <is>
          <t>Distributable: value plus cash, less all senior cash claims</t>
        </is>
      </c>
      <c r="C17" s="16" t="n"/>
      <c r="D17" s="43">
        <f>IF(D11="",0,MAX(0,N(D11)+D16-D12-D13))</f>
        <v/>
      </c>
      <c r="E17" s="43">
        <f>IF(E11="",0,MAX(0,N(E11)+E16-E12-E13))</f>
        <v/>
      </c>
      <c r="F17" s="43">
        <f>IF(F11="",0,MAX(0,N(F11)+F16-F12-F13))</f>
        <v/>
      </c>
      <c r="G17" s="43">
        <f>IF(G11="",0,MAX(0,N(G11)+G16-G12-G13))</f>
        <v/>
      </c>
      <c r="H17" s="43">
        <f>IF(H11="",0,MAX(0,N(H11)+H16-H12-H13))</f>
        <v/>
      </c>
      <c r="I17" s="43">
        <f>IF(I11="",0,MAX(0,N(I11)+I16-I12-I13))</f>
        <v/>
      </c>
      <c r="J17" s="43">
        <f>IF(J11="",0,MAX(0,N(J11)+J16-J12-J13))</f>
        <v/>
      </c>
      <c r="K17" s="43">
        <f>IF(K11="",0,MAX(0,N(K11)+K16-K12-K13))</f>
        <v/>
      </c>
    </row>
    <row r="18">
      <c r="B18" s="7" t="inlineStr">
        <is>
          <t>Collateral: value inside it plus the cash</t>
        </is>
      </c>
      <c r="C18" s="16" t="n"/>
      <c r="D18" s="43">
        <f>IF(D11="",0,(1-$D$5)*N(D11)+D16)</f>
        <v/>
      </c>
      <c r="E18" s="43">
        <f>IF(E11="",0,(1-$D$5)*N(E11)+E16)</f>
        <v/>
      </c>
      <c r="F18" s="43">
        <f>IF(F11="",0,(1-$D$5)*N(F11)+F16)</f>
        <v/>
      </c>
      <c r="G18" s="43">
        <f>IF(G11="",0,(1-$D$5)*N(G11)+G16)</f>
        <v/>
      </c>
      <c r="H18" s="43">
        <f>IF(H11="",0,(1-$D$5)*N(H11)+H16)</f>
        <v/>
      </c>
      <c r="I18" s="43">
        <f>IF(I11="",0,(1-$D$5)*N(I11)+I16)</f>
        <v/>
      </c>
      <c r="J18" s="43">
        <f>IF(J11="",0,(1-$D$5)*N(J11)+J16)</f>
        <v/>
      </c>
      <c r="K18" s="43">
        <f>IF(K11="",0,(1-$D$5)*N(K11)+K16)</f>
        <v/>
      </c>
    </row>
    <row r="19">
      <c r="B19" s="7" t="inlineStr">
        <is>
          <t>Value outside the collateral</t>
        </is>
      </c>
      <c r="C19" s="16" t="n"/>
      <c r="D19" s="43">
        <f>$D$5*N(D11)</f>
        <v/>
      </c>
      <c r="E19" s="43">
        <f>$D$5*N(E11)</f>
        <v/>
      </c>
      <c r="F19" s="43">
        <f>$D$5*N(F11)</f>
        <v/>
      </c>
      <c r="G19" s="43">
        <f>$D$5*N(G11)</f>
        <v/>
      </c>
      <c r="H19" s="43">
        <f>$D$5*N(H11)</f>
        <v/>
      </c>
      <c r="I19" s="43">
        <f>$D$5*N(I11)</f>
        <v/>
      </c>
      <c r="J19" s="43">
        <f>$D$5*N(J11)</f>
        <v/>
      </c>
      <c r="K19" s="43">
        <f>$D$5*N(K11)</f>
        <v/>
      </c>
    </row>
    <row r="20">
      <c r="B20" s="7" t="inlineStr">
        <is>
          <t>Senior claims paid first from unencumbered value</t>
        </is>
      </c>
      <c r="C20" s="16" t="n"/>
      <c r="D20" s="43">
        <f>MIN(D19,D13)</f>
        <v/>
      </c>
      <c r="E20" s="43">
        <f>MIN(E19,E13)</f>
        <v/>
      </c>
      <c r="F20" s="43">
        <f>MIN(F19,F13)</f>
        <v/>
      </c>
      <c r="G20" s="43">
        <f>MIN(G19,G13)</f>
        <v/>
      </c>
      <c r="H20" s="43">
        <f>MIN(H19,H13)</f>
        <v/>
      </c>
      <c r="I20" s="43">
        <f>MIN(I19,I13)</f>
        <v/>
      </c>
      <c r="J20" s="43">
        <f>MIN(J19,J13)</f>
        <v/>
      </c>
      <c r="K20" s="43">
        <f>MIN(K19,K13)</f>
        <v/>
      </c>
    </row>
    <row r="21">
      <c r="B21" s="7" t="inlineStr">
        <is>
          <t>Unencumbered value left</t>
        </is>
      </c>
      <c r="C21" s="16" t="n"/>
      <c r="D21" s="43">
        <f>D19-D20</f>
        <v/>
      </c>
      <c r="E21" s="43">
        <f>E19-E20</f>
        <v/>
      </c>
      <c r="F21" s="43">
        <f>F19-F20</f>
        <v/>
      </c>
      <c r="G21" s="43">
        <f>G19-G20</f>
        <v/>
      </c>
      <c r="H21" s="43">
        <f>H19-H20</f>
        <v/>
      </c>
      <c r="I21" s="43">
        <f>I19-I20</f>
        <v/>
      </c>
      <c r="J21" s="43">
        <f>J19-J20</f>
        <v/>
      </c>
      <c r="K21" s="43">
        <f>K19-K20</f>
        <v/>
      </c>
    </row>
    <row r="22" ht="30" customHeight="1">
      <c r="B22" s="44" t="inlineStr">
        <is>
          <t>Senior claims charged to the collateral, including any the unencumbered value could not pay</t>
        </is>
      </c>
      <c r="C22" s="16" t="n"/>
      <c r="D22" s="43">
        <f>D12+D13-D20</f>
        <v/>
      </c>
      <c r="E22" s="43">
        <f>E12+E13-E20</f>
        <v/>
      </c>
      <c r="F22" s="43">
        <f>F12+F13-F20</f>
        <v/>
      </c>
      <c r="G22" s="43">
        <f>G12+G13-G20</f>
        <v/>
      </c>
      <c r="H22" s="43">
        <f>H12+H13-H20</f>
        <v/>
      </c>
      <c r="I22" s="43">
        <f>I12+I13-I20</f>
        <v/>
      </c>
      <c r="J22" s="43">
        <f>J12+J13-J20</f>
        <v/>
      </c>
      <c r="K22" s="43">
        <f>K12+K13-K20</f>
        <v/>
      </c>
    </row>
    <row r="23">
      <c r="B23" s="7" t="inlineStr">
        <is>
          <t>Collateral after the senior claims charged to it</t>
        </is>
      </c>
      <c r="C23" s="16" t="n"/>
      <c r="D23" s="43">
        <f>MAX(0,D18-D22)</f>
        <v/>
      </c>
      <c r="E23" s="43">
        <f>MAX(0,E18-E22)</f>
        <v/>
      </c>
      <c r="F23" s="43">
        <f>MAX(0,F18-F22)</f>
        <v/>
      </c>
      <c r="G23" s="43">
        <f>MAX(0,G18-G22)</f>
        <v/>
      </c>
      <c r="H23" s="43">
        <f>MAX(0,H18-H22)</f>
        <v/>
      </c>
      <c r="I23" s="43">
        <f>MAX(0,I18-I22)</f>
        <v/>
      </c>
      <c r="J23" s="43">
        <f>MAX(0,J18-J22)</f>
        <v/>
      </c>
      <c r="K23" s="43">
        <f>MAX(0,K18-K22)</f>
        <v/>
      </c>
    </row>
    <row r="24">
      <c r="B24" s="7" t="inlineStr">
        <is>
          <t>Senior claims the collateral cannot cover, paid from unencumbered value</t>
        </is>
      </c>
      <c r="C24" s="16" t="n"/>
      <c r="D24" s="43">
        <f>MAX(0,D22-D18)</f>
        <v/>
      </c>
      <c r="E24" s="43">
        <f>MAX(0,E22-E18)</f>
        <v/>
      </c>
      <c r="F24" s="43">
        <f>MAX(0,F22-F18)</f>
        <v/>
      </c>
      <c r="G24" s="43">
        <f>MAX(0,G22-G18)</f>
        <v/>
      </c>
      <c r="H24" s="43">
        <f>MAX(0,H22-H18)</f>
        <v/>
      </c>
      <c r="I24" s="43">
        <f>MAX(0,I22-I18)</f>
        <v/>
      </c>
      <c r="J24" s="43">
        <f>MAX(0,J22-J18)</f>
        <v/>
      </c>
      <c r="K24" s="43">
        <f>MAX(0,K22-K18)</f>
        <v/>
      </c>
    </row>
    <row r="25">
      <c r="B25" s="7" t="inlineStr">
        <is>
          <t>Unencumbered value for the pool</t>
        </is>
      </c>
      <c r="C25" s="16" t="n"/>
      <c r="D25" s="43">
        <f>MAX(0,D21-D24)</f>
        <v/>
      </c>
      <c r="E25" s="43">
        <f>MAX(0,E21-E24)</f>
        <v/>
      </c>
      <c r="F25" s="43">
        <f>MAX(0,F21-F24)</f>
        <v/>
      </c>
      <c r="G25" s="43">
        <f>MAX(0,G21-G24)</f>
        <v/>
      </c>
      <c r="H25" s="43">
        <f>MAX(0,H21-H24)</f>
        <v/>
      </c>
      <c r="I25" s="43">
        <f>MAX(0,I21-I24)</f>
        <v/>
      </c>
      <c r="J25" s="43">
        <f>MAX(0,J21-J24)</f>
        <v/>
      </c>
      <c r="K25" s="43">
        <f>MAX(0,K21-K24)</f>
        <v/>
      </c>
    </row>
    <row r="26">
      <c r="B26" s="7" t="inlineStr">
        <is>
          <t>Secured class paid from its collateral</t>
        </is>
      </c>
      <c r="C26" s="16" t="n"/>
      <c r="D26" s="43">
        <f>MIN(D23,D14)</f>
        <v/>
      </c>
      <c r="E26" s="43">
        <f>MIN(E23,E14)</f>
        <v/>
      </c>
      <c r="F26" s="43">
        <f>MIN(F23,F14)</f>
        <v/>
      </c>
      <c r="G26" s="43">
        <f>MIN(G23,G14)</f>
        <v/>
      </c>
      <c r="H26" s="43">
        <f>MIN(H23,H14)</f>
        <v/>
      </c>
      <c r="I26" s="43">
        <f>MIN(I23,I14)</f>
        <v/>
      </c>
      <c r="J26" s="43">
        <f>MIN(J23,J14)</f>
        <v/>
      </c>
      <c r="K26" s="43">
        <f>MIN(K23,K14)</f>
        <v/>
      </c>
    </row>
    <row r="27">
      <c r="B27" s="7" t="inlineStr">
        <is>
          <t>Collateral left after the secured class</t>
        </is>
      </c>
      <c r="C27" s="16" t="n"/>
      <c r="D27" s="43">
        <f>D23-D26</f>
        <v/>
      </c>
      <c r="E27" s="43">
        <f>E23-E26</f>
        <v/>
      </c>
      <c r="F27" s="43">
        <f>F23-F26</f>
        <v/>
      </c>
      <c r="G27" s="43">
        <f>G23-G26</f>
        <v/>
      </c>
      <c r="H27" s="43">
        <f>H23-H26</f>
        <v/>
      </c>
      <c r="I27" s="43">
        <f>I23-I26</f>
        <v/>
      </c>
      <c r="J27" s="43">
        <f>J23-J26</f>
        <v/>
      </c>
      <c r="K27" s="43">
        <f>K23-K26</f>
        <v/>
      </c>
    </row>
    <row r="28">
      <c r="B28" s="7" t="inlineStr">
        <is>
          <t>Deficiency claim: secured claim not covered by collateral</t>
        </is>
      </c>
      <c r="C28" s="16" t="n"/>
      <c r="D28" s="43">
        <f>D14-D26</f>
        <v/>
      </c>
      <c r="E28" s="43">
        <f>E14-E26</f>
        <v/>
      </c>
      <c r="F28" s="43">
        <f>F14-F26</f>
        <v/>
      </c>
      <c r="G28" s="43">
        <f>G14-G26</f>
        <v/>
      </c>
      <c r="H28" s="43">
        <f>H14-H26</f>
        <v/>
      </c>
      <c r="I28" s="43">
        <f>I14-I26</f>
        <v/>
      </c>
      <c r="J28" s="43">
        <f>J14-J26</f>
        <v/>
      </c>
      <c r="K28" s="43">
        <f>K14-K26</f>
        <v/>
      </c>
    </row>
    <row r="29">
      <c r="B29" s="7" t="inlineStr">
        <is>
          <t>Unsecured pool: deficiency plus unsecured claims</t>
        </is>
      </c>
      <c r="C29" s="16" t="n"/>
      <c r="D29" s="43">
        <f>D28+D15</f>
        <v/>
      </c>
      <c r="E29" s="43">
        <f>E28+E15</f>
        <v/>
      </c>
      <c r="F29" s="43">
        <f>F28+F15</f>
        <v/>
      </c>
      <c r="G29" s="43">
        <f>G28+G15</f>
        <v/>
      </c>
      <c r="H29" s="43">
        <f>H28+H15</f>
        <v/>
      </c>
      <c r="I29" s="43">
        <f>I28+I15</f>
        <v/>
      </c>
      <c r="J29" s="43">
        <f>J28+J15</f>
        <v/>
      </c>
      <c r="K29" s="43">
        <f>K28+K15</f>
        <v/>
      </c>
    </row>
    <row r="30">
      <c r="B30" s="7" t="inlineStr">
        <is>
          <t>Value for the unsecured pool</t>
        </is>
      </c>
      <c r="C30" s="16" t="n"/>
      <c r="D30" s="43">
        <f>D25+D27</f>
        <v/>
      </c>
      <c r="E30" s="43">
        <f>E25+E27</f>
        <v/>
      </c>
      <c r="F30" s="43">
        <f>F25+F27</f>
        <v/>
      </c>
      <c r="G30" s="43">
        <f>G25+G27</f>
        <v/>
      </c>
      <c r="H30" s="43">
        <f>H25+H27</f>
        <v/>
      </c>
      <c r="I30" s="43">
        <f>I25+I27</f>
        <v/>
      </c>
      <c r="J30" s="43">
        <f>J25+J27</f>
        <v/>
      </c>
      <c r="K30" s="43">
        <f>K25+K27</f>
        <v/>
      </c>
    </row>
    <row r="31">
      <c r="B31" s="7" t="inlineStr">
        <is>
          <t>Shared by the pool</t>
        </is>
      </c>
      <c r="C31" s="16" t="n"/>
      <c r="D31" s="43">
        <f>MIN(D30,D29)</f>
        <v/>
      </c>
      <c r="E31" s="43">
        <f>MIN(E30,E29)</f>
        <v/>
      </c>
      <c r="F31" s="43">
        <f>MIN(F30,F29)</f>
        <v/>
      </c>
      <c r="G31" s="43">
        <f>MIN(G30,G29)</f>
        <v/>
      </c>
      <c r="H31" s="43">
        <f>MIN(H30,H29)</f>
        <v/>
      </c>
      <c r="I31" s="43">
        <f>MIN(I30,I29)</f>
        <v/>
      </c>
      <c r="J31" s="43">
        <f>MIN(J30,J29)</f>
        <v/>
      </c>
      <c r="K31" s="43">
        <f>MIN(K30,K29)</f>
        <v/>
      </c>
    </row>
    <row r="32">
      <c r="B32" s="7" t="inlineStr">
        <is>
          <t>Secured class paid on its deficiency</t>
        </is>
      </c>
      <c r="C32" s="16" t="n"/>
      <c r="D32" s="43">
        <f>IFERROR(D31*D28/D29,0)</f>
        <v/>
      </c>
      <c r="E32" s="43">
        <f>IFERROR(E31*E28/E29,0)</f>
        <v/>
      </c>
      <c r="F32" s="43">
        <f>IFERROR(F31*F28/F29,0)</f>
        <v/>
      </c>
      <c r="G32" s="43">
        <f>IFERROR(G31*G28/G29,0)</f>
        <v/>
      </c>
      <c r="H32" s="43">
        <f>IFERROR(H31*H28/H29,0)</f>
        <v/>
      </c>
      <c r="I32" s="43">
        <f>IFERROR(I31*I28/I29,0)</f>
        <v/>
      </c>
      <c r="J32" s="43">
        <f>IFERROR(J31*J28/J29,0)</f>
        <v/>
      </c>
      <c r="K32" s="43">
        <f>IFERROR(K31*K28/K29,0)</f>
        <v/>
      </c>
    </row>
    <row r="33">
      <c r="B33" s="19" t="inlineStr">
        <is>
          <t>UNSECURED CLAIMS RECEIVE</t>
        </is>
      </c>
      <c r="C33" s="16" t="n"/>
      <c r="D33" s="45">
        <f>IFERROR(D31*D15/D29,0)</f>
        <v/>
      </c>
      <c r="E33" s="45">
        <f>IFERROR(E31*E15/E29,0)</f>
        <v/>
      </c>
      <c r="F33" s="45">
        <f>IFERROR(F31*F15/F29,0)</f>
        <v/>
      </c>
      <c r="G33" s="45">
        <f>IFERROR(G31*G15/G29,0)</f>
        <v/>
      </c>
      <c r="H33" s="45">
        <f>IFERROR(H31*H15/H29,0)</f>
        <v/>
      </c>
      <c r="I33" s="45">
        <f>IFERROR(I31*I15/I29,0)</f>
        <v/>
      </c>
      <c r="J33" s="45">
        <f>IFERROR(J31*J15/J29,0)</f>
        <v/>
      </c>
      <c r="K33" s="45">
        <f>IFERROR(K31*K15/K29,0)</f>
        <v/>
      </c>
    </row>
    <row r="34">
      <c r="B34" s="7" t="inlineStr">
        <is>
          <t>Left for equity</t>
        </is>
      </c>
      <c r="C34" s="16" t="n"/>
      <c r="D34" s="43">
        <f>MAX(0,D30-D31)</f>
        <v/>
      </c>
      <c r="E34" s="43">
        <f>MAX(0,E30-E31)</f>
        <v/>
      </c>
      <c r="F34" s="43">
        <f>MAX(0,F30-F31)</f>
        <v/>
      </c>
      <c r="G34" s="43">
        <f>MAX(0,G30-G31)</f>
        <v/>
      </c>
      <c r="H34" s="43">
        <f>MAX(0,H30-H31)</f>
        <v/>
      </c>
      <c r="I34" s="43">
        <f>MAX(0,I30-I31)</f>
        <v/>
      </c>
      <c r="J34" s="43">
        <f>MAX(0,J30-J31)</f>
        <v/>
      </c>
      <c r="K34" s="43">
        <f>MAX(0,K30-K31)</f>
        <v/>
      </c>
    </row>
    <row r="35">
      <c r="B35" s="19" t="inlineStr">
        <is>
          <t>SECURED CLASS RECEIVES</t>
        </is>
      </c>
      <c r="C35" s="16" t="n"/>
      <c r="D35" s="45">
        <f>D26+D32</f>
        <v/>
      </c>
      <c r="E35" s="45">
        <f>E26+E32</f>
        <v/>
      </c>
      <c r="F35" s="45">
        <f>F26+F32</f>
        <v/>
      </c>
      <c r="G35" s="45">
        <f>G26+G32</f>
        <v/>
      </c>
      <c r="H35" s="45">
        <f>H26+H32</f>
        <v/>
      </c>
      <c r="I35" s="45">
        <f>I26+I32</f>
        <v/>
      </c>
      <c r="J35" s="45">
        <f>J26+J32</f>
        <v/>
      </c>
      <c r="K35" s="45">
        <f>K26+K32</f>
        <v/>
      </c>
    </row>
    <row r="36">
      <c r="B36" s="7" t="inlineStr">
        <is>
          <t>Senior cash claims recovery</t>
        </is>
      </c>
      <c r="C36" s="16" t="n"/>
      <c r="D36" s="28">
        <f>IF(D11="","",IFERROR(MIN(N(D11)+D16,D12+D13)/(D12+D13),""))</f>
        <v/>
      </c>
      <c r="E36" s="28">
        <f>IF(E11="","",IFERROR(MIN(N(E11)+E16,E12+E13)/(E12+E13),""))</f>
        <v/>
      </c>
      <c r="F36" s="28">
        <f>IF(F11="","",IFERROR(MIN(N(F11)+F16,F12+F13)/(F12+F13),""))</f>
        <v/>
      </c>
      <c r="G36" s="28">
        <f>IF(G11="","",IFERROR(MIN(N(G11)+G16,G12+G13)/(G12+G13),""))</f>
        <v/>
      </c>
      <c r="H36" s="28">
        <f>IF(H11="","",IFERROR(MIN(N(H11)+H16,H12+H13)/(H12+H13),""))</f>
        <v/>
      </c>
      <c r="I36" s="28">
        <f>IF(I11="","",IFERROR(MIN(N(I11)+I16,I12+I13)/(I12+I13),""))</f>
        <v/>
      </c>
      <c r="J36" s="28">
        <f>IF(J11="","",IFERROR(MIN(N(J11)+J16,J12+J13)/(J12+J13),""))</f>
        <v/>
      </c>
      <c r="K36" s="28">
        <f>IF(K11="","",IFERROR(MIN(N(K11)+K16,K12+K13)/(K12+K13),""))</f>
        <v/>
      </c>
    </row>
    <row r="37">
      <c r="B37" s="19" t="inlineStr">
        <is>
          <t>Secured class recovery</t>
        </is>
      </c>
      <c r="C37" s="16" t="n"/>
      <c r="D37" s="46">
        <f>IF(D11="","",IFERROR(D35/D14,""))</f>
        <v/>
      </c>
      <c r="E37" s="46">
        <f>IF(E11="","",IFERROR(E35/E14,""))</f>
        <v/>
      </c>
      <c r="F37" s="46">
        <f>IF(F11="","",IFERROR(F35/F14,""))</f>
        <v/>
      </c>
      <c r="G37" s="46">
        <f>IF(G11="","",IFERROR(G35/G14,""))</f>
        <v/>
      </c>
      <c r="H37" s="46">
        <f>IF(H11="","",IFERROR(H35/H14,""))</f>
        <v/>
      </c>
      <c r="I37" s="46">
        <f>IF(I11="","",IFERROR(I35/I14,""))</f>
        <v/>
      </c>
      <c r="J37" s="46">
        <f>IF(J11="","",IFERROR(J35/J14,""))</f>
        <v/>
      </c>
      <c r="K37" s="46">
        <f>IF(K11="","",IFERROR(K35/K14,""))</f>
        <v/>
      </c>
    </row>
    <row r="38">
      <c r="B38" s="19" t="inlineStr">
        <is>
          <t>Unsecured pool recovery</t>
        </is>
      </c>
      <c r="C38" s="16" t="n"/>
      <c r="D38" s="46">
        <f>IF(D11="","",IFERROR(D33/D15,""))</f>
        <v/>
      </c>
      <c r="E38" s="46">
        <f>IF(E11="","",IFERROR(E33/E15,""))</f>
        <v/>
      </c>
      <c r="F38" s="46">
        <f>IF(F11="","",IFERROR(F33/F15,""))</f>
        <v/>
      </c>
      <c r="G38" s="46">
        <f>IF(G11="","",IFERROR(G33/G15,""))</f>
        <v/>
      </c>
      <c r="H38" s="46">
        <f>IF(H11="","",IFERROR(H33/H15,""))</f>
        <v/>
      </c>
      <c r="I38" s="46">
        <f>IF(I11="","",IFERROR(I33/I15,""))</f>
        <v/>
      </c>
      <c r="J38" s="46">
        <f>IF(J11="","",IFERROR(J33/J15,""))</f>
        <v/>
      </c>
      <c r="K38" s="46">
        <f>IF(K11="","",IFERROR(K33/K15,""))</f>
        <v/>
      </c>
    </row>
    <row r="39">
      <c r="B39" s="19" t="inlineStr">
        <is>
          <t>Fulcrum: the class partly paid</t>
        </is>
      </c>
      <c r="C39" s="16" t="n"/>
      <c r="D39" s="47">
        <f>IF(D11="","",IF(N(D11)+D16&lt;D12+D13,"Senior cash",IF(D35&lt;D14-0.0005,"Secured",IF(D33&lt;D15-0.0005,"Unsecured","Equity"))))</f>
        <v/>
      </c>
      <c r="E39" s="47">
        <f>IF(E11="","",IF(N(E11)+E16&lt;E12+E13,"Senior cash",IF(E35&lt;E14-0.0005,"Secured",IF(E33&lt;E15-0.0005,"Unsecured","Equity"))))</f>
        <v/>
      </c>
      <c r="F39" s="47">
        <f>IF(F11="","",IF(N(F11)+F16&lt;F12+F13,"Senior cash",IF(F35&lt;F14-0.0005,"Secured",IF(F33&lt;F15-0.0005,"Unsecured","Equity"))))</f>
        <v/>
      </c>
      <c r="G39" s="47">
        <f>IF(G11="","",IF(N(G11)+G16&lt;G12+G13,"Senior cash",IF(G35&lt;G14-0.0005,"Secured",IF(G33&lt;G15-0.0005,"Unsecured","Equity"))))</f>
        <v/>
      </c>
      <c r="H39" s="47">
        <f>IF(H11="","",IF(N(H11)+H16&lt;H12+H13,"Senior cash",IF(H35&lt;H14-0.0005,"Secured",IF(H33&lt;H15-0.0005,"Unsecured","Equity"))))</f>
        <v/>
      </c>
      <c r="I39" s="47">
        <f>IF(I11="","",IF(N(I11)+I16&lt;I12+I13,"Senior cash",IF(I35&lt;I14-0.0005,"Secured",IF(I33&lt;I15-0.0005,"Unsecured","Equity"))))</f>
        <v/>
      </c>
      <c r="J39" s="47">
        <f>IF(J11="","",IF(N(J11)+J16&lt;J12+J13,"Senior cash",IF(J35&lt;J14-0.0005,"Secured",IF(J33&lt;J15-0.0005,"Unsecured","Equity"))))</f>
        <v/>
      </c>
      <c r="K39" s="47">
        <f>IF(K11="","",IF(N(K11)+K16&lt;K12+K13,"Senior cash",IF(K35&lt;K14-0.0005,"Secured",IF(K33&lt;K15-0.0005,"Unsecured","Equity"))))</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B2:C22"/>
  <sheetViews>
    <sheetView showGridLines="0" workbookViewId="0">
      <selection activeCell="A1" sqref="A1"/>
    </sheetView>
  </sheetViews>
  <sheetFormatPr baseColWidth="8" defaultRowHeight="15"/>
  <cols>
    <col width="2" customWidth="1" min="1" max="1"/>
    <col width="96" customWidth="1" min="2" max="2"/>
    <col width="22" customWidth="1" min="3" max="3"/>
  </cols>
  <sheetData>
    <row r="1" ht="6" customHeight="1"/>
    <row r="2">
      <c r="B2" s="5" t="inlineStr">
        <is>
          <t>Checks: what is still empty, and whether the model holds together</t>
        </is>
      </c>
    </row>
    <row r="4">
      <c r="B4" s="19" t="inlineStr">
        <is>
          <t>All checks</t>
        </is>
      </c>
      <c r="C4" s="48">
        <f>IF(COUNTIF(C6:C22,"FAIL")=0,"no FAIL","FAIL: "&amp;COUNTIF(C6:C22,"FAIL"))</f>
        <v/>
      </c>
    </row>
    <row r="5">
      <c r="B5" s="11" t="inlineStr">
        <is>
          <t>Check</t>
        </is>
      </c>
      <c r="C5" s="12" t="inlineStr">
        <is>
          <t>Result</t>
        </is>
      </c>
    </row>
    <row r="6">
      <c r="B6" s="44" t="inlineStr">
        <is>
          <t>Inputs still empty: opening cash, minimum, at least one receipt and one disbursement, the six liquidity inputs, at least one claim, the unencumbered share, the cash above the minimum (0 if none), at least one enterprise value</t>
        </is>
      </c>
      <c r="C6" s="49">
        <f>IF((COUNTBLANK('1. Forecast'!D6)+COUNTBLANK('1. Forecast'!D7)+IF(COUNT('1. Forecast'!$E$12:$Q$14)=0,1,0)+IF(COUNT('1. Forecast'!$E$17:$Q$37)=0,1,0)+COUNTBLANK('1. Forecast'!D60:D65)+IF(COUNT('4. Creditor map'!E12:E31)=0,1,0)+COUNTBLANK('5. Waterfall'!D5)+COUNTBLANK('5. Waterfall'!D6)+IF(COUNT('5. Waterfall'!$D$11:$K$11)=0,1,0))=0,"OK",(COUNTBLANK('1. Forecast'!D6)+COUNTBLANK('1. Forecast'!D7)+IF(COUNT('1. Forecast'!$E$12:$Q$14)=0,1,0)+IF(COUNT('1. Forecast'!$E$17:$Q$37)=0,1,0)+COUNTBLANK('1. Forecast'!D60:D65)+IF(COUNT('4. Creditor map'!E12:E31)=0,1,0)+COUNTBLANK('5. Waterfall'!D5)+COUNTBLANK('5. Waterfall'!D6)+IF(COUNT('5. Waterfall'!$D$11:$K$11)=0,1,0))&amp;" to fill")</f>
        <v/>
      </c>
    </row>
    <row r="7">
      <c r="B7" s="44" t="inlineStr">
        <is>
          <t>Every week: ending cash is opening cash plus net flow</t>
        </is>
      </c>
      <c r="C7" s="49">
        <f>IF(SUMPRODUCT(ABS('1. Forecast'!$E$45:$Q$45-'1. Forecast'!$E$44:$Q$44-'1. Forecast'!$E$43:$Q$43))&lt;1E-9,"OK","FAIL")</f>
        <v/>
      </c>
    </row>
    <row r="8">
      <c r="B8" s="44" t="inlineStr">
        <is>
          <t>Week 13 ending cash is week 0 cash plus the 13-week net flow</t>
        </is>
      </c>
      <c r="C8" s="49">
        <f>IF(ABS('1. Forecast'!Q45-'1. Forecast'!D6-'1. Forecast'!R43)&lt;1E-9,"OK","FAIL")</f>
        <v/>
      </c>
    </row>
    <row r="9">
      <c r="B9" s="44" t="inlineStr">
        <is>
          <t>Net flow over 13 weeks is receipts less operating disbursements, advisers and debt service, plus financing</t>
        </is>
      </c>
      <c r="C9" s="49">
        <f>IF(ABS('1. Forecast'!R43-('1. Forecast'!R15-'1. Forecast'!R26-'1. Forecast'!R31-'1. Forecast'!R38+'1. Forecast'!R42))&lt;1E-9,"OK","FAIL")</f>
        <v/>
      </c>
    </row>
    <row r="10">
      <c r="B10" s="44" t="inlineStr">
        <is>
          <t>Operating cash flow is receipts less operating disbursements, before advisers and debt service</t>
        </is>
      </c>
      <c r="C10" s="49">
        <f>IF(ABS('1. Forecast'!R27-'1. Forecast'!R15+'1. Forecast'!R26)&lt;1E-9,"OK","FAIL")</f>
        <v/>
      </c>
    </row>
    <row r="11">
      <c r="B11" s="44" t="inlineStr">
        <is>
          <t>Usable liquidity never exceeds liquidity on paper less the minimum</t>
        </is>
      </c>
      <c r="C11" s="49">
        <f>IF(SUMPRODUCT(('1. Forecast'!$D$73:$Q$73&gt;'1. Forecast'!$D$72:$Q$72-'1. Forecast'!$D$7+1E-9)*1)=0,"OK","FAIL")</f>
        <v/>
      </c>
    </row>
    <row r="12">
      <c r="B12" s="44" t="inlineStr">
        <is>
          <t>Revolver drawn at week 0 is within the commitments</t>
        </is>
      </c>
      <c r="C12" s="49">
        <f>IF(N('1. Forecast'!D61)&lt;=N('1. Forecast'!D60),"OK","FAIL")</f>
        <v/>
      </c>
    </row>
    <row r="13">
      <c r="B13" s="44" t="inlineStr">
        <is>
          <t>Variance report: every classified variance is Timing or Permanent</t>
        </is>
      </c>
      <c r="C13" s="49">
        <f>IF(COUNTA('2. Variance'!G12:G32)=COUNTIF('2. Variance'!G12:G32,"Timing")+COUNTIF('2. Variance'!G12:G32,"Permanent"),"OK","FAIL")</f>
        <v/>
      </c>
    </row>
    <row r="14">
      <c r="B14" s="44" t="inlineStr">
        <is>
          <t>Variance report: timing plus permanent plus unclassified equals the net variance</t>
        </is>
      </c>
      <c r="C14" s="49">
        <f>IF(ABS('2. Variance'!D7+'2. Variance'!D8+'2. Variance'!D9-'2. Variance'!D6)&lt;1E-9,"OK","FAIL")</f>
        <v/>
      </c>
    </row>
    <row r="15">
      <c r="B15" s="44" t="inlineStr">
        <is>
          <t>Variance by week: the permanent part never exceeds the weeks reported</t>
        </is>
      </c>
      <c r="C15" s="49">
        <f>IF(COUNT('3. Variance by week'!I6:I18)&lt;=COUNT('3. Variance by week'!G6:G18),"OK","FAIL")</f>
        <v/>
      </c>
    </row>
    <row r="16">
      <c r="B16" s="44" t="inlineStr">
        <is>
          <t>Creditor map: every claim with an amount has a treatment</t>
        </is>
      </c>
      <c r="C16" s="49">
        <f>IF(COUNT('4. Creditor map'!E12:E31)=COUNTIF('4. Creditor map'!D12:D31,"Senior on collateral")+COUNTIF('4. Creditor map'!D12:D31,"Senior unencumbered first")+COUNTIF('4. Creditor map'!D12:D31,"Secured")+COUNTIF('4. Creditor map'!D12:D31,"Unsecured"),"OK","FAIL")</f>
        <v/>
      </c>
    </row>
    <row r="17">
      <c r="B17" s="44" t="inlineStr">
        <is>
          <t>Unencumbered share is between 0% and 100%</t>
        </is>
      </c>
      <c r="C17" s="49">
        <f>IF(AND(N('5. Waterfall'!D5)&gt;=0,N('5. Waterfall'!D5)&lt;1),"OK","FAIL")</f>
        <v/>
      </c>
    </row>
    <row r="18">
      <c r="B18" s="44" t="inlineStr">
        <is>
          <t>Cash above the minimum is zero or positive</t>
        </is>
      </c>
      <c r="C18" s="49">
        <f>IF(N('5. Waterfall'!D6)&gt;=0,"OK","FAIL")</f>
        <v/>
      </c>
    </row>
    <row r="19">
      <c r="B19" s="44" t="inlineStr">
        <is>
          <t>Waterfall conserves value: secured plus unsecured plus equity equals enterprise value plus cash less the senior cash claims, at every enterprise value</t>
        </is>
      </c>
      <c r="C19" s="49">
        <f>IF(SUMPRODUCT(ABS('5. Waterfall'!$D$35:$K$35+'5. Waterfall'!$D$33:$K$33+'5. Waterfall'!$D$34:$K$34-'5. Waterfall'!$D$17:$K$17))&lt;1E-6,"OK","FAIL")</f>
        <v/>
      </c>
    </row>
    <row r="20">
      <c r="B20" s="44" t="inlineStr">
        <is>
          <t>No class receives more than its claim</t>
        </is>
      </c>
      <c r="C20" s="49">
        <f>IF(AND(MAX('5. Waterfall'!$D$35:$K$35)&lt;=N('4. Creditor map'!E7)+1E-9,MAX('5. Waterfall'!$D$33:$K$33)&lt;=N('4. Creditor map'!E8)+1E-9),"OK","FAIL")</f>
        <v/>
      </c>
    </row>
    <row r="21">
      <c r="B21" s="44" t="inlineStr">
        <is>
          <t>At the value on line 7 of sheet 5 the collateral, after the senior claims charged to it, exactly covers the secured claim</t>
        </is>
      </c>
      <c r="C21" s="49">
        <f>IF(IF(N('5. Waterfall'!D7)=0,TRUE,ABS((MAX(0,(1-'5. Waterfall'!D5)*'5. Waterfall'!D7+N('5. Waterfall'!D6)-'4. Creditor map'!E5-'4. Creditor map'!E6+MIN('5. Waterfall'!D5*'5. Waterfall'!D7,'4. Creditor map'!E6)))-'4. Creditor map'!E7)&lt;1E-6),"OK","FAIL")</f>
        <v/>
      </c>
    </row>
    <row r="22">
      <c r="B22" s="44" t="inlineStr">
        <is>
          <t>Recoveries never fall as enterprise value rises (enter values in ascending order to use this check)</t>
        </is>
      </c>
      <c r="C22" s="49">
        <f>IF(SUMPRODUCT(('5. Waterfall'!$E$11:$K$11&lt;&gt;"")*('5. Waterfall'!$E$11:$K$11&gt;='5. Waterfall'!$D$11:$J$11)*(('5. Waterfall'!$E$35:$K$35&lt;'5. Waterfall'!$D$35:$J$35-1E-9)+('5. Waterfall'!$E$33:$K$33&lt;'5. Waterfall'!$D$33:$J$33-1E-9)))=0,"OK","FAIL")</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2026-09-23T22:17:51Z</dcterms:created>
  <dcterms:modified xmlns:dcterms="http://purl.org/dc/terms/" xmlns:xsi="http://www.w3.org/2001/XMLSchema-instance" xsi:type="dcterms:W3CDTF">2026-09-23T22:17:51Z</dcterms:modified>
</cp:coreProperties>
</file>