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1. The tape" sheetId="2" state="visible" r:id="rId4"/>
    <sheet name="2. Fund level" sheetId="3" state="visible" r:id="rId5"/>
    <sheet name="3. Debt" sheetId="4" state="visible" r:id="rId6"/>
    <sheet name="4. Stress" sheetId="5" state="visible" r:id="rId7"/>
    <sheet name="5. Scenarios"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<sst xmlns="http://schemas.openxmlformats.org/spreadsheetml/2006/main" count="156" uniqueCount="141">
  <si>
    <t xml:space="preserve">Pricing from the tape</t>
  </si>
  <si>
    <t xml:space="preserve">Companion workbook to The Real Estate Secondaries Investor</t>
  </si>
  <si>
    <t xml:space="preserve">The second road to a value: rebuild the net asset value from rents, yields and capital expenditure, without using the reported figure at all.</t>
  </si>
  <si>
    <t xml:space="preserve">Chapters 10 to 12. Replace the six rows of sheet 1 with your own tape and the rest of the file follows.</t>
  </si>
  <si>
    <t xml:space="preserve">What each column does</t>
  </si>
  <si>
    <t xml:space="preserve">Estimated rental value — what the space would let for today.</t>
  </si>
  <si>
    <t xml:space="preserve">Non-recoverable ratio — the share of that rent consumed by costs the tenant does not reimburse.</t>
  </si>
  <si>
    <t xml:space="preserve">Exit yield — the capitalisation rate you would apply. This is where your view differs most from the valuer's and where most of the value sits.</t>
  </si>
  <si>
    <t xml:space="preserve">Capital expenditure — everything that must be spent before the rent above is collectable.</t>
  </si>
  <si>
    <t xml:space="preserve">Read sheet 4 before you bid</t>
  </si>
  <si>
    <t xml:space="preserve">Twenty-five basis points on the exit yields moves the value of the interest by more than the whole unsmoothing argument of the other workbook. Getting the yields right matters more than getting alpha right.</t>
  </si>
  <si>
    <t xml:space="preserve">Conventions</t>
  </si>
  <si>
    <t xml:space="preserve">Blue text on a pale blue fill — an input, you may edit these.</t>
  </si>
  <si>
    <t xml:space="preserve">Yellow fill — the carrying assumption of the sheet, the one to argue about first.</t>
  </si>
  <si>
    <t xml:space="preserve">Black text — a formula, do not overtype these.</t>
  </si>
  <si>
    <t xml:space="preserve">Nothing is locked, protected or watermarked. No macros, no external links.</t>
  </si>
  <si>
    <t xml:space="preserve">Revised 23 September 2026. New sheet 5 carries the six scenarios of Chapter 19, the refinancing headroom of Chapter 12 and the two thresholds, solved in the sheet: exit yields can rise by 45 basis points, or rental values fall by 7.3 per cent, before the offered price equals the rebuilt value. The book prints +46 and -7.4: its search moved in steps and stopped one step past the point. Sheet 6 holds thirty-five checks.</t>
  </si>
  <si>
    <t xml:space="preserve">Asset</t>
  </si>
  <si>
    <t xml:space="preserve">Sector</t>
  </si>
  <si>
    <t xml:space="preserve">ERV (EUR m)</t>
  </si>
  <si>
    <t xml:space="preserve">Non-recoverable</t>
  </si>
  <si>
    <t xml:space="preserve">Exit yield</t>
  </si>
  <si>
    <t xml:space="preserve">Capex (EUR m)</t>
  </si>
  <si>
    <t xml:space="preserve">NOI</t>
  </si>
  <si>
    <t xml:space="preserve">Gross value</t>
  </si>
  <si>
    <t xml:space="preserve">Net of capex</t>
  </si>
  <si>
    <t xml:space="preserve">Rotterdam</t>
  </si>
  <si>
    <t xml:space="preserve">Logistics</t>
  </si>
  <si>
    <t xml:space="preserve">Lyon</t>
  </si>
  <si>
    <t xml:space="preserve">Office</t>
  </si>
  <si>
    <t xml:space="preserve">Madrid</t>
  </si>
  <si>
    <t xml:space="preserve">Retail park</t>
  </si>
  <si>
    <t xml:space="preserve">Munich</t>
  </si>
  <si>
    <t xml:space="preserve">Milan</t>
  </si>
  <si>
    <t xml:space="preserve">Light industrial</t>
  </si>
  <si>
    <t xml:space="preserve">Berlin</t>
  </si>
  <si>
    <t xml:space="preserve">Residential</t>
  </si>
  <si>
    <t xml:space="preserve">Total</t>
  </si>
  <si>
    <t xml:space="preserve">From gross asset value to the interest</t>
  </si>
  <si>
    <t xml:space="preserve">Gross asset value, rebuilt (EUR m)</t>
  </si>
  <si>
    <t xml:space="preserve">Debt at the asset level</t>
  </si>
  <si>
    <t xml:space="preserve">Cash and working capital</t>
  </si>
  <si>
    <t xml:space="preserve">Accrued fees, expenses and carried interest</t>
  </si>
  <si>
    <t xml:space="preserve">Net asset value of the fund</t>
  </si>
  <si>
    <t xml:space="preserve">Share of the fund</t>
  </si>
  <si>
    <t xml:space="preserve">Value of the interest, rebuilt</t>
  </si>
  <si>
    <t xml:space="preserve">Reported net asset value of the interest</t>
  </si>
  <si>
    <t xml:space="preserve">Rebuilt against reported</t>
  </si>
  <si>
    <t xml:space="preserve">The loan carried at par, and what it is worth</t>
  </si>
  <si>
    <t xml:space="preserve">Debt outstanding (EUR m)</t>
  </si>
  <si>
    <t xml:space="preserve">All-in rate in place</t>
  </si>
  <si>
    <t xml:space="preserve">Remaining term (years)</t>
  </si>
  <si>
    <t xml:space="preserve">Market all-in rate today</t>
  </si>
  <si>
    <t xml:space="preserve">Interest per year</t>
  </si>
  <si>
    <t xml:space="preserve">Annuity factor at the market rate</t>
  </si>
  <si>
    <t xml:space="preserve">Market value of the loan</t>
  </si>
  <si>
    <t xml:space="preserve">Advantage to the fund</t>
  </si>
  <si>
    <t xml:space="preserve">The interest's share</t>
  </si>
  <si>
    <t xml:space="preserve">How wrong can you be?</t>
  </si>
  <si>
    <t xml:space="preserve">Shift applied to every exit yield</t>
  </si>
  <si>
    <t xml:space="preserve">Shift applied to every estimated rental value</t>
  </si>
  <si>
    <t xml:space="preserve">Stressed value</t>
  </si>
  <si>
    <t xml:space="preserve">Stressed gross asset value</t>
  </si>
  <si>
    <t xml:space="preserve">Stressed value of the interest</t>
  </si>
  <si>
    <t xml:space="preserve">Against the base case</t>
  </si>
  <si>
    <t xml:space="preserve">What moves the value, and how far before the price equals it</t>
  </si>
  <si>
    <t xml:space="preserve">Chapters 12 and 19. The shocks are steps, not data. The price and the lender's loan-to-value are inputs.</t>
  </si>
  <si>
    <t xml:space="preserve">Price offered for the interest (EUR m)</t>
  </si>
  <si>
    <t xml:space="preserve">Lender's maximum loan-to-value at refinancing</t>
  </si>
  <si>
    <t xml:space="preserve">Spot value from unsmoothing (The_Discount_You_Are_Actually_Paying.xlsx, sheet 3)</t>
  </si>
  <si>
    <t xml:space="preserve">Scenario</t>
  </si>
  <si>
    <t xml:space="preserve">Yield shift</t>
  </si>
  <si>
    <t xml:space="preserve">Rent change</t>
  </si>
  <si>
    <t xml:space="preserve">Capex change</t>
  </si>
  <si>
    <t xml:space="preserve">Value of the interest</t>
  </si>
  <si>
    <t xml:space="preserve">Change</t>
  </si>
  <si>
    <t xml:space="preserve">Base case</t>
  </si>
  <si>
    <t xml:space="preserve">Exit yields 25 bp higher</t>
  </si>
  <si>
    <t xml:space="preserve">Exit yields 50 bp higher</t>
  </si>
  <si>
    <t xml:space="preserve">Capital expenditure 20 per cent higher</t>
  </si>
  <si>
    <t xml:space="preserve">Rental values 5 per cent lower</t>
  </si>
  <si>
    <t xml:space="preserve">Yields 50 bp higher and rents 5 per cent lower</t>
  </si>
  <si>
    <t xml:space="preserve">How far before the price equals the value</t>
  </si>
  <si>
    <t xml:space="preserve">Exit yields higher by (solved below, rows 30 to 71)</t>
  </si>
  <si>
    <t xml:space="preserve">Or estimated rental values lower by (closed form)</t>
  </si>
  <si>
    <t xml:space="preserve">The book prints +46 basis points and -7.4 per cent: its search moved in steps and stopped one step past the point. The exact figures are the two above.</t>
  </si>
  <si>
    <t xml:space="preserve">The refinancing headroom (Chapter 12)</t>
  </si>
  <si>
    <t xml:space="preserve">Loan-to-value at the rebuilt gross asset value</t>
  </si>
  <si>
    <t xml:space="preserve">Gross asset value at which the loan is at the lender's maximum (EUR m)</t>
  </si>
  <si>
    <t xml:space="preserve">Fall in value before a refinancing needs new equity</t>
  </si>
  <si>
    <t xml:space="preserve">Two roads: rebuilt value against the unsmoothed value (Chapter 11)</t>
  </si>
  <si>
    <t xml:space="preserve">Rotterdam: share of the portfolio by value, and of the rent</t>
  </si>
  <si>
    <t xml:space="preserve">Rotterdam: gross value lost to 10 bp on its yield (EUR m)</t>
  </si>
  <si>
    <t xml:space="preserve">Step</t>
  </si>
  <si>
    <t xml:space="preserve">Low shift</t>
  </si>
  <si>
    <t xml:space="preserve">High shift</t>
  </si>
  <si>
    <t xml:space="preserve">Mid shift</t>
  </si>
  <si>
    <t xml:space="preserve">Value less price</t>
  </si>
  <si>
    <t xml:space="preserve">Result</t>
  </si>
  <si>
    <t xml:space="preserve">Checks — every figure the book prints, and what holds for any inputs</t>
  </si>
  <si>
    <t xml:space="preserve">Column C is a live formula pointing into the model. Rows with a book figure compare with it; rows without one hold for any inputs.</t>
  </si>
  <si>
    <t xml:space="preserve">Check</t>
  </si>
  <si>
    <t xml:space="preserve">The book</t>
  </si>
  <si>
    <t xml:space="preserve">This file</t>
  </si>
  <si>
    <t xml:space="preserve">Status</t>
  </si>
  <si>
    <t xml:space="preserve">Note</t>
  </si>
  <si>
    <t xml:space="preserve">Ch. 10: gross asset value rebuilt from the tape, EUR m</t>
  </si>
  <si>
    <t xml:space="preserve">Ch. 10: net asset value of the fund, rebuilt, EUR m</t>
  </si>
  <si>
    <t xml:space="preserve">Ch. 10: value of the interest, rebuilt, EUR m</t>
  </si>
  <si>
    <t xml:space="preserve">Ch. 10: rebuilt against reported</t>
  </si>
  <si>
    <t xml:space="preserve">Ch. 3: fund net asset value implied by the interest, EUR m</t>
  </si>
  <si>
    <t xml:space="preserve">Ch. 10: Lyon, gross value before capital expenditure, EUR m</t>
  </si>
  <si>
    <t xml:space="preserve">Ch. 10: Rotterdam, share of the portfolio by value</t>
  </si>
  <si>
    <t xml:space="preserve">Ch. 10: Rotterdam, share of the rent</t>
  </si>
  <si>
    <t xml:space="preserve">Ch. 10: Rotterdam, 10 bp on its yield in gross value, EUR m</t>
  </si>
  <si>
    <t xml:space="preserve">Ch. 11: the two roads, rebuilt against unsmoothed</t>
  </si>
  <si>
    <t xml:space="preserve">Ch. 12: market value of the loan, EUR m</t>
  </si>
  <si>
    <t xml:space="preserve">Ch. 12: annuity factor at 5.40% over 2.5 years</t>
  </si>
  <si>
    <t xml:space="preserve">Ch. 12: present value of the principal, EUR m</t>
  </si>
  <si>
    <t xml:space="preserve">Ch. 12: advantage to the fund, EUR m</t>
  </si>
  <si>
    <t xml:space="preserve">Ch. 12: in-place debt advantage, this interest, EUR m</t>
  </si>
  <si>
    <t xml:space="preserve">Ch. 12: loan-to-value at the rebuilt value</t>
  </si>
  <si>
    <t xml:space="preserve">Ch. 12: value at the lender's 60 per cent, EUR m</t>
  </si>
  <si>
    <t xml:space="preserve">Ch. 12: fall before the refinancing needs equity</t>
  </si>
  <si>
    <t xml:space="preserve">Ch. 19: value change for 25 bp on the exit yields (sheet 4 at its default shift)</t>
  </si>
  <si>
    <t xml:space="preserve">Ch. 19 table: exit yields 25 bp higher, EUR m</t>
  </si>
  <si>
    <t xml:space="preserve">Ch. 19 table: the same, change</t>
  </si>
  <si>
    <t xml:space="preserve">Ch. 19 table: exit yields 50 bp higher, EUR m</t>
  </si>
  <si>
    <t xml:space="preserve">Ch. 19 table: capital expenditure 20 per cent higher, EUR m</t>
  </si>
  <si>
    <t xml:space="preserve">Ch. 19 table: rental values 5 per cent lower, EUR m</t>
  </si>
  <si>
    <t xml:space="preserve">Ch. 19 table: yields 50 bp higher and rents 5 per cent lower, EUR m</t>
  </si>
  <si>
    <t xml:space="preserve">Ch. 19: exit yield rise before the price equals the value</t>
  </si>
  <si>
    <t xml:space="preserve">revised: the book prints +46 bp (exact 45.4)</t>
  </si>
  <si>
    <t xml:space="preserve">Ch. 19: rental fall before the price equals the value</t>
  </si>
  <si>
    <t xml:space="preserve">revised: the book prints -7.4% (exact -7.32%)</t>
  </si>
  <si>
    <t xml:space="preserve">At the yield threshold, the value of the interest equals the price</t>
  </si>
  <si>
    <t xml:space="preserve">any inputs</t>
  </si>
  <si>
    <t xml:space="preserve">At the rental threshold, the value of the interest equals the price</t>
  </si>
  <si>
    <t xml:space="preserve">Sheet 4 at its own shocks gives the same value as the scenario formula</t>
  </si>
  <si>
    <t xml:space="preserve">The fund-level bridge adds up</t>
  </si>
  <si>
    <t xml:space="preserve">All checks</t>
  </si>
</sst>
</file>

<file path=xl/styles.xml><?xml version="1.0" encoding="utf-8"?>
<styleSheet xmlns="http://schemas.openxmlformats.org/spreadsheetml/2006/main">
  <numFmts count="13">
    <numFmt numFmtId="164" formatCode="General"/>
    <numFmt numFmtId="165" formatCode="0.00"/>
    <numFmt numFmtId="166" formatCode="0.00%"/>
    <numFmt numFmtId="167" formatCode="0.0"/>
    <numFmt numFmtId="168" formatCode="0.000"/>
    <numFmt numFmtId="169" formatCode="#,##0.00"/>
    <numFmt numFmtId="170" formatCode="0.0000%"/>
    <numFmt numFmtId="171" formatCode="0.0000"/>
    <numFmt numFmtId="172" formatCode="0%"/>
    <numFmt numFmtId="173" formatCode="0.0%"/>
    <numFmt numFmtId="174" formatCode="0.000000"/>
    <numFmt numFmtId="175" formatCode="#,##0.000"/>
    <numFmt numFmtId="176" formatCode="#,##0.0"/>
  </numFmts>
  <fonts count="17">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libri"/>
      <family val="0"/>
      <charset val="1"/>
    </font>
    <font>
      <b val="true"/>
      <sz val="11"/>
      <name val="Cambria"/>
      <family val="0"/>
      <charset val="1"/>
    </font>
    <font>
      <sz val="11"/>
      <color rgb="FF1F4E79"/>
      <name val="Cambria"/>
      <family val="0"/>
      <charset val="1"/>
    </font>
    <font>
      <b val="true"/>
      <sz val="11"/>
      <color rgb="FF1F4E79"/>
      <name val="Cambria"/>
      <family val="0"/>
      <charset val="1"/>
    </font>
    <font>
      <b val="true"/>
      <sz val="13"/>
      <color rgb="FF1F3864"/>
      <name val="Cambria"/>
      <family val="0"/>
      <charset val="1"/>
    </font>
    <font>
      <b val="true"/>
      <sz val="13"/>
      <color rgb="FF1F3864"/>
      <name val="Calibri"/>
      <family val="0"/>
      <charset val="1"/>
    </font>
    <font>
      <sz val="10"/>
      <color rgb="FF555555"/>
      <name val="Calibri"/>
      <family val="0"/>
      <charset val="1"/>
    </font>
    <font>
      <sz val="11"/>
      <color rgb="FF1F4E79"/>
      <name val="Calibri"/>
      <family val="0"/>
      <charset val="1"/>
    </font>
    <font>
      <b val="true"/>
      <sz val="11"/>
      <color rgb="FFFFFFFF"/>
      <name val="Calibri"/>
      <family val="0"/>
      <charset val="1"/>
    </font>
    <font>
      <b val="true"/>
      <sz val="11"/>
      <name val="Calibri"/>
      <family val="0"/>
      <charset val="1"/>
    </font>
  </fonts>
  <fills count="5">
    <fill>
      <patternFill patternType="none"/>
    </fill>
    <fill>
      <patternFill patternType="gray125"/>
    </fill>
    <fill>
      <patternFill patternType="solid">
        <fgColor rgb="FFDCE9F7"/>
        <bgColor rgb="FFCCFFFF"/>
      </patternFill>
    </fill>
    <fill>
      <patternFill patternType="solid">
        <fgColor rgb="FFFFF2CC"/>
        <bgColor rgb="FFFFFFFF"/>
      </patternFill>
    </fill>
    <fill>
      <patternFill patternType="solid">
        <fgColor rgb="FF1F3864"/>
        <bgColor rgb="FF1F4E79"/>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6" fontId="10" fillId="3"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9" fillId="2"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0" fontId="9" fillId="2"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9" fontId="14" fillId="2" borderId="0" xfId="0" applyFont="true" applyBorder="false" applyAlignment="false" applyProtection="false">
      <alignment horizontal="general" vertical="bottom" textRotation="0" wrapText="false" indent="0" shrinkToFit="false"/>
      <protection locked="true" hidden="false"/>
    </xf>
    <xf numFmtId="172" fontId="14" fillId="2" borderId="0" xfId="0" applyFont="true" applyBorder="false" applyAlignment="fals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center" textRotation="0" wrapText="true" indent="0" shrinkToFit="false"/>
      <protection locked="true" hidden="false"/>
    </xf>
    <xf numFmtId="166" fontId="14" fillId="2" borderId="0" xfId="0" applyFont="true" applyBorder="false" applyAlignment="false" applyProtection="false">
      <alignment horizontal="general" vertical="bottom" textRotation="0" wrapText="false" indent="0" shrinkToFit="false"/>
      <protection locked="true" hidden="false"/>
    </xf>
    <xf numFmtId="173" fontId="14" fillId="2"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73" fontId="16"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25.5" hidden="false" customHeight="true" outlineLevel="0" collapsed="false">
      <c r="A4" s="3" t="s">
        <v>2</v>
      </c>
    </row>
    <row r="5" customFormat="false" ht="25.5" hidden="false" customHeight="true" outlineLevel="0" collapsed="false">
      <c r="A5" s="3" t="s">
        <v>3</v>
      </c>
    </row>
    <row r="7" customFormat="false" ht="15" hidden="false" customHeight="false" outlineLevel="0" collapsed="false">
      <c r="A7" s="4" t="s">
        <v>4</v>
      </c>
    </row>
    <row r="8" customFormat="false" ht="15" hidden="false" customHeight="true" outlineLevel="0" collapsed="false">
      <c r="A8" s="3" t="s">
        <v>5</v>
      </c>
    </row>
    <row r="9" customFormat="false" ht="15" hidden="false" customHeight="true" outlineLevel="0" collapsed="false">
      <c r="A9" s="3" t="s">
        <v>6</v>
      </c>
    </row>
    <row r="10" customFormat="false" ht="25.5" hidden="false" customHeight="true" outlineLevel="0" collapsed="false">
      <c r="A10" s="3" t="s">
        <v>7</v>
      </c>
    </row>
    <row r="11" customFormat="false" ht="15" hidden="false" customHeight="true" outlineLevel="0" collapsed="false">
      <c r="A11" s="3" t="s">
        <v>8</v>
      </c>
    </row>
    <row r="13" customFormat="false" ht="15" hidden="false" customHeight="false" outlineLevel="0" collapsed="false">
      <c r="A13" s="4" t="s">
        <v>9</v>
      </c>
    </row>
    <row r="14" customFormat="false" ht="39" hidden="false" customHeight="true" outlineLevel="0" collapsed="false">
      <c r="A14" s="3" t="s">
        <v>10</v>
      </c>
    </row>
    <row r="16" customFormat="false" ht="15" hidden="false" customHeight="false" outlineLevel="0" collapsed="false">
      <c r="A16" s="4"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row r="20" customFormat="false" ht="15" hidden="false" customHeight="true" outlineLevel="0" collapsed="false">
      <c r="A20" s="3" t="s">
        <v>15</v>
      </c>
    </row>
    <row r="22" customFormat="false" ht="75" hidden="false" customHeight="true" outlineLevel="0" collapsed="false">
      <c r="A22" s="5"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6"/>
    <col collapsed="false" customWidth="true" hidden="false" outlineLevel="0" max="2" min="2" style="0" width="18"/>
    <col collapsed="false" customWidth="true" hidden="false" outlineLevel="0" max="3" min="3" style="0" width="13"/>
    <col collapsed="false" customWidth="true" hidden="false" outlineLevel="0" max="4" min="4" style="0" width="15"/>
    <col collapsed="false" customWidth="true" hidden="false" outlineLevel="0" max="5" min="5" style="0" width="12"/>
    <col collapsed="false" customWidth="true" hidden="false" outlineLevel="0" max="6" min="6" style="0" width="13"/>
    <col collapsed="false" customWidth="true" hidden="false" outlineLevel="0" max="7" min="7" style="0" width="12"/>
    <col collapsed="false" customWidth="true" hidden="false" outlineLevel="0" max="9" min="8" style="0" width="13"/>
  </cols>
  <sheetData>
    <row r="1" customFormat="false" ht="28.35" hidden="false" customHeight="false" outlineLevel="0" collapsed="false">
      <c r="A1" s="6" t="s">
        <v>17</v>
      </c>
      <c r="B1" s="6" t="s">
        <v>18</v>
      </c>
      <c r="C1" s="6" t="s">
        <v>19</v>
      </c>
      <c r="D1" s="6" t="s">
        <v>20</v>
      </c>
      <c r="E1" s="6" t="s">
        <v>21</v>
      </c>
      <c r="F1" s="6" t="s">
        <v>22</v>
      </c>
      <c r="G1" s="6" t="s">
        <v>23</v>
      </c>
      <c r="H1" s="6" t="s">
        <v>24</v>
      </c>
      <c r="I1" s="6" t="s">
        <v>25</v>
      </c>
    </row>
    <row r="2" customFormat="false" ht="15" hidden="false" customHeight="false" outlineLevel="0" collapsed="false">
      <c r="A2" s="0" t="s">
        <v>26</v>
      </c>
      <c r="B2" s="0" t="s">
        <v>27</v>
      </c>
      <c r="C2" s="7" t="n">
        <v>6.2</v>
      </c>
      <c r="D2" s="8" t="n">
        <v>0.035</v>
      </c>
      <c r="E2" s="9" t="n">
        <v>0.0535</v>
      </c>
      <c r="F2" s="10" t="n">
        <v>1.5</v>
      </c>
      <c r="G2" s="11" t="n">
        <f aca="false">C2*(1-D2)</f>
        <v>5.983</v>
      </c>
      <c r="H2" s="12" t="n">
        <f aca="false">G2/E2</f>
        <v>111.831775700935</v>
      </c>
      <c r="I2" s="12" t="n">
        <f aca="false">H2-F2</f>
        <v>110.331775700935</v>
      </c>
    </row>
    <row r="3" customFormat="false" ht="15" hidden="false" customHeight="false" outlineLevel="0" collapsed="false">
      <c r="A3" s="0" t="s">
        <v>28</v>
      </c>
      <c r="B3" s="0" t="s">
        <v>29</v>
      </c>
      <c r="C3" s="7" t="n">
        <v>4.1</v>
      </c>
      <c r="D3" s="8" t="n">
        <v>0.12</v>
      </c>
      <c r="E3" s="9" t="n">
        <v>0.082</v>
      </c>
      <c r="F3" s="10" t="n">
        <v>12</v>
      </c>
      <c r="G3" s="11" t="n">
        <f aca="false">C3*(1-D3)</f>
        <v>3.608</v>
      </c>
      <c r="H3" s="12" t="n">
        <f aca="false">G3/E3</f>
        <v>44</v>
      </c>
      <c r="I3" s="12" t="n">
        <f aca="false">H3-F3</f>
        <v>32</v>
      </c>
    </row>
    <row r="4" customFormat="false" ht="15" hidden="false" customHeight="false" outlineLevel="0" collapsed="false">
      <c r="A4" s="0" t="s">
        <v>30</v>
      </c>
      <c r="B4" s="0" t="s">
        <v>31</v>
      </c>
      <c r="C4" s="7" t="n">
        <v>3.3</v>
      </c>
      <c r="D4" s="8" t="n">
        <v>0.06</v>
      </c>
      <c r="E4" s="9" t="n">
        <v>0.066</v>
      </c>
      <c r="F4" s="10" t="n">
        <v>0.8</v>
      </c>
      <c r="G4" s="11" t="n">
        <f aca="false">C4*(1-D4)</f>
        <v>3.102</v>
      </c>
      <c r="H4" s="12" t="n">
        <f aca="false">G4/E4</f>
        <v>47</v>
      </c>
      <c r="I4" s="12" t="n">
        <f aca="false">H4-F4</f>
        <v>46.2</v>
      </c>
    </row>
    <row r="5" customFormat="false" ht="15" hidden="false" customHeight="false" outlineLevel="0" collapsed="false">
      <c r="A5" s="0" t="s">
        <v>32</v>
      </c>
      <c r="B5" s="0" t="s">
        <v>29</v>
      </c>
      <c r="C5" s="7" t="n">
        <v>2.9</v>
      </c>
      <c r="D5" s="8" t="n">
        <v>0.1</v>
      </c>
      <c r="E5" s="9" t="n">
        <v>0.059</v>
      </c>
      <c r="F5" s="10" t="n">
        <v>2.4</v>
      </c>
      <c r="G5" s="11" t="n">
        <f aca="false">C5*(1-D5)</f>
        <v>2.61</v>
      </c>
      <c r="H5" s="12" t="n">
        <f aca="false">G5/E5</f>
        <v>44.2372881355932</v>
      </c>
      <c r="I5" s="12" t="n">
        <f aca="false">H5-F5</f>
        <v>41.8372881355932</v>
      </c>
    </row>
    <row r="6" customFormat="false" ht="15" hidden="false" customHeight="false" outlineLevel="0" collapsed="false">
      <c r="A6" s="0" t="s">
        <v>33</v>
      </c>
      <c r="B6" s="0" t="s">
        <v>34</v>
      </c>
      <c r="C6" s="7" t="n">
        <v>2.05</v>
      </c>
      <c r="D6" s="8" t="n">
        <v>0.04</v>
      </c>
      <c r="E6" s="9" t="n">
        <v>0.061</v>
      </c>
      <c r="F6" s="10" t="n">
        <v>0.6</v>
      </c>
      <c r="G6" s="11" t="n">
        <f aca="false">C6*(1-D6)</f>
        <v>1.968</v>
      </c>
      <c r="H6" s="12" t="n">
        <f aca="false">G6/E6</f>
        <v>32.2622950819672</v>
      </c>
      <c r="I6" s="12" t="n">
        <f aca="false">H6-F6</f>
        <v>31.6622950819672</v>
      </c>
    </row>
    <row r="7" customFormat="false" ht="15" hidden="false" customHeight="false" outlineLevel="0" collapsed="false">
      <c r="A7" s="0" t="s">
        <v>35</v>
      </c>
      <c r="B7" s="0" t="s">
        <v>36</v>
      </c>
      <c r="C7" s="7" t="n">
        <v>1.55</v>
      </c>
      <c r="D7" s="8" t="n">
        <v>0.22</v>
      </c>
      <c r="E7" s="9" t="n">
        <v>0.039</v>
      </c>
      <c r="F7" s="10" t="n">
        <v>1.2</v>
      </c>
      <c r="G7" s="11" t="n">
        <f aca="false">C7*(1-D7)</f>
        <v>1.209</v>
      </c>
      <c r="H7" s="12" t="n">
        <f aca="false">G7/E7</f>
        <v>31</v>
      </c>
      <c r="I7" s="12" t="n">
        <f aca="false">H7-F7</f>
        <v>29.8</v>
      </c>
    </row>
    <row r="8" customFormat="false" ht="15" hidden="false" customHeight="false" outlineLevel="0" collapsed="false">
      <c r="A8" s="13" t="s">
        <v>37</v>
      </c>
      <c r="C8" s="14" t="n">
        <f aca="false">SUM(C2:C7)</f>
        <v>20.1</v>
      </c>
      <c r="F8" s="14" t="n">
        <f aca="false">SUM(F2:F7)</f>
        <v>18.5</v>
      </c>
      <c r="H8" s="14" t="n">
        <f aca="false">SUM(H2:H7)</f>
        <v>310.331358918495</v>
      </c>
      <c r="I8" s="14" t="n">
        <f aca="false">SUM(I2:I7)</f>
        <v>291.831358918495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16"/>
  </cols>
  <sheetData>
    <row r="1" customFormat="false" ht="16.15" hidden="false" customHeight="false" outlineLevel="0" collapsed="false">
      <c r="A1" s="15" t="s">
        <v>38</v>
      </c>
    </row>
    <row r="3" customFormat="false" ht="15" hidden="false" customHeight="false" outlineLevel="0" collapsed="false">
      <c r="A3" s="0" t="s">
        <v>39</v>
      </c>
      <c r="B3" s="12" t="n">
        <f aca="false">'1. The tape'!I8</f>
        <v>291.831358918495</v>
      </c>
    </row>
    <row r="4" customFormat="false" ht="15" hidden="false" customHeight="false" outlineLevel="0" collapsed="false">
      <c r="A4" s="0" t="s">
        <v>40</v>
      </c>
      <c r="B4" s="16" t="n">
        <v>128</v>
      </c>
    </row>
    <row r="5" customFormat="false" ht="15" hidden="false" customHeight="false" outlineLevel="0" collapsed="false">
      <c r="A5" s="0" t="s">
        <v>41</v>
      </c>
      <c r="B5" s="16" t="n">
        <v>4.5</v>
      </c>
    </row>
    <row r="6" customFormat="false" ht="15" hidden="false" customHeight="false" outlineLevel="0" collapsed="false">
      <c r="A6" s="0" t="s">
        <v>42</v>
      </c>
      <c r="B6" s="16" t="n">
        <v>2.1</v>
      </c>
    </row>
    <row r="7" customFormat="false" ht="15" hidden="false" customHeight="false" outlineLevel="0" collapsed="false">
      <c r="A7" s="13" t="s">
        <v>43</v>
      </c>
      <c r="B7" s="12" t="n">
        <f aca="false">B3-B4+B5-B6</f>
        <v>166.231358918495</v>
      </c>
    </row>
    <row r="8" customFormat="false" ht="15" hidden="false" customHeight="false" outlineLevel="0" collapsed="false">
      <c r="A8" s="0" t="s">
        <v>44</v>
      </c>
      <c r="B8" s="8" t="n">
        <v>0.22</v>
      </c>
    </row>
    <row r="9" customFormat="false" ht="15" hidden="false" customHeight="false" outlineLevel="0" collapsed="false">
      <c r="A9" s="13" t="s">
        <v>45</v>
      </c>
      <c r="B9" s="12" t="n">
        <f aca="false">B7*B8</f>
        <v>36.5708989620689</v>
      </c>
    </row>
    <row r="11" customFormat="false" ht="15" hidden="false" customHeight="false" outlineLevel="0" collapsed="false">
      <c r="A11" s="0" t="s">
        <v>46</v>
      </c>
      <c r="B11" s="16" t="n">
        <v>38.5</v>
      </c>
    </row>
    <row r="12" customFormat="false" ht="15" hidden="false" customHeight="false" outlineLevel="0" collapsed="false">
      <c r="A12" s="0" t="s">
        <v>47</v>
      </c>
      <c r="B12" s="17" t="n">
        <f aca="false">B9/B11-1</f>
        <v>-0.0501065204657426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16"/>
  </cols>
  <sheetData>
    <row r="1" customFormat="false" ht="16.15" hidden="false" customHeight="false" outlineLevel="0" collapsed="false">
      <c r="A1" s="15" t="s">
        <v>48</v>
      </c>
    </row>
    <row r="3" customFormat="false" ht="15" hidden="false" customHeight="false" outlineLevel="0" collapsed="false">
      <c r="A3" s="0" t="s">
        <v>49</v>
      </c>
      <c r="B3" s="16" t="n">
        <v>128</v>
      </c>
    </row>
    <row r="4" customFormat="false" ht="15" hidden="false" customHeight="false" outlineLevel="0" collapsed="false">
      <c r="A4" s="0" t="s">
        <v>50</v>
      </c>
      <c r="B4" s="18" t="n">
        <v>0.031</v>
      </c>
    </row>
    <row r="5" customFormat="false" ht="15" hidden="false" customHeight="false" outlineLevel="0" collapsed="false">
      <c r="A5" s="0" t="s">
        <v>51</v>
      </c>
      <c r="B5" s="10" t="n">
        <v>2.5</v>
      </c>
    </row>
    <row r="6" customFormat="false" ht="15" hidden="false" customHeight="false" outlineLevel="0" collapsed="false">
      <c r="A6" s="0" t="s">
        <v>52</v>
      </c>
      <c r="B6" s="18" t="n">
        <v>0.054</v>
      </c>
    </row>
    <row r="7" customFormat="false" ht="15" hidden="false" customHeight="false" outlineLevel="0" collapsed="false">
      <c r="A7" s="0" t="s">
        <v>53</v>
      </c>
      <c r="B7" s="12" t="n">
        <f aca="false">B3*B4</f>
        <v>3.968</v>
      </c>
    </row>
    <row r="8" customFormat="false" ht="15" hidden="false" customHeight="false" outlineLevel="0" collapsed="false">
      <c r="A8" s="0" t="s">
        <v>54</v>
      </c>
      <c r="B8" s="19" t="n">
        <f aca="false">(1-(1+B6)^-B5)/B6</f>
        <v>2.28155881034114</v>
      </c>
    </row>
    <row r="9" customFormat="false" ht="15" hidden="false" customHeight="false" outlineLevel="0" collapsed="false">
      <c r="A9" s="0" t="s">
        <v>55</v>
      </c>
      <c r="B9" s="12" t="n">
        <f aca="false">B7*B8+B3/(1+B6)^B5</f>
        <v>121.283090862356</v>
      </c>
    </row>
    <row r="10" customFormat="false" ht="15" hidden="false" customHeight="false" outlineLevel="0" collapsed="false">
      <c r="A10" s="13" t="s">
        <v>56</v>
      </c>
      <c r="B10" s="12" t="n">
        <f aca="false">B3-B9</f>
        <v>6.71690913764432</v>
      </c>
    </row>
    <row r="11" customFormat="false" ht="15" hidden="false" customHeight="false" outlineLevel="0" collapsed="false">
      <c r="A11" s="13" t="s">
        <v>57</v>
      </c>
      <c r="B11" s="12" t="n">
        <f aca="false">B10*'2. Fund level'!B8</f>
        <v>1.47772001028175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0"/>
    <col collapsed="false" customWidth="true" hidden="false" outlineLevel="0" max="2" min="2" style="0" width="16"/>
    <col collapsed="false" customWidth="true" hidden="false" outlineLevel="0" max="4" min="3" style="0" width="15"/>
  </cols>
  <sheetData>
    <row r="1" customFormat="false" ht="16.15" hidden="false" customHeight="false" outlineLevel="0" collapsed="false">
      <c r="A1" s="15" t="s">
        <v>58</v>
      </c>
    </row>
    <row r="3" customFormat="false" ht="15" hidden="false" customHeight="false" outlineLevel="0" collapsed="false">
      <c r="A3" s="0" t="s">
        <v>59</v>
      </c>
      <c r="B3" s="8" t="n">
        <v>0.0025</v>
      </c>
    </row>
    <row r="4" customFormat="false" ht="15" hidden="false" customHeight="false" outlineLevel="0" collapsed="false">
      <c r="A4" s="0" t="s">
        <v>60</v>
      </c>
      <c r="B4" s="8" t="n">
        <v>0</v>
      </c>
    </row>
    <row r="6" customFormat="false" ht="15" hidden="false" customHeight="false" outlineLevel="0" collapsed="false">
      <c r="A6" s="6" t="s">
        <v>17</v>
      </c>
      <c r="B6" s="6" t="s">
        <v>61</v>
      </c>
    </row>
    <row r="7" customFormat="false" ht="15" hidden="false" customHeight="false" outlineLevel="0" collapsed="false">
      <c r="A7" s="0" t="s">
        <v>26</v>
      </c>
      <c r="B7" s="12" t="n">
        <f aca="false">'1. The tape'!C2*(1+$B$4)*(1-'1. The tape'!D2)/('1. The tape'!E2+$B$3)-'1. The tape'!F2</f>
        <v>105.339285714286</v>
      </c>
    </row>
    <row r="8" customFormat="false" ht="15" hidden="false" customHeight="false" outlineLevel="0" collapsed="false">
      <c r="A8" s="0" t="s">
        <v>28</v>
      </c>
      <c r="B8" s="12" t="n">
        <f aca="false">'1. The tape'!C3*(1+$B$4)*(1-'1. The tape'!D3)/('1. The tape'!E3+$B$3)-'1. The tape'!F3</f>
        <v>30.698224852071</v>
      </c>
    </row>
    <row r="9" customFormat="false" ht="15" hidden="false" customHeight="false" outlineLevel="0" collapsed="false">
      <c r="A9" s="0" t="s">
        <v>30</v>
      </c>
      <c r="B9" s="12" t="n">
        <f aca="false">'1. The tape'!C4*(1+$B$4)*(1-'1. The tape'!D4)/('1. The tape'!E4+$B$3)-'1. The tape'!F4</f>
        <v>44.4846715328467</v>
      </c>
    </row>
    <row r="10" customFormat="false" ht="15" hidden="false" customHeight="false" outlineLevel="0" collapsed="false">
      <c r="A10" s="0" t="s">
        <v>32</v>
      </c>
      <c r="B10" s="12" t="n">
        <f aca="false">'1. The tape'!C5*(1+$B$4)*(1-'1. The tape'!D5)/('1. The tape'!E5+$B$3)-'1. The tape'!F5</f>
        <v>40.0390243902439</v>
      </c>
    </row>
    <row r="11" customFormat="false" ht="15" hidden="false" customHeight="false" outlineLevel="0" collapsed="false">
      <c r="A11" s="0" t="s">
        <v>33</v>
      </c>
      <c r="B11" s="12" t="n">
        <f aca="false">'1. The tape'!C6*(1+$B$4)*(1-'1. The tape'!D6)/('1. The tape'!E6+$B$3)-'1. The tape'!F6</f>
        <v>30.392125984252</v>
      </c>
    </row>
    <row r="12" customFormat="false" ht="15" hidden="false" customHeight="false" outlineLevel="0" collapsed="false">
      <c r="A12" s="0" t="s">
        <v>35</v>
      </c>
      <c r="B12" s="12" t="n">
        <f aca="false">'1. The tape'!C7*(1+$B$4)*(1-'1. The tape'!D7)/('1. The tape'!E7+$B$3)-'1. The tape'!F7</f>
        <v>27.9325301204819</v>
      </c>
    </row>
    <row r="13" customFormat="false" ht="15" hidden="false" customHeight="false" outlineLevel="0" collapsed="false">
      <c r="A13" s="13" t="s">
        <v>62</v>
      </c>
      <c r="B13" s="12" t="n">
        <f aca="false">SUM(B7:B12)</f>
        <v>278.885862594181</v>
      </c>
    </row>
    <row r="14" customFormat="false" ht="15" hidden="false" customHeight="false" outlineLevel="0" collapsed="false">
      <c r="A14" s="13" t="s">
        <v>63</v>
      </c>
      <c r="B14" s="12" t="n">
        <f aca="false">(B13-'2. Fund level'!B4+'2. Fund level'!B5-'2. Fund level'!B6)*'2. Fund level'!B8</f>
        <v>33.7228897707199</v>
      </c>
    </row>
    <row r="15" customFormat="false" ht="15" hidden="false" customHeight="false" outlineLevel="0" collapsed="false">
      <c r="A15" s="0" t="s">
        <v>64</v>
      </c>
      <c r="B15" s="17" t="n">
        <f aca="false">B14/'2. Fund level'!B9-1</f>
        <v>-0.0778763790931959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4" min="2" style="0" width="14"/>
    <col collapsed="false" customWidth="true" hidden="false" outlineLevel="0" max="5" min="5" style="0" width="16"/>
    <col collapsed="false" customWidth="true" hidden="false" outlineLevel="0" max="6" min="6" style="0" width="14"/>
    <col collapsed="false" customWidth="true" hidden="false" outlineLevel="0" max="7" min="7" style="0" width="4"/>
  </cols>
  <sheetData>
    <row r="1" customFormat="false" ht="16.15" hidden="false" customHeight="false" outlineLevel="0" collapsed="false">
      <c r="A1" s="20" t="s">
        <v>65</v>
      </c>
    </row>
    <row r="2" customFormat="false" ht="15" hidden="false" customHeight="false" outlineLevel="0" collapsed="false">
      <c r="A2" s="21" t="s">
        <v>66</v>
      </c>
    </row>
    <row r="4" customFormat="false" ht="15" hidden="false" customHeight="false" outlineLevel="0" collapsed="false">
      <c r="A4" s="22" t="s">
        <v>67</v>
      </c>
      <c r="B4" s="23" t="n">
        <v>31.57</v>
      </c>
    </row>
    <row r="5" customFormat="false" ht="15" hidden="false" customHeight="false" outlineLevel="0" collapsed="false">
      <c r="A5" s="22" t="s">
        <v>68</v>
      </c>
      <c r="B5" s="24" t="n">
        <v>0.6</v>
      </c>
    </row>
    <row r="6" customFormat="false" ht="15" hidden="false" customHeight="false" outlineLevel="0" collapsed="false">
      <c r="A6" s="22" t="s">
        <v>69</v>
      </c>
      <c r="B6" s="23" t="n">
        <v>36.8906676817647</v>
      </c>
    </row>
    <row r="8" customFormat="false" ht="28.35" hidden="false" customHeight="false" outlineLevel="0" collapsed="false">
      <c r="A8" s="25" t="s">
        <v>70</v>
      </c>
      <c r="B8" s="25" t="s">
        <v>71</v>
      </c>
      <c r="C8" s="25" t="s">
        <v>72</v>
      </c>
      <c r="D8" s="25" t="s">
        <v>73</v>
      </c>
      <c r="E8" s="25" t="s">
        <v>74</v>
      </c>
      <c r="F8" s="25" t="s">
        <v>75</v>
      </c>
    </row>
    <row r="9" customFormat="false" ht="15" hidden="false" customHeight="false" outlineLevel="0" collapsed="false">
      <c r="A9" s="22" t="s">
        <v>76</v>
      </c>
      <c r="B9" s="26" t="n">
        <v>0</v>
      </c>
      <c r="C9" s="27" t="n">
        <v>0</v>
      </c>
      <c r="D9" s="24" t="n">
        <v>0</v>
      </c>
      <c r="E9" s="28" t="n">
        <f aca="false">(SUMPRODUCT('1. The tape'!$C$2:$C$7*(1+C9)*(1-'1. The tape'!$D$2:$D$7)/('1. The tape'!$E$2:$E$7+B9+('1. The tape'!$E$2:$E$7=0)))-SUM('1. The tape'!$F$2:$F$7)*(1+D9)-'2. Fund level'!$B$4+'2. Fund level'!$B$5-'2. Fund level'!$B$6)*'2. Fund level'!$B$8</f>
        <v>36.5708989620689</v>
      </c>
      <c r="F9" s="29" t="n">
        <f aca="false">E9/$E$9-1</f>
        <v>0</v>
      </c>
    </row>
    <row r="10" customFormat="false" ht="15" hidden="false" customHeight="false" outlineLevel="0" collapsed="false">
      <c r="A10" s="22" t="s">
        <v>77</v>
      </c>
      <c r="B10" s="26" t="n">
        <v>0.0025</v>
      </c>
      <c r="C10" s="27" t="n">
        <v>0</v>
      </c>
      <c r="D10" s="24" t="n">
        <v>0</v>
      </c>
      <c r="E10" s="28" t="n">
        <f aca="false">(SUMPRODUCT('1. The tape'!$C$2:$C$7*(1+C10)*(1-'1. The tape'!$D$2:$D$7)/('1. The tape'!$E$2:$E$7+B10+('1. The tape'!$E$2:$E$7=0)))-SUM('1. The tape'!$F$2:$F$7)*(1+D10)-'2. Fund level'!$B$4+'2. Fund level'!$B$5-'2. Fund level'!$B$6)*'2. Fund level'!$B$8</f>
        <v>33.7228897707199</v>
      </c>
      <c r="F10" s="29" t="n">
        <f aca="false">E10/$E$9-1</f>
        <v>-0.0778763790931956</v>
      </c>
    </row>
    <row r="11" customFormat="false" ht="15" hidden="false" customHeight="false" outlineLevel="0" collapsed="false">
      <c r="A11" s="22" t="s">
        <v>78</v>
      </c>
      <c r="B11" s="26" t="n">
        <v>0.005</v>
      </c>
      <c r="C11" s="27" t="n">
        <v>0</v>
      </c>
      <c r="D11" s="24" t="n">
        <v>0</v>
      </c>
      <c r="E11" s="28" t="n">
        <f aca="false">(SUMPRODUCT('1. The tape'!$C$2:$C$7*(1+C11)*(1-'1. The tape'!$D$2:$D$7)/('1. The tape'!$E$2:$E$7+B11+('1. The tape'!$E$2:$E$7=0)))-SUM('1. The tape'!$F$2:$F$7)*(1+D11)-'2. Fund level'!$B$4+'2. Fund level'!$B$5-'2. Fund level'!$B$6)*'2. Fund level'!$B$8</f>
        <v>31.110555087006</v>
      </c>
      <c r="F11" s="29" t="n">
        <f aca="false">E11/$E$9-1</f>
        <v>-0.149308440044811</v>
      </c>
    </row>
    <row r="12" customFormat="false" ht="15" hidden="false" customHeight="false" outlineLevel="0" collapsed="false">
      <c r="A12" s="22" t="s">
        <v>79</v>
      </c>
      <c r="B12" s="26" t="n">
        <v>0</v>
      </c>
      <c r="C12" s="27" t="n">
        <v>0</v>
      </c>
      <c r="D12" s="24" t="n">
        <v>0.2</v>
      </c>
      <c r="E12" s="28" t="n">
        <f aca="false">(SUMPRODUCT('1. The tape'!$C$2:$C$7*(1+C12)*(1-'1. The tape'!$D$2:$D$7)/('1. The tape'!$E$2:$E$7+B12+('1. The tape'!$E$2:$E$7=0)))-SUM('1. The tape'!$F$2:$F$7)*(1+D12)-'2. Fund level'!$B$4+'2. Fund level'!$B$5-'2. Fund level'!$B$6)*'2. Fund level'!$B$8</f>
        <v>35.7568989620689</v>
      </c>
      <c r="F12" s="29" t="n">
        <f aca="false">E12/$E$9-1</f>
        <v>-0.0222581348313116</v>
      </c>
    </row>
    <row r="13" customFormat="false" ht="15" hidden="false" customHeight="false" outlineLevel="0" collapsed="false">
      <c r="A13" s="22" t="s">
        <v>80</v>
      </c>
      <c r="B13" s="26" t="n">
        <v>0</v>
      </c>
      <c r="C13" s="27" t="n">
        <v>-0.05</v>
      </c>
      <c r="D13" s="24" t="n">
        <v>0</v>
      </c>
      <c r="E13" s="28" t="n">
        <f aca="false">(SUMPRODUCT('1. The tape'!$C$2:$C$7*(1+C13)*(1-'1. The tape'!$D$2:$D$7)/('1. The tape'!$E$2:$E$7+B13+('1. The tape'!$E$2:$E$7=0)))-SUM('1. The tape'!$F$2:$F$7)*(1+D13)-'2. Fund level'!$B$4+'2. Fund level'!$B$5-'2. Fund level'!$B$6)*'2. Fund level'!$B$8</f>
        <v>33.1572540139655</v>
      </c>
      <c r="F13" s="29" t="n">
        <f aca="false">E13/$E$9-1</f>
        <v>-0.0933432057998918</v>
      </c>
    </row>
    <row r="14" customFormat="false" ht="15" hidden="false" customHeight="false" outlineLevel="0" collapsed="false">
      <c r="A14" s="22" t="s">
        <v>81</v>
      </c>
      <c r="B14" s="26" t="n">
        <v>0.005</v>
      </c>
      <c r="C14" s="27" t="n">
        <v>-0.05</v>
      </c>
      <c r="D14" s="24" t="n">
        <v>0</v>
      </c>
      <c r="E14" s="28" t="n">
        <f aca="false">(SUMPRODUCT('1. The tape'!$C$2:$C$7*(1+C14)*(1-'1. The tape'!$D$2:$D$7)/('1. The tape'!$E$2:$E$7+B14+('1. The tape'!$E$2:$E$7=0)))-SUM('1. The tape'!$F$2:$F$7)*(1+D14)-'2. Fund level'!$B$4+'2. Fund level'!$B$5-'2. Fund level'!$B$6)*'2. Fund level'!$B$8</f>
        <v>27.9699273326557</v>
      </c>
      <c r="F14" s="29" t="n">
        <f aca="false">E14/$E$9-1</f>
        <v>-0.235186223842463</v>
      </c>
    </row>
    <row r="16" customFormat="false" ht="15" hidden="false" customHeight="false" outlineLevel="0" collapsed="false">
      <c r="A16" s="30" t="s">
        <v>82</v>
      </c>
    </row>
    <row r="17" customFormat="false" ht="15" hidden="false" customHeight="false" outlineLevel="0" collapsed="false">
      <c r="A17" s="22" t="s">
        <v>83</v>
      </c>
      <c r="B17" s="31" t="n">
        <f aca="false">F71</f>
        <v>0.00454483518107054</v>
      </c>
    </row>
    <row r="18" customFormat="false" ht="15" hidden="false" customHeight="false" outlineLevel="0" collapsed="false">
      <c r="A18" s="22" t="s">
        <v>84</v>
      </c>
      <c r="B18" s="31" t="n">
        <f aca="false">('5. Scenarios'!B4/'2. Fund level'!B8+'2. Fund level'!B4-'2. Fund level'!B5+'2. Fund level'!B6+'1. The tape'!F8)/'1. The tape'!H8-1</f>
        <v>-0.0732486687704194</v>
      </c>
    </row>
    <row r="19" customFormat="false" ht="15" hidden="false" customHeight="false" outlineLevel="0" collapsed="false">
      <c r="A19" s="21" t="s">
        <v>85</v>
      </c>
    </row>
    <row r="21" customFormat="false" ht="15" hidden="false" customHeight="false" outlineLevel="0" collapsed="false">
      <c r="A21" s="30" t="s">
        <v>86</v>
      </c>
    </row>
    <row r="22" customFormat="false" ht="15" hidden="false" customHeight="false" outlineLevel="0" collapsed="false">
      <c r="A22" s="22" t="s">
        <v>87</v>
      </c>
      <c r="B22" s="29" t="n">
        <f aca="false">'2. Fund level'!B4/'1. The tape'!I8</f>
        <v>0.438609478002495</v>
      </c>
    </row>
    <row r="23" customFormat="false" ht="15" hidden="false" customHeight="false" outlineLevel="0" collapsed="false">
      <c r="A23" s="22" t="s">
        <v>88</v>
      </c>
      <c r="B23" s="28" t="n">
        <f aca="false">'2. Fund level'!B4/B5</f>
        <v>213.333333333333</v>
      </c>
    </row>
    <row r="24" customFormat="false" ht="15" hidden="false" customHeight="false" outlineLevel="0" collapsed="false">
      <c r="A24" s="22" t="s">
        <v>89</v>
      </c>
      <c r="B24" s="32" t="n">
        <f aca="false">1-B23/'1. The tape'!I8</f>
        <v>0.268984203329174</v>
      </c>
    </row>
    <row r="25" customFormat="false" ht="15" hidden="false" customHeight="false" outlineLevel="0" collapsed="false">
      <c r="A25" s="22" t="s">
        <v>90</v>
      </c>
      <c r="B25" s="33" t="n">
        <f aca="false">'2. Fund level'!B9/B6-1</f>
        <v>-0.00866801117437854</v>
      </c>
    </row>
    <row r="26" customFormat="false" ht="15" hidden="false" customHeight="false" outlineLevel="0" collapsed="false">
      <c r="A26" s="22" t="s">
        <v>91</v>
      </c>
      <c r="B26" s="29" t="n">
        <f aca="false">'1. The tape'!I2/'1. The tape'!I8</f>
        <v>0.378066894900589</v>
      </c>
      <c r="C26" s="29" t="n">
        <f aca="false">'1. The tape'!C2/'1. The tape'!C8</f>
        <v>0.308457711442786</v>
      </c>
    </row>
    <row r="27" customFormat="false" ht="15" hidden="false" customHeight="false" outlineLevel="0" collapsed="false">
      <c r="A27" s="22" t="s">
        <v>92</v>
      </c>
      <c r="B27" s="28" t="n">
        <f aca="false">'1. The tape'!H2-'1. The tape'!G2/('1. The tape'!E2+0.001)</f>
        <v>2.05195918717311</v>
      </c>
    </row>
    <row r="29" customFormat="false" ht="15" hidden="false" customHeight="false" outlineLevel="0" collapsed="false">
      <c r="A29" s="25" t="s">
        <v>93</v>
      </c>
      <c r="B29" s="25" t="s">
        <v>94</v>
      </c>
      <c r="C29" s="25" t="s">
        <v>95</v>
      </c>
      <c r="D29" s="25" t="s">
        <v>96</v>
      </c>
      <c r="E29" s="25" t="s">
        <v>97</v>
      </c>
      <c r="F29" s="25" t="s">
        <v>98</v>
      </c>
    </row>
    <row r="30" customFormat="false" ht="15" hidden="false" customHeight="false" outlineLevel="0" collapsed="false">
      <c r="A30" s="0" t="n">
        <v>1</v>
      </c>
      <c r="B30" s="34" t="n">
        <v>0</v>
      </c>
      <c r="C30" s="34" t="n">
        <v>0.05</v>
      </c>
      <c r="D30" s="34" t="n">
        <f aca="false">(B30+C30)/2</f>
        <v>0.025</v>
      </c>
      <c r="E30" s="34" t="n">
        <f aca="false">(SUMPRODUCT('1. The tape'!$C$2:$C$7*(1+0)*(1-'1. The tape'!$D$2:$D$7)/('1. The tape'!$E$2:$E$7+D30+('1. The tape'!$E$2:$E$7=0)))-SUM('1. The tape'!$F$2:$F$7)*(1+0)-'2. Fund level'!$B$4+'2. Fund level'!$B$5-'2. Fund level'!$B$6)*'2. Fund level'!$B$8-$B$4</f>
        <v>-15.5606278811826</v>
      </c>
    </row>
    <row r="31" customFormat="false" ht="15" hidden="false" customHeight="false" outlineLevel="0" collapsed="false">
      <c r="A31" s="0" t="n">
        <v>2</v>
      </c>
      <c r="B31" s="34" t="n">
        <f aca="false">IF(E30&gt;0,D30,B30)</f>
        <v>0</v>
      </c>
      <c r="C31" s="34" t="n">
        <f aca="false">IF(E30&gt;0,C30,D30)</f>
        <v>0.025</v>
      </c>
      <c r="D31" s="34" t="n">
        <f aca="false">(B31+C31)/2</f>
        <v>0.0125</v>
      </c>
      <c r="E31" s="34" t="n">
        <f aca="false">(SUMPRODUCT('1. The tape'!$C$2:$C$7*(1+0)*(1-'1. The tape'!$D$2:$D$7)/('1. The tape'!$E$2:$E$7+D31+('1. The tape'!$E$2:$E$7=0)))-SUM('1. The tape'!$F$2:$F$7)*(1+0)-'2. Fund level'!$B$4+'2. Fund level'!$B$5-'2. Fund level'!$B$6)*'2. Fund level'!$B$8-$B$4</f>
        <v>-7.14954509253463</v>
      </c>
    </row>
    <row r="32" customFormat="false" ht="15" hidden="false" customHeight="false" outlineLevel="0" collapsed="false">
      <c r="A32" s="0" t="n">
        <v>3</v>
      </c>
      <c r="B32" s="34" t="n">
        <f aca="false">IF(E31&gt;0,D31,B31)</f>
        <v>0</v>
      </c>
      <c r="C32" s="34" t="n">
        <f aca="false">IF(E31&gt;0,C31,D31)</f>
        <v>0.0125</v>
      </c>
      <c r="D32" s="34" t="n">
        <f aca="false">(B32+C32)/2</f>
        <v>0.00625</v>
      </c>
      <c r="E32" s="34" t="n">
        <f aca="false">(SUMPRODUCT('1. The tape'!$C$2:$C$7*(1+0)*(1-'1. The tape'!$D$2:$D$7)/('1. The tape'!$E$2:$E$7+D32+('1. The tape'!$E$2:$E$7=0)))-SUM('1. The tape'!$F$2:$F$7)*(1+0)-'2. Fund level'!$B$4+'2. Fund level'!$B$5-'2. Fund level'!$B$6)*'2. Fund level'!$B$8-$B$4</f>
        <v>-1.68648204458458</v>
      </c>
    </row>
    <row r="33" customFormat="false" ht="15" hidden="false" customHeight="false" outlineLevel="0" collapsed="false">
      <c r="A33" s="0" t="n">
        <v>4</v>
      </c>
      <c r="B33" s="34" t="n">
        <f aca="false">IF(E32&gt;0,D32,B32)</f>
        <v>0</v>
      </c>
      <c r="C33" s="34" t="n">
        <f aca="false">IF(E32&gt;0,C32,D32)</f>
        <v>0.00625</v>
      </c>
      <c r="D33" s="34" t="n">
        <f aca="false">(B33+C33)/2</f>
        <v>0.003125</v>
      </c>
      <c r="E33" s="34" t="n">
        <f aca="false">(SUMPRODUCT('1. The tape'!$C$2:$C$7*(1+0)*(1-'1. The tape'!$D$2:$D$7)/('1. The tape'!$E$2:$E$7+D33+('1. The tape'!$E$2:$E$7=0)))-SUM('1. The tape'!$F$2:$F$7)*(1+0)-'2. Fund level'!$B$4+'2. Fund level'!$B$5-'2. Fund level'!$B$6)*'2. Fund level'!$B$8-$B$4</f>
        <v>1.47893375973501</v>
      </c>
    </row>
    <row r="34" customFormat="false" ht="15" hidden="false" customHeight="false" outlineLevel="0" collapsed="false">
      <c r="A34" s="0" t="n">
        <v>5</v>
      </c>
      <c r="B34" s="34" t="n">
        <f aca="false">IF(E33&gt;0,D33,B33)</f>
        <v>0.003125</v>
      </c>
      <c r="C34" s="34" t="n">
        <f aca="false">IF(E33&gt;0,C33,D33)</f>
        <v>0.00625</v>
      </c>
      <c r="D34" s="34" t="n">
        <f aca="false">(B34+C34)/2</f>
        <v>0.0046875</v>
      </c>
      <c r="E34" s="34" t="n">
        <f aca="false">(SUMPRODUCT('1. The tape'!$C$2:$C$7*(1+0)*(1-'1. The tape'!$D$2:$D$7)/('1. The tape'!$E$2:$E$7+D34+('1. The tape'!$E$2:$E$7=0)))-SUM('1. The tape'!$F$2:$F$7)*(1+0)-'2. Fund level'!$B$4+'2. Fund level'!$B$5-'2. Fund level'!$B$6)*'2. Fund level'!$B$8-$B$4</f>
        <v>-0.144751937406035</v>
      </c>
    </row>
    <row r="35" customFormat="false" ht="15" hidden="false" customHeight="false" outlineLevel="0" collapsed="false">
      <c r="A35" s="0" t="n">
        <v>6</v>
      </c>
      <c r="B35" s="34" t="n">
        <f aca="false">IF(E34&gt;0,D34,B34)</f>
        <v>0.003125</v>
      </c>
      <c r="C35" s="34" t="n">
        <f aca="false">IF(E34&gt;0,C34,D34)</f>
        <v>0.0046875</v>
      </c>
      <c r="D35" s="34" t="n">
        <f aca="false">(B35+C35)/2</f>
        <v>0.00390625</v>
      </c>
      <c r="E35" s="34" t="n">
        <f aca="false">(SUMPRODUCT('1. The tape'!$C$2:$C$7*(1+0)*(1-'1. The tape'!$D$2:$D$7)/('1. The tape'!$E$2:$E$7+D35+('1. The tape'!$E$2:$E$7=0)))-SUM('1. The tape'!$F$2:$F$7)*(1+0)-'2. Fund level'!$B$4+'2. Fund level'!$B$5-'2. Fund level'!$B$6)*'2. Fund level'!$B$8-$B$4</f>
        <v>0.656429247053509</v>
      </c>
    </row>
    <row r="36" customFormat="false" ht="15" hidden="false" customHeight="false" outlineLevel="0" collapsed="false">
      <c r="A36" s="0" t="n">
        <v>7</v>
      </c>
      <c r="B36" s="34" t="n">
        <f aca="false">IF(E35&gt;0,D35,B35)</f>
        <v>0.00390625</v>
      </c>
      <c r="C36" s="34" t="n">
        <f aca="false">IF(E35&gt;0,C35,D35)</f>
        <v>0.0046875</v>
      </c>
      <c r="D36" s="34" t="n">
        <f aca="false">(B36+C36)/2</f>
        <v>0.004296875</v>
      </c>
      <c r="E36" s="34" t="n">
        <f aca="false">(SUMPRODUCT('1. The tape'!$C$2:$C$7*(1+0)*(1-'1. The tape'!$D$2:$D$7)/('1. The tape'!$E$2:$E$7+D36+('1. The tape'!$E$2:$E$7=0)))-SUM('1. The tape'!$F$2:$F$7)*(1+0)-'2. Fund level'!$B$4+'2. Fund level'!$B$5-'2. Fund level'!$B$6)*'2. Fund level'!$B$8-$B$4</f>
        <v>0.253227210791081</v>
      </c>
    </row>
    <row r="37" customFormat="false" ht="15" hidden="false" customHeight="false" outlineLevel="0" collapsed="false">
      <c r="A37" s="0" t="n">
        <v>8</v>
      </c>
      <c r="B37" s="34" t="n">
        <f aca="false">IF(E36&gt;0,D36,B36)</f>
        <v>0.004296875</v>
      </c>
      <c r="C37" s="34" t="n">
        <f aca="false">IF(E36&gt;0,C36,D36)</f>
        <v>0.0046875</v>
      </c>
      <c r="D37" s="34" t="n">
        <f aca="false">(B37+C37)/2</f>
        <v>0.0044921875</v>
      </c>
      <c r="E37" s="34" t="n">
        <f aca="false">(SUMPRODUCT('1. The tape'!$C$2:$C$7*(1+0)*(1-'1. The tape'!$D$2:$D$7)/('1. The tape'!$E$2:$E$7+D37+('1. The tape'!$E$2:$E$7=0)))-SUM('1. The tape'!$F$2:$F$7)*(1+0)-'2. Fund level'!$B$4+'2. Fund level'!$B$5-'2. Fund level'!$B$6)*'2. Fund level'!$B$8-$B$4</f>
        <v>0.0535913577668978</v>
      </c>
    </row>
    <row r="38" customFormat="false" ht="15" hidden="false" customHeight="false" outlineLevel="0" collapsed="false">
      <c r="A38" s="0" t="n">
        <v>9</v>
      </c>
      <c r="B38" s="34" t="n">
        <f aca="false">IF(E37&gt;0,D37,B37)</f>
        <v>0.0044921875</v>
      </c>
      <c r="C38" s="34" t="n">
        <f aca="false">IF(E37&gt;0,C37,D37)</f>
        <v>0.0046875</v>
      </c>
      <c r="D38" s="34" t="n">
        <f aca="false">(B38+C38)/2</f>
        <v>0.00458984375</v>
      </c>
      <c r="E38" s="34" t="n">
        <f aca="false">(SUMPRODUCT('1. The tape'!$C$2:$C$7*(1+0)*(1-'1. The tape'!$D$2:$D$7)/('1. The tape'!$E$2:$E$7+D38+('1. The tape'!$E$2:$E$7=0)))-SUM('1. The tape'!$F$2:$F$7)*(1+0)-'2. Fund level'!$B$4+'2. Fund level'!$B$5-'2. Fund level'!$B$6)*'2. Fund level'!$B$8-$B$4</f>
        <v>-0.0457410467894519</v>
      </c>
    </row>
    <row r="39" customFormat="false" ht="15" hidden="false" customHeight="false" outlineLevel="0" collapsed="false">
      <c r="A39" s="0" t="n">
        <v>10</v>
      </c>
      <c r="B39" s="34" t="n">
        <f aca="false">IF(E38&gt;0,D38,B38)</f>
        <v>0.0044921875</v>
      </c>
      <c r="C39" s="34" t="n">
        <f aca="false">IF(E38&gt;0,C38,D38)</f>
        <v>0.00458984375</v>
      </c>
      <c r="D39" s="34" t="n">
        <f aca="false">(B39+C39)/2</f>
        <v>0.004541015625</v>
      </c>
      <c r="E39" s="34" t="n">
        <f aca="false">(SUMPRODUCT('1. The tape'!$C$2:$C$7*(1+0)*(1-'1. The tape'!$D$2:$D$7)/('1. The tape'!$E$2:$E$7+D39+('1. The tape'!$E$2:$E$7=0)))-SUM('1. The tape'!$F$2:$F$7)*(1+0)-'2. Fund level'!$B$4+'2. Fund level'!$B$5-'2. Fund level'!$B$6)*'2. Fund level'!$B$8-$B$4</f>
        <v>0.00388486509221053</v>
      </c>
    </row>
    <row r="40" customFormat="false" ht="15" hidden="false" customHeight="false" outlineLevel="0" collapsed="false">
      <c r="A40" s="0" t="n">
        <v>11</v>
      </c>
      <c r="B40" s="34" t="n">
        <f aca="false">IF(E39&gt;0,D39,B39)</f>
        <v>0.004541015625</v>
      </c>
      <c r="C40" s="34" t="n">
        <f aca="false">IF(E39&gt;0,C39,D39)</f>
        <v>0.00458984375</v>
      </c>
      <c r="D40" s="34" t="n">
        <f aca="false">(B40+C40)/2</f>
        <v>0.0045654296875</v>
      </c>
      <c r="E40" s="34" t="n">
        <f aca="false">(SUMPRODUCT('1. The tape'!$C$2:$C$7*(1+0)*(1-'1. The tape'!$D$2:$D$7)/('1. The tape'!$E$2:$E$7+D40+('1. The tape'!$E$2:$E$7=0)))-SUM('1. The tape'!$F$2:$F$7)*(1+0)-'2. Fund level'!$B$4+'2. Fund level'!$B$5-'2. Fund level'!$B$6)*'2. Fund level'!$B$8-$B$4</f>
        <v>-0.0209381507760575</v>
      </c>
    </row>
    <row r="41" customFormat="false" ht="15" hidden="false" customHeight="false" outlineLevel="0" collapsed="false">
      <c r="A41" s="0" t="n">
        <v>12</v>
      </c>
      <c r="B41" s="34" t="n">
        <f aca="false">IF(E40&gt;0,D40,B40)</f>
        <v>0.004541015625</v>
      </c>
      <c r="C41" s="34" t="n">
        <f aca="false">IF(E40&gt;0,C40,D40)</f>
        <v>0.0045654296875</v>
      </c>
      <c r="D41" s="34" t="n">
        <f aca="false">(B41+C41)/2</f>
        <v>0.00455322265625</v>
      </c>
      <c r="E41" s="34" t="n">
        <f aca="false">(SUMPRODUCT('1. The tape'!$C$2:$C$7*(1+0)*(1-'1. The tape'!$D$2:$D$7)/('1. The tape'!$E$2:$E$7+D41+('1. The tape'!$E$2:$E$7=0)))-SUM('1. The tape'!$F$2:$F$7)*(1+0)-'2. Fund level'!$B$4+'2. Fund level'!$B$5-'2. Fund level'!$B$6)*'2. Fund level'!$B$8-$B$4</f>
        <v>-0.00852915940601307</v>
      </c>
    </row>
    <row r="42" customFormat="false" ht="15" hidden="false" customHeight="false" outlineLevel="0" collapsed="false">
      <c r="A42" s="0" t="n">
        <v>13</v>
      </c>
      <c r="B42" s="34" t="n">
        <f aca="false">IF(E41&gt;0,D41,B41)</f>
        <v>0.004541015625</v>
      </c>
      <c r="C42" s="34" t="n">
        <f aca="false">IF(E41&gt;0,C41,D41)</f>
        <v>0.00455322265625</v>
      </c>
      <c r="D42" s="34" t="n">
        <f aca="false">(B42+C42)/2</f>
        <v>0.004547119140625</v>
      </c>
      <c r="E42" s="34" t="n">
        <f aca="false">(SUMPRODUCT('1. The tape'!$C$2:$C$7*(1+0)*(1-'1. The tape'!$D$2:$D$7)/('1. The tape'!$E$2:$E$7+D42+('1. The tape'!$E$2:$E$7=0)))-SUM('1. The tape'!$F$2:$F$7)*(1+0)-'2. Fund level'!$B$4+'2. Fund level'!$B$5-'2. Fund level'!$B$6)*'2. Fund level'!$B$8-$B$4</f>
        <v>-0.00232277649585555</v>
      </c>
    </row>
    <row r="43" customFormat="false" ht="15" hidden="false" customHeight="false" outlineLevel="0" collapsed="false">
      <c r="A43" s="0" t="n">
        <v>14</v>
      </c>
      <c r="B43" s="34" t="n">
        <f aca="false">IF(E42&gt;0,D42,B42)</f>
        <v>0.004541015625</v>
      </c>
      <c r="C43" s="34" t="n">
        <f aca="false">IF(E42&gt;0,C42,D42)</f>
        <v>0.004547119140625</v>
      </c>
      <c r="D43" s="34" t="n">
        <f aca="false">(B43+C43)/2</f>
        <v>0.0045440673828125</v>
      </c>
      <c r="E43" s="34" t="n">
        <f aca="false">(SUMPRODUCT('1. The tape'!$C$2:$C$7*(1+0)*(1-'1. The tape'!$D$2:$D$7)/('1. The tape'!$E$2:$E$7+D43+('1. The tape'!$E$2:$E$7=0)))-SUM('1. The tape'!$F$2:$F$7)*(1+0)-'2. Fund level'!$B$4+'2. Fund level'!$B$5-'2. Fund level'!$B$6)*'2. Fund level'!$B$8-$B$4</f>
        <v>0.000780886938688497</v>
      </c>
    </row>
    <row r="44" customFormat="false" ht="15" hidden="false" customHeight="false" outlineLevel="0" collapsed="false">
      <c r="A44" s="0" t="n">
        <v>15</v>
      </c>
      <c r="B44" s="34" t="n">
        <f aca="false">IF(E43&gt;0,D43,B43)</f>
        <v>0.0045440673828125</v>
      </c>
      <c r="C44" s="34" t="n">
        <f aca="false">IF(E43&gt;0,C43,D43)</f>
        <v>0.004547119140625</v>
      </c>
      <c r="D44" s="34" t="n">
        <f aca="false">(B44+C44)/2</f>
        <v>0.00454559326171875</v>
      </c>
      <c r="E44" s="34" t="n">
        <f aca="false">(SUMPRODUCT('1. The tape'!$C$2:$C$7*(1+0)*(1-'1. The tape'!$D$2:$D$7)/('1. The tape'!$E$2:$E$7+D44+('1. The tape'!$E$2:$E$7=0)))-SUM('1. The tape'!$F$2:$F$7)*(1+0)-'2. Fund level'!$B$4+'2. Fund level'!$B$5-'2. Fund level'!$B$6)*'2. Fund level'!$B$8-$B$4</f>
        <v>-0.000770984115359141</v>
      </c>
    </row>
    <row r="45" customFormat="false" ht="15" hidden="false" customHeight="false" outlineLevel="0" collapsed="false">
      <c r="A45" s="0" t="n">
        <v>16</v>
      </c>
      <c r="B45" s="34" t="n">
        <f aca="false">IF(E44&gt;0,D44,B44)</f>
        <v>0.0045440673828125</v>
      </c>
      <c r="C45" s="34" t="n">
        <f aca="false">IF(E44&gt;0,C44,D44)</f>
        <v>0.00454559326171875</v>
      </c>
      <c r="D45" s="34" t="n">
        <f aca="false">(B45+C45)/2</f>
        <v>0.00454483032226563</v>
      </c>
      <c r="E45" s="34" t="n">
        <f aca="false">(SUMPRODUCT('1. The tape'!$C$2:$C$7*(1+0)*(1-'1. The tape'!$D$2:$D$7)/('1. The tape'!$E$2:$E$7+D45+('1. The tape'!$E$2:$E$7=0)))-SUM('1. The tape'!$F$2:$F$7)*(1+0)-'2. Fund level'!$B$4+'2. Fund level'!$B$5-'2. Fund level'!$B$6)*'2. Fund level'!$B$8-$B$4</f>
        <v>4.94157707819909E-006</v>
      </c>
    </row>
    <row r="46" customFormat="false" ht="15" hidden="false" customHeight="false" outlineLevel="0" collapsed="false">
      <c r="A46" s="0" t="n">
        <v>17</v>
      </c>
      <c r="B46" s="34" t="n">
        <f aca="false">IF(E45&gt;0,D45,B45)</f>
        <v>0.00454483032226563</v>
      </c>
      <c r="C46" s="34" t="n">
        <f aca="false">IF(E45&gt;0,C45,D45)</f>
        <v>0.00454559326171875</v>
      </c>
      <c r="D46" s="34" t="n">
        <f aca="false">(B46+C46)/2</f>
        <v>0.00454521179199219</v>
      </c>
      <c r="E46" s="34" t="n">
        <f aca="false">(SUMPRODUCT('1. The tape'!$C$2:$C$7*(1+0)*(1-'1. The tape'!$D$2:$D$7)/('1. The tape'!$E$2:$E$7+D46+('1. The tape'!$E$2:$E$7=0)))-SUM('1. The tape'!$F$2:$F$7)*(1+0)-'2. Fund level'!$B$4+'2. Fund level'!$B$5-'2. Fund level'!$B$6)*'2. Fund level'!$B$8-$B$4</f>
        <v>-0.000383023727732024</v>
      </c>
    </row>
    <row r="47" customFormat="false" ht="15" hidden="false" customHeight="false" outlineLevel="0" collapsed="false">
      <c r="A47" s="0" t="n">
        <v>18</v>
      </c>
      <c r="B47" s="34" t="n">
        <f aca="false">IF(E46&gt;0,D46,B46)</f>
        <v>0.00454483032226563</v>
      </c>
      <c r="C47" s="34" t="n">
        <f aca="false">IF(E46&gt;0,C46,D46)</f>
        <v>0.00454521179199219</v>
      </c>
      <c r="D47" s="34" t="n">
        <f aca="false">(B47+C47)/2</f>
        <v>0.00454502105712891</v>
      </c>
      <c r="E47" s="34" t="n">
        <f aca="false">(SUMPRODUCT('1. The tape'!$C$2:$C$7*(1+0)*(1-'1. The tape'!$D$2:$D$7)/('1. The tape'!$E$2:$E$7+D47+('1. The tape'!$E$2:$E$7=0)))-SUM('1. The tape'!$F$2:$F$7)*(1+0)-'2. Fund level'!$B$4+'2. Fund level'!$B$5-'2. Fund level'!$B$6)*'2. Fund level'!$B$8-$B$4</f>
        <v>-0.000189041689981906</v>
      </c>
    </row>
    <row r="48" customFormat="false" ht="15" hidden="false" customHeight="false" outlineLevel="0" collapsed="false">
      <c r="A48" s="0" t="n">
        <v>19</v>
      </c>
      <c r="B48" s="34" t="n">
        <f aca="false">IF(E47&gt;0,D47,B47)</f>
        <v>0.00454483032226563</v>
      </c>
      <c r="C48" s="34" t="n">
        <f aca="false">IF(E47&gt;0,C47,D47)</f>
        <v>0.00454502105712891</v>
      </c>
      <c r="D48" s="34" t="n">
        <f aca="false">(B48+C48)/2</f>
        <v>0.00454492568969727</v>
      </c>
      <c r="E48" s="34" t="n">
        <f aca="false">(SUMPRODUCT('1. The tape'!$C$2:$C$7*(1+0)*(1-'1. The tape'!$D$2:$D$7)/('1. The tape'!$E$2:$E$7+D48+('1. The tape'!$E$2:$E$7=0)))-SUM('1. The tape'!$F$2:$F$7)*(1+0)-'2. Fund level'!$B$4+'2. Fund level'!$B$5-'2. Fund level'!$B$6)*'2. Fund level'!$B$8-$B$4</f>
        <v>-9.20502101138254E-005</v>
      </c>
    </row>
    <row r="49" customFormat="false" ht="15" hidden="false" customHeight="false" outlineLevel="0" collapsed="false">
      <c r="A49" s="0" t="n">
        <v>20</v>
      </c>
      <c r="B49" s="34" t="n">
        <f aca="false">IF(E48&gt;0,D48,B48)</f>
        <v>0.00454483032226563</v>
      </c>
      <c r="C49" s="34" t="n">
        <f aca="false">IF(E48&gt;0,C48,D48)</f>
        <v>0.00454492568969727</v>
      </c>
      <c r="D49" s="34" t="n">
        <f aca="false">(B49+C49)/2</f>
        <v>0.00454487800598145</v>
      </c>
      <c r="E49" s="34" t="n">
        <f aca="false">(SUMPRODUCT('1. The tape'!$C$2:$C$7*(1+0)*(1-'1. The tape'!$D$2:$D$7)/('1. The tape'!$E$2:$E$7+D49+('1. The tape'!$E$2:$E$7=0)))-SUM('1. The tape'!$F$2:$F$7)*(1+0)-'2. Fund level'!$B$4+'2. Fund level'!$B$5-'2. Fund level'!$B$6)*'2. Fund level'!$B$8-$B$4</f>
        <v>-4.35543549279771E-005</v>
      </c>
    </row>
    <row r="50" customFormat="false" ht="15" hidden="false" customHeight="false" outlineLevel="0" collapsed="false">
      <c r="A50" s="0" t="n">
        <v>21</v>
      </c>
      <c r="B50" s="34" t="n">
        <f aca="false">IF(E49&gt;0,D49,B49)</f>
        <v>0.00454483032226563</v>
      </c>
      <c r="C50" s="34" t="n">
        <f aca="false">IF(E49&gt;0,C49,D49)</f>
        <v>0.00454487800598145</v>
      </c>
      <c r="D50" s="34" t="n">
        <f aca="false">(B50+C50)/2</f>
        <v>0.00454485416412354</v>
      </c>
      <c r="E50" s="34" t="n">
        <f aca="false">(SUMPRODUCT('1. The tape'!$C$2:$C$7*(1+0)*(1-'1. The tape'!$D$2:$D$7)/('1. The tape'!$E$2:$E$7+D50+('1. The tape'!$E$2:$E$7=0)))-SUM('1. The tape'!$F$2:$F$7)*(1+0)-'2. Fund level'!$B$4+'2. Fund level'!$B$5-'2. Fund level'!$B$6)*'2. Fund level'!$B$8-$B$4</f>
        <v>-1.93063985349795E-005</v>
      </c>
    </row>
    <row r="51" customFormat="false" ht="15" hidden="false" customHeight="false" outlineLevel="0" collapsed="false">
      <c r="A51" s="0" t="n">
        <v>22</v>
      </c>
      <c r="B51" s="34" t="n">
        <f aca="false">IF(E50&gt;0,D50,B50)</f>
        <v>0.00454483032226563</v>
      </c>
      <c r="C51" s="34" t="n">
        <f aca="false">IF(E50&gt;0,C50,D50)</f>
        <v>0.00454485416412354</v>
      </c>
      <c r="D51" s="34" t="n">
        <f aca="false">(B51+C51)/2</f>
        <v>0.00454484224319458</v>
      </c>
      <c r="E51" s="34" t="n">
        <f aca="false">(SUMPRODUCT('1. The tape'!$C$2:$C$7*(1+0)*(1-'1. The tape'!$D$2:$D$7)/('1. The tape'!$E$2:$E$7+D51+('1. The tape'!$E$2:$E$7=0)))-SUM('1. The tape'!$F$2:$F$7)*(1+0)-'2. Fund level'!$B$4+'2. Fund level'!$B$5-'2. Fund level'!$B$6)*'2. Fund level'!$B$8-$B$4</f>
        <v>-7.1824131282483E-006</v>
      </c>
    </row>
    <row r="52" customFormat="false" ht="15" hidden="false" customHeight="false" outlineLevel="0" collapsed="false">
      <c r="A52" s="0" t="n">
        <v>23</v>
      </c>
      <c r="B52" s="34" t="n">
        <f aca="false">IF(E51&gt;0,D51,B51)</f>
        <v>0.00454483032226563</v>
      </c>
      <c r="C52" s="34" t="n">
        <f aca="false">IF(E51&gt;0,C51,D51)</f>
        <v>0.00454484224319458</v>
      </c>
      <c r="D52" s="34" t="n">
        <f aca="false">(B52+C52)/2</f>
        <v>0.0045448362827301</v>
      </c>
      <c r="E52" s="34" t="n">
        <f aca="false">(SUMPRODUCT('1. The tape'!$C$2:$C$7*(1+0)*(1-'1. The tape'!$D$2:$D$7)/('1. The tape'!$E$2:$E$7+D52+('1. The tape'!$E$2:$E$7=0)))-SUM('1. The tape'!$F$2:$F$7)*(1+0)-'2. Fund level'!$B$4+'2. Fund level'!$B$5-'2. Fund level'!$B$6)*'2. Fund level'!$B$8-$B$4</f>
        <v>-1.12041862010415E-006</v>
      </c>
    </row>
    <row r="53" customFormat="false" ht="15" hidden="false" customHeight="false" outlineLevel="0" collapsed="false">
      <c r="A53" s="0" t="n">
        <v>24</v>
      </c>
      <c r="B53" s="34" t="n">
        <f aca="false">IF(E52&gt;0,D52,B52)</f>
        <v>0.00454483032226563</v>
      </c>
      <c r="C53" s="34" t="n">
        <f aca="false">IF(E52&gt;0,C52,D52)</f>
        <v>0.0045448362827301</v>
      </c>
      <c r="D53" s="34" t="n">
        <f aca="false">(B53+C53)/2</f>
        <v>0.00454483330249786</v>
      </c>
      <c r="E53" s="34" t="n">
        <f aca="false">(SUMPRODUCT('1. The tape'!$C$2:$C$7*(1+0)*(1-'1. The tape'!$D$2:$D$7)/('1. The tape'!$E$2:$E$7+D53+('1. The tape'!$E$2:$E$7=0)))-SUM('1. The tape'!$F$2:$F$7)*(1+0)-'2. Fund level'!$B$4+'2. Fund level'!$B$5-'2. Fund level'!$B$6)*'2. Fund level'!$B$8-$B$4</f>
        <v>1.9105790798335E-006</v>
      </c>
    </row>
    <row r="54" customFormat="false" ht="15" hidden="false" customHeight="false" outlineLevel="0" collapsed="false">
      <c r="A54" s="0" t="n">
        <v>25</v>
      </c>
      <c r="B54" s="34" t="n">
        <f aca="false">IF(E53&gt;0,D53,B53)</f>
        <v>0.00454483330249786</v>
      </c>
      <c r="C54" s="34" t="n">
        <f aca="false">IF(E53&gt;0,C53,D53)</f>
        <v>0.0045448362827301</v>
      </c>
      <c r="D54" s="34" t="n">
        <f aca="false">(B54+C54)/2</f>
        <v>0.00454483479261398</v>
      </c>
      <c r="E54" s="34" t="n">
        <f aca="false">(SUMPRODUCT('1. The tape'!$C$2:$C$7*(1+0)*(1-'1. The tape'!$D$2:$D$7)/('1. The tape'!$E$2:$E$7+D54+('1. The tape'!$E$2:$E$7=0)))-SUM('1. The tape'!$F$2:$F$7)*(1+0)-'2. Fund level'!$B$4+'2. Fund level'!$B$5-'2. Fund level'!$B$6)*'2. Fund level'!$B$8-$B$4</f>
        <v>3.95080185455754E-007</v>
      </c>
    </row>
    <row r="55" customFormat="false" ht="15" hidden="false" customHeight="false" outlineLevel="0" collapsed="false">
      <c r="A55" s="0" t="n">
        <v>26</v>
      </c>
      <c r="B55" s="34" t="n">
        <f aca="false">IF(E54&gt;0,D54,B54)</f>
        <v>0.00454483479261398</v>
      </c>
      <c r="C55" s="34" t="n">
        <f aca="false">IF(E54&gt;0,C54,D54)</f>
        <v>0.0045448362827301</v>
      </c>
      <c r="D55" s="34" t="n">
        <f aca="false">(B55+C55)/2</f>
        <v>0.00454483553767204</v>
      </c>
      <c r="E55" s="34" t="n">
        <f aca="false">(SUMPRODUCT('1. The tape'!$C$2:$C$7*(1+0)*(1-'1. The tape'!$D$2:$D$7)/('1. The tape'!$E$2:$E$7+D55+('1. The tape'!$E$2:$E$7=0)))-SUM('1. The tape'!$F$2:$F$7)*(1+0)-'2. Fund level'!$B$4+'2. Fund level'!$B$5-'2. Fund level'!$B$6)*'2. Fund level'!$B$8-$B$4</f>
        <v>-3.62669222653267E-007</v>
      </c>
    </row>
    <row r="56" customFormat="false" ht="15" hidden="false" customHeight="false" outlineLevel="0" collapsed="false">
      <c r="A56" s="0" t="n">
        <v>27</v>
      </c>
      <c r="B56" s="34" t="n">
        <f aca="false">IF(E55&gt;0,D55,B55)</f>
        <v>0.00454483479261398</v>
      </c>
      <c r="C56" s="34" t="n">
        <f aca="false">IF(E55&gt;0,C55,D55)</f>
        <v>0.00454483553767204</v>
      </c>
      <c r="D56" s="34" t="n">
        <f aca="false">(B56+C56)/2</f>
        <v>0.00454483516514301</v>
      </c>
      <c r="E56" s="34" t="n">
        <f aca="false">(SUMPRODUCT('1. The tape'!$C$2:$C$7*(1+0)*(1-'1. The tape'!$D$2:$D$7)/('1. The tape'!$E$2:$E$7+D56+('1. The tape'!$E$2:$E$7=0)))-SUM('1. The tape'!$F$2:$F$7)*(1+0)-'2. Fund level'!$B$4+'2. Fund level'!$B$5-'2. Fund level'!$B$6)*'2. Fund level'!$B$8-$B$4</f>
        <v>1.6205476072173E-008</v>
      </c>
    </row>
    <row r="57" customFormat="false" ht="15" hidden="false" customHeight="false" outlineLevel="0" collapsed="false">
      <c r="A57" s="0" t="n">
        <v>28</v>
      </c>
      <c r="B57" s="34" t="n">
        <f aca="false">IF(E56&gt;0,D56,B56)</f>
        <v>0.00454483516514301</v>
      </c>
      <c r="C57" s="34" t="n">
        <f aca="false">IF(E56&gt;0,C56,D56)</f>
        <v>0.00454483553767204</v>
      </c>
      <c r="D57" s="34" t="n">
        <f aca="false">(B57+C57)/2</f>
        <v>0.00454483535140753</v>
      </c>
      <c r="E57" s="34" t="n">
        <f aca="false">(SUMPRODUCT('1. The tape'!$C$2:$C$7*(1+0)*(1-'1. The tape'!$D$2:$D$7)/('1. The tape'!$E$2:$E$7+D57+('1. The tape'!$E$2:$E$7=0)))-SUM('1. The tape'!$F$2:$F$7)*(1+0)-'2. Fund level'!$B$4+'2. Fund level'!$B$5-'2. Fund level'!$B$6)*'2. Fund level'!$B$8-$B$4</f>
        <v>-1.73231878619617E-007</v>
      </c>
    </row>
    <row r="58" customFormat="false" ht="15" hidden="false" customHeight="false" outlineLevel="0" collapsed="false">
      <c r="A58" s="0" t="n">
        <v>29</v>
      </c>
      <c r="B58" s="34" t="n">
        <f aca="false">IF(E57&gt;0,D57,B57)</f>
        <v>0.00454483516514301</v>
      </c>
      <c r="C58" s="34" t="n">
        <f aca="false">IF(E57&gt;0,C57,D57)</f>
        <v>0.00454483535140753</v>
      </c>
      <c r="D58" s="34" t="n">
        <f aca="false">(B58+C58)/2</f>
        <v>0.00454483525827527</v>
      </c>
      <c r="E58" s="34" t="n">
        <f aca="false">(SUMPRODUCT('1. The tape'!$C$2:$C$7*(1+0)*(1-'1. The tape'!$D$2:$D$7)/('1. The tape'!$E$2:$E$7+D58+('1. The tape'!$E$2:$E$7=0)))-SUM('1. The tape'!$F$2:$F$7)*(1+0)-'2. Fund level'!$B$4+'2. Fund level'!$B$5-'2. Fund level'!$B$6)*'2. Fund level'!$B$8-$B$4</f>
        <v>-7.8513203050079E-008</v>
      </c>
    </row>
    <row r="59" customFormat="false" ht="15" hidden="false" customHeight="false" outlineLevel="0" collapsed="false">
      <c r="A59" s="0" t="n">
        <v>30</v>
      </c>
      <c r="B59" s="34" t="n">
        <f aca="false">IF(E58&gt;0,D58,B58)</f>
        <v>0.00454483516514301</v>
      </c>
      <c r="C59" s="34" t="n">
        <f aca="false">IF(E58&gt;0,C58,D58)</f>
        <v>0.00454483525827527</v>
      </c>
      <c r="D59" s="34" t="n">
        <f aca="false">(B59+C59)/2</f>
        <v>0.00454483521170914</v>
      </c>
      <c r="E59" s="34" t="n">
        <f aca="false">(SUMPRODUCT('1. The tape'!$C$2:$C$7*(1+0)*(1-'1. The tape'!$D$2:$D$7)/('1. The tape'!$E$2:$E$7+D59+('1. The tape'!$E$2:$E$7=0)))-SUM('1. The tape'!$F$2:$F$7)*(1+0)-'2. Fund level'!$B$4+'2. Fund level'!$B$5-'2. Fund level'!$B$6)*'2. Fund level'!$B$8-$B$4</f>
        <v>-3.1153863488953E-008</v>
      </c>
    </row>
    <row r="60" customFormat="false" ht="15" hidden="false" customHeight="false" outlineLevel="0" collapsed="false">
      <c r="A60" s="0" t="n">
        <v>31</v>
      </c>
      <c r="B60" s="34" t="n">
        <f aca="false">IF(E59&gt;0,D59,B59)</f>
        <v>0.00454483516514301</v>
      </c>
      <c r="C60" s="34" t="n">
        <f aca="false">IF(E59&gt;0,C59,D59)</f>
        <v>0.00454483521170914</v>
      </c>
      <c r="D60" s="34" t="n">
        <f aca="false">(B60+C60)/2</f>
        <v>0.00454483518842608</v>
      </c>
      <c r="E60" s="34" t="n">
        <f aca="false">(SUMPRODUCT('1. The tape'!$C$2:$C$7*(1+0)*(1-'1. The tape'!$D$2:$D$7)/('1. The tape'!$E$2:$E$7+D60+('1. The tape'!$E$2:$E$7=0)))-SUM('1. The tape'!$F$2:$F$7)*(1+0)-'2. Fund level'!$B$4+'2. Fund level'!$B$5-'2. Fund level'!$B$6)*'2. Fund level'!$B$8-$B$4</f>
        <v>-7.47418837931946E-009</v>
      </c>
    </row>
    <row r="61" customFormat="false" ht="15" hidden="false" customHeight="false" outlineLevel="0" collapsed="false">
      <c r="A61" s="0" t="n">
        <v>32</v>
      </c>
      <c r="B61" s="34" t="n">
        <f aca="false">IF(E60&gt;0,D60,B60)</f>
        <v>0.00454483516514301</v>
      </c>
      <c r="C61" s="34" t="n">
        <f aca="false">IF(E60&gt;0,C60,D60)</f>
        <v>0.00454483518842608</v>
      </c>
      <c r="D61" s="34" t="n">
        <f aca="false">(B61+C61)/2</f>
        <v>0.00454483517678455</v>
      </c>
      <c r="E61" s="34" t="n">
        <f aca="false">(SUMPRODUCT('1. The tape'!$C$2:$C$7*(1+0)*(1-'1. The tape'!$D$2:$D$7)/('1. The tape'!$E$2:$E$7+D61+('1. The tape'!$E$2:$E$7=0)))-SUM('1. The tape'!$F$2:$F$7)*(1+0)-'2. Fund level'!$B$4+'2. Fund level'!$B$5-'2. Fund level'!$B$6)*'2. Fund level'!$B$8-$B$4</f>
        <v>4.36564562278363E-009</v>
      </c>
    </row>
    <row r="62" customFormat="false" ht="15" hidden="false" customHeight="false" outlineLevel="0" collapsed="false">
      <c r="A62" s="0" t="n">
        <v>33</v>
      </c>
      <c r="B62" s="34" t="n">
        <f aca="false">IF(E61&gt;0,D61,B61)</f>
        <v>0.00454483517678455</v>
      </c>
      <c r="C62" s="34" t="n">
        <f aca="false">IF(E61&gt;0,C61,D61)</f>
        <v>0.00454483518842608</v>
      </c>
      <c r="D62" s="34" t="n">
        <f aca="false">(B62+C62)/2</f>
        <v>0.00454483518260531</v>
      </c>
      <c r="E62" s="34" t="n">
        <f aca="false">(SUMPRODUCT('1. The tape'!$C$2:$C$7*(1+0)*(1-'1. The tape'!$D$2:$D$7)/('1. The tape'!$E$2:$E$7+D62+('1. The tape'!$E$2:$E$7=0)))-SUM('1. The tape'!$F$2:$F$7)*(1+0)-'2. Fund level'!$B$4+'2. Fund level'!$B$5-'2. Fund level'!$B$6)*'2. Fund level'!$B$8-$B$4</f>
        <v>-1.55427315462475E-009</v>
      </c>
    </row>
    <row r="63" customFormat="false" ht="15" hidden="false" customHeight="false" outlineLevel="0" collapsed="false">
      <c r="A63" s="0" t="n">
        <v>34</v>
      </c>
      <c r="B63" s="34" t="n">
        <f aca="false">IF(E62&gt;0,D62,B62)</f>
        <v>0.00454483517678455</v>
      </c>
      <c r="C63" s="34" t="n">
        <f aca="false">IF(E62&gt;0,C62,D62)</f>
        <v>0.00454483518260531</v>
      </c>
      <c r="D63" s="34" t="n">
        <f aca="false">(B63+C63)/2</f>
        <v>0.00454483517969493</v>
      </c>
      <c r="E63" s="34" t="n">
        <f aca="false">(SUMPRODUCT('1. The tape'!$C$2:$C$7*(1+0)*(1-'1. The tape'!$D$2:$D$7)/('1. The tape'!$E$2:$E$7+D63+('1. The tape'!$E$2:$E$7=0)))-SUM('1. The tape'!$F$2:$F$7)*(1+0)-'2. Fund level'!$B$4+'2. Fund level'!$B$5-'2. Fund level'!$B$6)*'2. Fund level'!$B$8-$B$4</f>
        <v>1.40569156314996E-009</v>
      </c>
    </row>
    <row r="64" customFormat="false" ht="15" hidden="false" customHeight="false" outlineLevel="0" collapsed="false">
      <c r="A64" s="0" t="n">
        <v>35</v>
      </c>
      <c r="B64" s="34" t="n">
        <f aca="false">IF(E63&gt;0,D63,B63)</f>
        <v>0.00454483517969493</v>
      </c>
      <c r="C64" s="34" t="n">
        <f aca="false">IF(E63&gt;0,C63,D63)</f>
        <v>0.00454483518260531</v>
      </c>
      <c r="D64" s="34" t="n">
        <f aca="false">(B64+C64)/2</f>
        <v>0.00454483518115012</v>
      </c>
      <c r="E64" s="34" t="n">
        <f aca="false">(SUMPRODUCT('1. The tape'!$C$2:$C$7*(1+0)*(1-'1. The tape'!$D$2:$D$7)/('1. The tape'!$E$2:$E$7+D64+('1. The tape'!$E$2:$E$7=0)))-SUM('1. The tape'!$F$2:$F$7)*(1+0)-'2. Fund level'!$B$4+'2. Fund level'!$B$5-'2. Fund level'!$B$6)*'2. Fund level'!$B$8-$B$4</f>
        <v>-7.42907957373973E-011</v>
      </c>
    </row>
    <row r="65" customFormat="false" ht="15" hidden="false" customHeight="false" outlineLevel="0" collapsed="false">
      <c r="A65" s="0" t="n">
        <v>36</v>
      </c>
      <c r="B65" s="34" t="n">
        <f aca="false">IF(E64&gt;0,D64,B64)</f>
        <v>0.00454483517969493</v>
      </c>
      <c r="C65" s="34" t="n">
        <f aca="false">IF(E64&gt;0,C64,D64)</f>
        <v>0.00454483518115012</v>
      </c>
      <c r="D65" s="34" t="n">
        <f aca="false">(B65+C65)/2</f>
        <v>0.00454483518042253</v>
      </c>
      <c r="E65" s="34" t="n">
        <f aca="false">(SUMPRODUCT('1. The tape'!$C$2:$C$7*(1+0)*(1-'1. The tape'!$D$2:$D$7)/('1. The tape'!$E$2:$E$7+D65+('1. The tape'!$E$2:$E$7=0)))-SUM('1. The tape'!$F$2:$F$7)*(1+0)-'2. Fund level'!$B$4+'2. Fund level'!$B$5-'2. Fund level'!$B$6)*'2. Fund level'!$B$8-$B$4</f>
        <v>6.6570038370628E-010</v>
      </c>
    </row>
    <row r="66" customFormat="false" ht="15" hidden="false" customHeight="false" outlineLevel="0" collapsed="false">
      <c r="A66" s="0" t="n">
        <v>37</v>
      </c>
      <c r="B66" s="34" t="n">
        <f aca="false">IF(E65&gt;0,D65,B65)</f>
        <v>0.00454483518042253</v>
      </c>
      <c r="C66" s="34" t="n">
        <f aca="false">IF(E65&gt;0,C65,D65)</f>
        <v>0.00454483518115012</v>
      </c>
      <c r="D66" s="34" t="n">
        <f aca="false">(B66+C66)/2</f>
        <v>0.00454483518078632</v>
      </c>
      <c r="E66" s="34" t="n">
        <f aca="false">(SUMPRODUCT('1. The tape'!$C$2:$C$7*(1+0)*(1-'1. The tape'!$D$2:$D$7)/('1. The tape'!$E$2:$E$7+D66+('1. The tape'!$E$2:$E$7=0)))-SUM('1. The tape'!$F$2:$F$7)*(1+0)-'2. Fund level'!$B$4+'2. Fund level'!$B$5-'2. Fund level'!$B$6)*'2. Fund level'!$B$8-$B$4</f>
        <v>2.95699464913923E-010</v>
      </c>
    </row>
    <row r="67" customFormat="false" ht="15" hidden="false" customHeight="false" outlineLevel="0" collapsed="false">
      <c r="A67" s="0" t="n">
        <v>38</v>
      </c>
      <c r="B67" s="34" t="n">
        <f aca="false">IF(E66&gt;0,D66,B66)</f>
        <v>0.00454483518078632</v>
      </c>
      <c r="C67" s="34" t="n">
        <f aca="false">IF(E66&gt;0,C66,D66)</f>
        <v>0.00454483518115012</v>
      </c>
      <c r="D67" s="34" t="n">
        <f aca="false">(B67+C67)/2</f>
        <v>0.00454483518096822</v>
      </c>
      <c r="E67" s="34" t="n">
        <f aca="false">(SUMPRODUCT('1. The tape'!$C$2:$C$7*(1+0)*(1-'1. The tape'!$D$2:$D$7)/('1. The tape'!$E$2:$E$7+D67+('1. The tape'!$E$2:$E$7=0)))-SUM('1. The tape'!$F$2:$F$7)*(1+0)-'2. Fund level'!$B$4+'2. Fund level'!$B$5-'2. Fund level'!$B$6)*'2. Fund level'!$B$8-$B$4</f>
        <v>1.10706110945102E-010</v>
      </c>
    </row>
    <row r="68" customFormat="false" ht="15" hidden="false" customHeight="false" outlineLevel="0" collapsed="false">
      <c r="A68" s="0" t="n">
        <v>39</v>
      </c>
      <c r="B68" s="34" t="n">
        <f aca="false">IF(E67&gt;0,D67,B67)</f>
        <v>0.00454483518096822</v>
      </c>
      <c r="C68" s="34" t="n">
        <f aca="false">IF(E67&gt;0,C67,D67)</f>
        <v>0.00454483518115012</v>
      </c>
      <c r="D68" s="34" t="n">
        <f aca="false">(B68+C68)/2</f>
        <v>0.00454483518105917</v>
      </c>
      <c r="E68" s="34" t="n">
        <f aca="false">(SUMPRODUCT('1. The tape'!$C$2:$C$7*(1+0)*(1-'1. The tape'!$D$2:$D$7)/('1. The tape'!$E$2:$E$7+D68+('1. The tape'!$E$2:$E$7=0)))-SUM('1. The tape'!$F$2:$F$7)*(1+0)-'2. Fund level'!$B$4+'2. Fund level'!$B$5-'2. Fund level'!$B$6)*'2. Fund level'!$B$8-$B$4</f>
        <v>1.8200552176495E-011</v>
      </c>
    </row>
    <row r="69" customFormat="false" ht="15" hidden="false" customHeight="false" outlineLevel="0" collapsed="false">
      <c r="A69" s="0" t="n">
        <v>40</v>
      </c>
      <c r="B69" s="34" t="n">
        <f aca="false">IF(E68&gt;0,D68,B68)</f>
        <v>0.00454483518105917</v>
      </c>
      <c r="C69" s="34" t="n">
        <f aca="false">IF(E68&gt;0,C68,D68)</f>
        <v>0.00454483518115012</v>
      </c>
      <c r="D69" s="34" t="n">
        <f aca="false">(B69+C69)/2</f>
        <v>0.00454483518110465</v>
      </c>
      <c r="E69" s="34" t="n">
        <f aca="false">(SUMPRODUCT('1. The tape'!$C$2:$C$7*(1+0)*(1-'1. The tape'!$D$2:$D$7)/('1. The tape'!$E$2:$E$7+D69+('1. The tape'!$E$2:$E$7=0)))-SUM('1. The tape'!$F$2:$F$7)*(1+0)-'2. Fund level'!$B$4+'2. Fund level'!$B$5-'2. Fund level'!$B$6)*'2. Fund level'!$B$8-$B$4</f>
        <v>-2.80451217804512E-011</v>
      </c>
    </row>
    <row r="70" customFormat="false" ht="15" hidden="false" customHeight="false" outlineLevel="0" collapsed="false">
      <c r="A70" s="0" t="n">
        <v>41</v>
      </c>
      <c r="B70" s="34" t="n">
        <f aca="false">IF(E69&gt;0,D69,B69)</f>
        <v>0.00454483518105917</v>
      </c>
      <c r="C70" s="34" t="n">
        <f aca="false">IF(E69&gt;0,C69,D69)</f>
        <v>0.00454483518110465</v>
      </c>
      <c r="D70" s="34" t="n">
        <f aca="false">(B70+C70)/2</f>
        <v>0.00454483518108191</v>
      </c>
      <c r="E70" s="34" t="n">
        <f aca="false">(SUMPRODUCT('1. The tape'!$C$2:$C$7*(1+0)*(1-'1. The tape'!$D$2:$D$7)/('1. The tape'!$E$2:$E$7+D70+('1. The tape'!$E$2:$E$7=0)))-SUM('1. The tape'!$F$2:$F$7)*(1+0)-'2. Fund level'!$B$4+'2. Fund level'!$B$5-'2. Fund level'!$B$6)*'2. Fund level'!$B$8-$B$4</f>
        <v>-4.92050844513869E-012</v>
      </c>
    </row>
    <row r="71" customFormat="false" ht="15" hidden="false" customHeight="false" outlineLevel="0" collapsed="false">
      <c r="A71" s="0" t="n">
        <v>42</v>
      </c>
      <c r="B71" s="34" t="n">
        <f aca="false">IF(E70&gt;0,D70,B70)</f>
        <v>0.00454483518105917</v>
      </c>
      <c r="C71" s="34" t="n">
        <f aca="false">IF(E70&gt;0,C70,D70)</f>
        <v>0.00454483518108191</v>
      </c>
      <c r="D71" s="34" t="n">
        <f aca="false">(B71+C71)/2</f>
        <v>0.00454483518107054</v>
      </c>
      <c r="E71" s="34" t="n">
        <f aca="false">(SUMPRODUCT('1. The tape'!$C$2:$C$7*(1+0)*(1-'1. The tape'!$D$2:$D$7)/('1. The tape'!$E$2:$E$7+D71+('1. The tape'!$E$2:$E$7=0)))-SUM('1. The tape'!$F$2:$F$7)*(1+0)-'2. Fund level'!$B$4+'2. Fund level'!$B$5-'2. Fund level'!$B$6)*'2. Fund level'!$B$8-$B$4</f>
        <v>6.64712729303574E-012</v>
      </c>
      <c r="F71" s="34" t="n">
        <f aca="false">(B71+C71)/2</f>
        <v>0.00454483518107054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3" min="2" style="0" width="14"/>
    <col collapsed="false" customWidth="true" hidden="false" outlineLevel="0" max="4" min="4" style="0" width="10"/>
    <col collapsed="false" customWidth="true" hidden="false" outlineLevel="0" max="5" min="5" style="0" width="60"/>
  </cols>
  <sheetData>
    <row r="1" customFormat="false" ht="16.15" hidden="false" customHeight="false" outlineLevel="0" collapsed="false">
      <c r="A1" s="20" t="s">
        <v>99</v>
      </c>
    </row>
    <row r="2" customFormat="false" ht="15" hidden="false" customHeight="false" outlineLevel="0" collapsed="false">
      <c r="A2" s="21" t="s">
        <v>100</v>
      </c>
    </row>
    <row r="4" customFormat="false" ht="15" hidden="false" customHeight="false" outlineLevel="0" collapsed="false">
      <c r="A4" s="25" t="s">
        <v>101</v>
      </c>
      <c r="B4" s="25" t="s">
        <v>102</v>
      </c>
      <c r="C4" s="25" t="s">
        <v>103</v>
      </c>
      <c r="D4" s="25" t="s">
        <v>104</v>
      </c>
      <c r="E4" s="25" t="s">
        <v>105</v>
      </c>
    </row>
    <row r="5" customFormat="false" ht="15" hidden="false" customHeight="false" outlineLevel="0" collapsed="false">
      <c r="A5" s="5" t="s">
        <v>106</v>
      </c>
      <c r="B5" s="35" t="n">
        <v>291.831</v>
      </c>
      <c r="C5" s="35" t="n">
        <f aca="false">'1. The tape'!I8</f>
        <v>291.831358918495</v>
      </c>
      <c r="D5" s="30" t="str">
        <f aca="false">IF(ISNUMBER(C5)=FALSE(),"CHECK",IF(ABS(C5-B5)&lt;=0.005,"OK","CHECK"))</f>
        <v>OK</v>
      </c>
      <c r="E5" s="36"/>
    </row>
    <row r="6" customFormat="false" ht="15" hidden="false" customHeight="false" outlineLevel="0" collapsed="false">
      <c r="A6" s="5" t="s">
        <v>107</v>
      </c>
      <c r="B6" s="35" t="n">
        <v>166.231</v>
      </c>
      <c r="C6" s="35" t="n">
        <f aca="false">'2. Fund level'!B7</f>
        <v>166.231358918495</v>
      </c>
      <c r="D6" s="30" t="str">
        <f aca="false">IF(ISNUMBER(C6)=FALSE(),"CHECK",IF(ABS(C6-B6)&lt;=0.005,"OK","CHECK"))</f>
        <v>OK</v>
      </c>
      <c r="E6" s="36"/>
    </row>
    <row r="7" customFormat="false" ht="15" hidden="false" customHeight="false" outlineLevel="0" collapsed="false">
      <c r="A7" s="5" t="s">
        <v>108</v>
      </c>
      <c r="B7" s="35" t="n">
        <v>36.571</v>
      </c>
      <c r="C7" s="35" t="n">
        <f aca="false">'2. Fund level'!B9</f>
        <v>36.5708989620689</v>
      </c>
      <c r="D7" s="30" t="str">
        <f aca="false">IF(ISNUMBER(C7)=FALSE(),"CHECK",IF(ABS(C7-B7)&lt;=0.005,"OK","CHECK"))</f>
        <v>OK</v>
      </c>
      <c r="E7" s="36"/>
    </row>
    <row r="8" customFormat="false" ht="15" hidden="false" customHeight="false" outlineLevel="0" collapsed="false">
      <c r="A8" s="5" t="s">
        <v>109</v>
      </c>
      <c r="B8" s="29" t="n">
        <v>-0.05</v>
      </c>
      <c r="C8" s="29" t="n">
        <f aca="false">'2. Fund level'!B12</f>
        <v>-0.0501065204657426</v>
      </c>
      <c r="D8" s="30" t="str">
        <f aca="false">IF(ISNUMBER(C8)=FALSE(),"CHECK",IF(ABS(C8-B8)&lt;=0.0005,"OK","CHECK"))</f>
        <v>OK</v>
      </c>
      <c r="E8" s="36"/>
    </row>
    <row r="9" customFormat="false" ht="15" hidden="false" customHeight="false" outlineLevel="0" collapsed="false">
      <c r="A9" s="5" t="s">
        <v>110</v>
      </c>
      <c r="B9" s="28" t="n">
        <v>175</v>
      </c>
      <c r="C9" s="28" t="n">
        <f aca="false">'2. Fund level'!B11/'2. Fund level'!B8</f>
        <v>175</v>
      </c>
      <c r="D9" s="30" t="str">
        <f aca="false">IF(ISNUMBER(C9)=FALSE(),"CHECK",IF(ABS(C9-B9)&lt;=0.005,"OK","CHECK"))</f>
        <v>OK</v>
      </c>
      <c r="E9" s="36"/>
    </row>
    <row r="10" customFormat="false" ht="15" hidden="false" customHeight="false" outlineLevel="0" collapsed="false">
      <c r="A10" s="5" t="s">
        <v>111</v>
      </c>
      <c r="B10" s="28" t="n">
        <v>44</v>
      </c>
      <c r="C10" s="28" t="n">
        <f aca="false">'1. The tape'!H3</f>
        <v>44</v>
      </c>
      <c r="D10" s="30" t="str">
        <f aca="false">IF(ISNUMBER(C10)=FALSE(),"CHECK",IF(ABS(C10-B10)&lt;=0.005,"OK","CHECK"))</f>
        <v>OK</v>
      </c>
      <c r="E10" s="36"/>
    </row>
    <row r="11" customFormat="false" ht="15" hidden="false" customHeight="false" outlineLevel="0" collapsed="false">
      <c r="A11" s="5" t="s">
        <v>112</v>
      </c>
      <c r="B11" s="37" t="n">
        <v>0.38</v>
      </c>
      <c r="C11" s="37" t="n">
        <f aca="false">'5. Scenarios'!B26</f>
        <v>0.378066894900589</v>
      </c>
      <c r="D11" s="30" t="str">
        <f aca="false">IF(ISNUMBER(C11)=FALSE(),"CHECK",IF(ABS(C11-B11)&lt;=0.005,"OK","CHECK"))</f>
        <v>OK</v>
      </c>
      <c r="E11" s="36"/>
    </row>
    <row r="12" customFormat="false" ht="15" hidden="false" customHeight="false" outlineLevel="0" collapsed="false">
      <c r="A12" s="5" t="s">
        <v>113</v>
      </c>
      <c r="B12" s="37" t="n">
        <v>0.31</v>
      </c>
      <c r="C12" s="37" t="n">
        <f aca="false">'5. Scenarios'!C26</f>
        <v>0.308457711442786</v>
      </c>
      <c r="D12" s="30" t="str">
        <f aca="false">IF(ISNUMBER(C12)=FALSE(),"CHECK",IF(ABS(C12-B12)&lt;=0.005,"OK","CHECK"))</f>
        <v>OK</v>
      </c>
      <c r="E12" s="36"/>
    </row>
    <row r="13" customFormat="false" ht="15" hidden="false" customHeight="false" outlineLevel="0" collapsed="false">
      <c r="A13" s="5" t="s">
        <v>114</v>
      </c>
      <c r="B13" s="38" t="n">
        <v>2.1</v>
      </c>
      <c r="C13" s="38" t="n">
        <f aca="false">'5. Scenarios'!B27</f>
        <v>2.05195918717311</v>
      </c>
      <c r="D13" s="30" t="str">
        <f aca="false">IF(ISNUMBER(C13)=FALSE(),"CHECK",IF(ABS(C13-B13)&lt;=0.05,"OK","CHECK"))</f>
        <v>OK</v>
      </c>
      <c r="E13" s="36"/>
    </row>
    <row r="14" customFormat="false" ht="15" hidden="false" customHeight="false" outlineLevel="0" collapsed="false">
      <c r="A14" s="5" t="s">
        <v>115</v>
      </c>
      <c r="B14" s="33" t="n">
        <v>-0.0087</v>
      </c>
      <c r="C14" s="33" t="n">
        <f aca="false">'5. Scenarios'!B25</f>
        <v>-0.00866801117437854</v>
      </c>
      <c r="D14" s="30" t="str">
        <f aca="false">IF(ISNUMBER(C14)=FALSE(),"CHECK",IF(ABS(C14-B14)&lt;=0.00005,"OK","CHECK"))</f>
        <v>OK</v>
      </c>
      <c r="E14" s="36"/>
    </row>
    <row r="15" customFormat="false" ht="15" hidden="false" customHeight="false" outlineLevel="0" collapsed="false">
      <c r="A15" s="5" t="s">
        <v>116</v>
      </c>
      <c r="B15" s="35" t="n">
        <v>121.283</v>
      </c>
      <c r="C15" s="35" t="n">
        <f aca="false">'3. Debt'!B9</f>
        <v>121.283090862356</v>
      </c>
      <c r="D15" s="30" t="str">
        <f aca="false">IF(ISNUMBER(C15)=FALSE(),"CHECK",IF(ABS(C15-B15)&lt;=0.005,"OK","CHECK"))</f>
        <v>OK</v>
      </c>
      <c r="E15" s="36"/>
    </row>
    <row r="16" customFormat="false" ht="15" hidden="false" customHeight="false" outlineLevel="0" collapsed="false">
      <c r="A16" s="5" t="s">
        <v>117</v>
      </c>
      <c r="B16" s="39" t="n">
        <v>2.2816</v>
      </c>
      <c r="C16" s="39" t="n">
        <f aca="false">'3. Debt'!B8</f>
        <v>2.28155881034114</v>
      </c>
      <c r="D16" s="30" t="str">
        <f aca="false">IF(ISNUMBER(C16)=FALSE(),"CHECK",IF(ABS(C16-B16)&lt;=0.00005,"OK","CHECK"))</f>
        <v>OK</v>
      </c>
      <c r="E16" s="36"/>
    </row>
    <row r="17" customFormat="false" ht="15" hidden="false" customHeight="false" outlineLevel="0" collapsed="false">
      <c r="A17" s="5" t="s">
        <v>118</v>
      </c>
      <c r="B17" s="28" t="n">
        <v>112.23</v>
      </c>
      <c r="C17" s="28" t="n">
        <f aca="false">'3. Debt'!B3/(1+'3. Debt'!B6)^'3. Debt'!B5</f>
        <v>112.229865502922</v>
      </c>
      <c r="D17" s="30" t="str">
        <f aca="false">IF(ISNUMBER(C17)=FALSE(),"CHECK",IF(ABS(C17-B17)&lt;=0.005,"OK","CHECK"))</f>
        <v>OK</v>
      </c>
      <c r="E17" s="36"/>
    </row>
    <row r="18" customFormat="false" ht="15" hidden="false" customHeight="false" outlineLevel="0" collapsed="false">
      <c r="A18" s="5" t="s">
        <v>119</v>
      </c>
      <c r="B18" s="28" t="n">
        <v>6.72</v>
      </c>
      <c r="C18" s="28" t="n">
        <f aca="false">'3. Debt'!B10</f>
        <v>6.71690913764432</v>
      </c>
      <c r="D18" s="30" t="str">
        <f aca="false">IF(ISNUMBER(C18)=FALSE(),"CHECK",IF(ABS(C18-B18)&lt;=0.005,"OK","CHECK"))</f>
        <v>OK</v>
      </c>
      <c r="E18" s="36"/>
    </row>
    <row r="19" customFormat="false" ht="15" hidden="false" customHeight="false" outlineLevel="0" collapsed="false">
      <c r="A19" s="5" t="s">
        <v>120</v>
      </c>
      <c r="B19" s="35" t="n">
        <v>1.4777</v>
      </c>
      <c r="C19" s="35" t="n">
        <f aca="false">'3. Debt'!B11</f>
        <v>1.47772001028175</v>
      </c>
      <c r="D19" s="30" t="str">
        <f aca="false">IF(ISNUMBER(C19)=FALSE(),"CHECK",IF(ABS(C19-B19)&lt;=0.001,"OK","CHECK"))</f>
        <v>OK</v>
      </c>
      <c r="E19" s="36"/>
    </row>
    <row r="20" customFormat="false" ht="15" hidden="false" customHeight="false" outlineLevel="0" collapsed="false">
      <c r="A20" s="5" t="s">
        <v>121</v>
      </c>
      <c r="B20" s="29" t="n">
        <v>0.439</v>
      </c>
      <c r="C20" s="29" t="n">
        <f aca="false">'5. Scenarios'!B22</f>
        <v>0.438609478002495</v>
      </c>
      <c r="D20" s="30" t="str">
        <f aca="false">IF(ISNUMBER(C20)=FALSE(),"CHECK",IF(ABS(C20-B20)&lt;=0.0005,"OK","CHECK"))</f>
        <v>OK</v>
      </c>
      <c r="E20" s="36"/>
    </row>
    <row r="21" customFormat="false" ht="15" hidden="false" customHeight="false" outlineLevel="0" collapsed="false">
      <c r="A21" s="5" t="s">
        <v>122</v>
      </c>
      <c r="B21" s="28" t="n">
        <v>213.33</v>
      </c>
      <c r="C21" s="28" t="n">
        <f aca="false">'5. Scenarios'!B23</f>
        <v>213.333333333333</v>
      </c>
      <c r="D21" s="30" t="str">
        <f aca="false">IF(ISNUMBER(C21)=FALSE(),"CHECK",IF(ABS(C21-B21)&lt;=0.005,"OK","CHECK"))</f>
        <v>OK</v>
      </c>
      <c r="E21" s="36"/>
    </row>
    <row r="22" customFormat="false" ht="15" hidden="false" customHeight="false" outlineLevel="0" collapsed="false">
      <c r="A22" s="5" t="s">
        <v>123</v>
      </c>
      <c r="B22" s="29" t="n">
        <v>0.269</v>
      </c>
      <c r="C22" s="29" t="n">
        <f aca="false">'5. Scenarios'!B24</f>
        <v>0.268984203329174</v>
      </c>
      <c r="D22" s="30" t="str">
        <f aca="false">IF(ISNUMBER(C22)=FALSE(),"CHECK",IF(ABS(C22-B22)&lt;=0.0005,"OK","CHECK"))</f>
        <v>OK</v>
      </c>
      <c r="E22" s="36"/>
    </row>
    <row r="23" customFormat="false" ht="15" hidden="false" customHeight="false" outlineLevel="0" collapsed="false">
      <c r="A23" s="5" t="s">
        <v>124</v>
      </c>
      <c r="B23" s="33" t="n">
        <v>-0.077876</v>
      </c>
      <c r="C23" s="33" t="n">
        <f aca="false">'4. Stress'!B15</f>
        <v>-0.0778763790931959</v>
      </c>
      <c r="D23" s="30" t="str">
        <f aca="false">IF(ISNUMBER(C23)=FALSE(),"CHECK",IF(ABS(C23-B23)&lt;=0.00005,"OK","CHECK"))</f>
        <v>OK</v>
      </c>
      <c r="E23" s="36"/>
    </row>
    <row r="24" customFormat="false" ht="15" hidden="false" customHeight="false" outlineLevel="0" collapsed="false">
      <c r="A24" s="5" t="s">
        <v>125</v>
      </c>
      <c r="B24" s="28" t="n">
        <v>33.72</v>
      </c>
      <c r="C24" s="28" t="n">
        <f aca="false">'5. Scenarios'!E10</f>
        <v>33.7228897707199</v>
      </c>
      <c r="D24" s="30" t="str">
        <f aca="false">IF(ISNUMBER(C24)=FALSE(),"CHECK",IF(ABS(C24-B24)&lt;=0.005,"OK","CHECK"))</f>
        <v>OK</v>
      </c>
      <c r="E24" s="36"/>
    </row>
    <row r="25" customFormat="false" ht="15" hidden="false" customHeight="false" outlineLevel="0" collapsed="false">
      <c r="A25" s="5" t="s">
        <v>126</v>
      </c>
      <c r="B25" s="29" t="n">
        <v>-0.078</v>
      </c>
      <c r="C25" s="29" t="n">
        <f aca="false">'5. Scenarios'!F10</f>
        <v>-0.0778763790931956</v>
      </c>
      <c r="D25" s="30" t="str">
        <f aca="false">IF(ISNUMBER(C25)=FALSE(),"CHECK",IF(ABS(C25-B25)&lt;=0.0005,"OK","CHECK"))</f>
        <v>OK</v>
      </c>
      <c r="E25" s="36"/>
    </row>
    <row r="26" customFormat="false" ht="15" hidden="false" customHeight="false" outlineLevel="0" collapsed="false">
      <c r="A26" s="5" t="s">
        <v>127</v>
      </c>
      <c r="B26" s="28" t="n">
        <v>31.11</v>
      </c>
      <c r="C26" s="28" t="n">
        <f aca="false">'5. Scenarios'!E11</f>
        <v>31.110555087006</v>
      </c>
      <c r="D26" s="30" t="str">
        <f aca="false">IF(ISNUMBER(C26)=FALSE(),"CHECK",IF(ABS(C26-B26)&lt;=0.005,"OK","CHECK"))</f>
        <v>OK</v>
      </c>
      <c r="E26" s="36"/>
    </row>
    <row r="27" customFormat="false" ht="15" hidden="false" customHeight="false" outlineLevel="0" collapsed="false">
      <c r="A27" s="5" t="s">
        <v>126</v>
      </c>
      <c r="B27" s="29" t="n">
        <v>-0.149</v>
      </c>
      <c r="C27" s="29" t="n">
        <f aca="false">'5. Scenarios'!F11</f>
        <v>-0.149308440044811</v>
      </c>
      <c r="D27" s="30" t="str">
        <f aca="false">IF(ISNUMBER(C27)=FALSE(),"CHECK",IF(ABS(C27-B27)&lt;=0.0005,"OK","CHECK"))</f>
        <v>OK</v>
      </c>
      <c r="E27" s="36"/>
    </row>
    <row r="28" customFormat="false" ht="15" hidden="false" customHeight="false" outlineLevel="0" collapsed="false">
      <c r="A28" s="5" t="s">
        <v>128</v>
      </c>
      <c r="B28" s="28" t="n">
        <v>35.76</v>
      </c>
      <c r="C28" s="28" t="n">
        <f aca="false">'5. Scenarios'!E12</f>
        <v>35.7568989620689</v>
      </c>
      <c r="D28" s="30" t="str">
        <f aca="false">IF(ISNUMBER(C28)=FALSE(),"CHECK",IF(ABS(C28-B28)&lt;=0.005,"OK","CHECK"))</f>
        <v>OK</v>
      </c>
      <c r="E28" s="36"/>
    </row>
    <row r="29" customFormat="false" ht="15" hidden="false" customHeight="false" outlineLevel="0" collapsed="false">
      <c r="A29" s="5" t="s">
        <v>126</v>
      </c>
      <c r="B29" s="29" t="n">
        <v>-0.022</v>
      </c>
      <c r="C29" s="29" t="n">
        <f aca="false">'5. Scenarios'!F12</f>
        <v>-0.0222581348313116</v>
      </c>
      <c r="D29" s="30" t="str">
        <f aca="false">IF(ISNUMBER(C29)=FALSE(),"CHECK",IF(ABS(C29-B29)&lt;=0.0005,"OK","CHECK"))</f>
        <v>OK</v>
      </c>
      <c r="E29" s="36"/>
    </row>
    <row r="30" customFormat="false" ht="15" hidden="false" customHeight="false" outlineLevel="0" collapsed="false">
      <c r="A30" s="5" t="s">
        <v>129</v>
      </c>
      <c r="B30" s="28" t="n">
        <v>33.16</v>
      </c>
      <c r="C30" s="28" t="n">
        <f aca="false">'5. Scenarios'!E13</f>
        <v>33.1572540139655</v>
      </c>
      <c r="D30" s="30" t="str">
        <f aca="false">IF(ISNUMBER(C30)=FALSE(),"CHECK",IF(ABS(C30-B30)&lt;=0.005,"OK","CHECK"))</f>
        <v>OK</v>
      </c>
      <c r="E30" s="36"/>
    </row>
    <row r="31" customFormat="false" ht="15" hidden="false" customHeight="false" outlineLevel="0" collapsed="false">
      <c r="A31" s="5" t="s">
        <v>126</v>
      </c>
      <c r="B31" s="29" t="n">
        <v>-0.093</v>
      </c>
      <c r="C31" s="29" t="n">
        <f aca="false">'5. Scenarios'!F13</f>
        <v>-0.0933432057998918</v>
      </c>
      <c r="D31" s="30" t="str">
        <f aca="false">IF(ISNUMBER(C31)=FALSE(),"CHECK",IF(ABS(C31-B31)&lt;=0.0005,"OK","CHECK"))</f>
        <v>OK</v>
      </c>
      <c r="E31" s="36"/>
    </row>
    <row r="32" customFormat="false" ht="15" hidden="false" customHeight="false" outlineLevel="0" collapsed="false">
      <c r="A32" s="5" t="s">
        <v>130</v>
      </c>
      <c r="B32" s="28" t="n">
        <v>27.97</v>
      </c>
      <c r="C32" s="28" t="n">
        <f aca="false">'5. Scenarios'!E14</f>
        <v>27.9699273326557</v>
      </c>
      <c r="D32" s="30" t="str">
        <f aca="false">IF(ISNUMBER(C32)=FALSE(),"CHECK",IF(ABS(C32-B32)&lt;=0.005,"OK","CHECK"))</f>
        <v>OK</v>
      </c>
      <c r="E32" s="36"/>
    </row>
    <row r="33" customFormat="false" ht="15" hidden="false" customHeight="false" outlineLevel="0" collapsed="false">
      <c r="A33" s="5" t="s">
        <v>126</v>
      </c>
      <c r="B33" s="29" t="n">
        <v>-0.235</v>
      </c>
      <c r="C33" s="29" t="n">
        <f aca="false">'5. Scenarios'!F14</f>
        <v>-0.235186223842463</v>
      </c>
      <c r="D33" s="30" t="str">
        <f aca="false">IF(ISNUMBER(C33)=FALSE(),"CHECK",IF(ABS(C33-B33)&lt;=0.0005,"OK","CHECK"))</f>
        <v>OK</v>
      </c>
      <c r="E33" s="36"/>
    </row>
    <row r="34" customFormat="false" ht="15" hidden="false" customHeight="false" outlineLevel="0" collapsed="false">
      <c r="A34" s="5" t="s">
        <v>131</v>
      </c>
      <c r="B34" s="33" t="n">
        <v>0.0045</v>
      </c>
      <c r="C34" s="33" t="n">
        <f aca="false">'5. Scenarios'!B17</f>
        <v>0.00454483518107054</v>
      </c>
      <c r="D34" s="30" t="str">
        <f aca="false">IF(ISNUMBER(C34)=FALSE(),"CHECK",IF(ABS(C34-B34)&lt;=0.00005,"OK","CHECK"))</f>
        <v>OK</v>
      </c>
      <c r="E34" s="36" t="s">
        <v>132</v>
      </c>
    </row>
    <row r="35" customFormat="false" ht="15" hidden="false" customHeight="false" outlineLevel="0" collapsed="false">
      <c r="A35" s="5" t="s">
        <v>133</v>
      </c>
      <c r="B35" s="29" t="n">
        <v>-0.073</v>
      </c>
      <c r="C35" s="29" t="n">
        <f aca="false">'5. Scenarios'!B18</f>
        <v>-0.0732486687704194</v>
      </c>
      <c r="D35" s="30" t="str">
        <f aca="false">IF(ISNUMBER(C35)=FALSE(),"CHECK",IF(ABS(C35-B35)&lt;=0.0005,"OK","CHECK"))</f>
        <v>OK</v>
      </c>
      <c r="E35" s="36" t="s">
        <v>134</v>
      </c>
    </row>
    <row r="36" customFormat="false" ht="15" hidden="false" customHeight="false" outlineLevel="0" collapsed="false">
      <c r="A36" s="5" t="s">
        <v>135</v>
      </c>
      <c r="C36" s="22" t="str">
        <f aca="false">IF(ABS(((SUMPRODUCT('1. The tape'!$C$2:$C$7*(1+0)*(1-'1. The tape'!$D$2:$D$7)/('1. The tape'!$E$2:$E$7+'5. Scenarios'!B17+('1. The tape'!$E$2:$E$7=0)))-SUM('1. The tape'!$F$2:$F$7)*(1+0)-'2. Fund level'!$B$4+'2. Fund level'!$B$5-'2. Fund level'!$B$6)*'2. Fund level'!$B$8)-'5. Scenarios'!B4)&lt;0.0001,"OK","CHECK")</f>
        <v>OK</v>
      </c>
      <c r="D36" s="30" t="str">
        <f aca="false">IF(C36="","",IF(C36="OK","OK","CHECK"))</f>
        <v>OK</v>
      </c>
      <c r="E36" s="36" t="s">
        <v>136</v>
      </c>
    </row>
    <row r="37" customFormat="false" ht="15" hidden="false" customHeight="false" outlineLevel="0" collapsed="false">
      <c r="A37" s="5" t="s">
        <v>137</v>
      </c>
      <c r="C37" s="22" t="str">
        <f aca="false">IF(ABS(((SUMPRODUCT('1. The tape'!$C$2:$C$7*(1+'5. Scenarios'!B18)*(1-'1. The tape'!$D$2:$D$7)/('1. The tape'!$E$2:$E$7+0+('1. The tape'!$E$2:$E$7=0)))-SUM('1. The tape'!$F$2:$F$7)*(1+0)-'2. Fund level'!$B$4+'2. Fund level'!$B$5-'2. Fund level'!$B$6)*'2. Fund level'!$B$8)-'5. Scenarios'!B4)&lt;0.000000001,"OK","CHECK")</f>
        <v>OK</v>
      </c>
      <c r="D37" s="30" t="str">
        <f aca="false">IF(C37="","",IF(C37="OK","OK","CHECK"))</f>
        <v>OK</v>
      </c>
      <c r="E37" s="36" t="s">
        <v>136</v>
      </c>
    </row>
    <row r="38" customFormat="false" ht="15" hidden="false" customHeight="false" outlineLevel="0" collapsed="false">
      <c r="A38" s="5" t="s">
        <v>138</v>
      </c>
      <c r="C38" s="22" t="str">
        <f aca="false">IF(ABS('4. Stress'!B14-((SUMPRODUCT('1. The tape'!$C$2:$C$7*(1+'4. Stress'!B4)*(1-'1. The tape'!$D$2:$D$7)/('1. The tape'!$E$2:$E$7+'4. Stress'!B3+('1. The tape'!$E$2:$E$7=0)))-SUM('1. The tape'!$F$2:$F$7)*(1+0)-'2. Fund level'!$B$4+'2. Fund level'!$B$5-'2. Fund level'!$B$6)*'2. Fund level'!$B$8))&lt;0.000000001,"OK","CHECK")</f>
        <v>OK</v>
      </c>
      <c r="D38" s="30" t="str">
        <f aca="false">IF(C38="","",IF(C38="OK","OK","CHECK"))</f>
        <v>OK</v>
      </c>
      <c r="E38" s="36" t="s">
        <v>136</v>
      </c>
    </row>
    <row r="39" customFormat="false" ht="15" hidden="false" customHeight="false" outlineLevel="0" collapsed="false">
      <c r="A39" s="5" t="s">
        <v>139</v>
      </c>
      <c r="C39" s="22" t="str">
        <f aca="false">IF(ABS('2. Fund level'!B7-('1. The tape'!I8-'2. Fund level'!B4+'2. Fund level'!B5-'2. Fund level'!B6))&lt;0.000000001,"OK","CHECK")</f>
        <v>OK</v>
      </c>
      <c r="D39" s="30" t="str">
        <f aca="false">IF(C39="","",IF(C39="OK","OK","CHECK"))</f>
        <v>OK</v>
      </c>
      <c r="E39" s="36" t="s">
        <v>136</v>
      </c>
    </row>
    <row r="41" customFormat="false" ht="15" hidden="false" customHeight="false" outlineLevel="0" collapsed="false">
      <c r="A41" s="30" t="s">
        <v>140</v>
      </c>
      <c r="C41" s="30" t="str">
        <f aca="false">COUNTIF(D5:D39,"OK")&amp;" / 35"</f>
        <v>35 / 35</v>
      </c>
      <c r="D41" s="30" t="str">
        <f aca="false">IF(COUNTIF(D5:D39,"OK")=35,"ALL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2026-08-25T05:19:47Z</dcterms:created>
  <dc:creator>openpyxl</dc:creator>
  <dc:description/>
  <dc:language>en-US</dc:language>
  <cp:lastModifiedBy/>
  <dcterms:modified xsi:type="dcterms:W3CDTF">2026-09-23T21:53:26Z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