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1. The Building" sheetId="2" state="visible" r:id="rId4"/>
    <sheet name="2. The Three Routes" sheetId="3" state="visible" r:id="rId5"/>
    <sheet name="3. Timing" sheetId="4" state="visible" r:id="rId6"/>
    <sheet name="4. The Two Numbers" sheetId="5" state="visible" r:id="rId7"/>
    <sheet name="5. Buyer's Discount" sheetId="6" state="visible" r:id="rId8"/>
    <sheet name="6. Sensitivity" sheetId="7" state="visible" r:id="rId9"/>
    <sheet name="7. Checks"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<sst xmlns="http://schemas.openxmlformats.org/spreadsheetml/2006/main" count="239" uniqueCount="194">
  <si>
    <t xml:space="preserve">The Cost of Doing Nothing, Computed</t>
  </si>
  <si>
    <t xml:space="preserve">A companion to Appendix F, and to Chapter 13</t>
  </si>
  <si>
    <t xml:space="preserve">Chapter 13 is called "Building Performance, Obsolescence and the Cost of Doing Nothing". It sets out the structure of the problem with care, works through a practical example, and says that the value of the chapter "is entirely in that comparison". It then does not make the comparison. There is not a single figure in it.</t>
  </si>
  <si>
    <t xml:space="preserve">This file makes the comparison, on the chapter's own building: an office one performance band below a standard that applies in four years, with two leases representing sixty per cent of income expiring at the end of year three.</t>
  </si>
  <si>
    <t xml:space="preserve">The three answers</t>
  </si>
  <si>
    <t xml:space="preserve">The cost of doing nothing is 4,770,000 in present value. That is 1.49 times the cost of the work that would avoid it, and it is dominated by the exit value, not by the lost rent — which is the chapter's own point that this has become a valuation topic rather than a compliance one, now with a number attached.</t>
  </si>
  <si>
    <t xml:space="preserve">Planning the work into the year-three void rather than into the year-four deadline is worth 1,302,000. The chapter calls this the single largest cost saving available. More than half of it — 689,000 of 1,302,000 — is not a cost saving at all. It is income.</t>
  </si>
  <si>
    <t xml:space="preserve">The fabric package beats the plant package by 448,000 despite costing 1,400,000 more, because a buyer at exit deducts 1,479,000 for plant with six years of life left. That is the chapter's durability claim, priced.</t>
  </si>
  <si>
    <t xml:space="preserve">The sheets</t>
  </si>
  <si>
    <t xml:space="preserve">1. The Building — the asset, the leases, the deadline. Every input is here.</t>
  </si>
  <si>
    <t xml:space="preserve">2. The Three Routes — plant, fabric, combined: cost, life, and what a buyer deducts for each</t>
  </si>
  <si>
    <t xml:space="preserve">3. Timing — ten years of cash flow under each of the three decisions, side by side</t>
  </si>
  <si>
    <t xml:space="preserve">4. The Two Numbers — the value of the void and the cost of doing nothing, each bridged to its parts</t>
  </si>
  <si>
    <t xml:space="preserve">5. The Buyer's Discount — the chapter says the discount now exceeds the cost of the work. It does, by 2.6 times.</t>
  </si>
  <si>
    <t xml:space="preserve">6. Sensitivity — both answers across the range of assumptions you might reasonably disagree with</t>
  </si>
  <si>
    <t xml:space="preserve">7. Checks — every figure in Appendix F, recomputed and compared: twenty-five checks</t>
  </si>
  <si>
    <t xml:space="preserve">A warning about the figures</t>
  </si>
  <si>
    <t xml:space="preserve">Everything here is illustrative, as everything in the book is. The chapter is deliberately silent on thresholds and dates because they differ by country and change; this file inherits that silence and models a deadline in the abstract. What is not illustrative is the shape of the result, which holds across the whole sensitivity range on sheet 6: doing nothing costs more than the work, and the void is worth more than the discount on the contract.</t>
  </si>
  <si>
    <t xml:space="preserve">Blue on a pale fill is an input. Black on grey is a formula — do not overtype it.</t>
  </si>
  <si>
    <t xml:space="preserve">Revised 23 September 2026. The plant's remaining life at exit now starts from year four, when the work is paid for and the space re-let (sheet 2, row 13): six years, not five, so the buyer deducts 1,479,000 and fabric wins by 448,000 (the first edition printed 1,590,000, 501,000 and "two years"). Sheet 5 now splits the buyer's discount into four parts that add up to it; the first version listed three that came to 9,053,548 against a discount of 8,317,548. Nine checks added, twenty-five in all, including the sensitivity range: 3.3 to 6.0 million across the 275 basis points, not the 3.7 to 5.6 the first edition printed.</t>
  </si>
  <si>
    <t xml:space="preserve">The building, the leases, and the deadline</t>
  </si>
  <si>
    <t xml:space="preserve">The chapter's practical example, given the figures it does not give.</t>
  </si>
  <si>
    <t xml:space="preserve">The asset</t>
  </si>
  <si>
    <t xml:space="preserve">Net internal area (sqm)</t>
  </si>
  <si>
    <t xml:space="preserve">Passing rent (per sqm)</t>
  </si>
  <si>
    <t xml:space="preserve">Passing rent (total)</t>
  </si>
  <si>
    <t xml:space="preserve">Non-recoverable costs, share of rent</t>
  </si>
  <si>
    <t xml:space="preserve">Net income today</t>
  </si>
  <si>
    <t xml:space="preserve">The leases</t>
  </si>
  <si>
    <t xml:space="preserve">Share of income in the two leases expiring</t>
  </si>
  <si>
    <t xml:space="preserve">They expire at the end of year</t>
  </si>
  <si>
    <t xml:space="preserve">The remaining leases expire at the end of year</t>
  </si>
  <si>
    <t xml:space="preserve">Void on re-letting after works (years)</t>
  </si>
  <si>
    <t xml:space="preserve">The deadline</t>
  </si>
  <si>
    <t xml:space="preserve">The higher standard applies from year</t>
  </si>
  <si>
    <t xml:space="preserve">Cost premium for working occupied, to a deadline</t>
  </si>
  <si>
    <t xml:space="preserve">Rent abated on retained space during occupied works</t>
  </si>
  <si>
    <t xml:space="preserve">Rent achievable once refurbished, uplift</t>
  </si>
  <si>
    <t xml:space="preserve">The premium covers phasing, out-of-hours working, and contractor scarcity as every other building in the market works to the same date.</t>
  </si>
  <si>
    <t xml:space="preserve">Valuation</t>
  </si>
  <si>
    <t xml:space="preserve">Discount rate</t>
  </si>
  <si>
    <t xml:space="preserve">Exit yield — compliant building</t>
  </si>
  <si>
    <t xml:space="preserve">Exit yield — non-compliant, capex overhang</t>
  </si>
  <si>
    <t xml:space="preserve">Execution-risk deduction a buyer applies</t>
  </si>
  <si>
    <t xml:space="preserve">Hold period (years)</t>
  </si>
  <si>
    <t xml:space="preserve">Construction cost inflation, per year</t>
  </si>
  <si>
    <t xml:space="preserve">The 150 basis point gap between the two exit yields is the whole subject of the chapter, expressed as a valuer would express it.</t>
  </si>
  <si>
    <t xml:space="preserve">Plant, fabric, or both</t>
  </si>
  <si>
    <t xml:space="preserve">Chapter 13: "Fabric improvements typically have longer payback but greater durability; plant replacement has shorter payback but must be repeated."</t>
  </si>
  <si>
    <t xml:space="preserve">Plant package</t>
  </si>
  <si>
    <t xml:space="preserve">Fabric package</t>
  </si>
  <si>
    <t xml:space="preserve">Combined</t>
  </si>
  <si>
    <t xml:space="preserve">What it means</t>
  </si>
  <si>
    <t xml:space="preserve">Capital cost</t>
  </si>
  <si>
    <t xml:space="preserve">the technical adviser's three routes</t>
  </si>
  <si>
    <t xml:space="preserve">Expected life (years)</t>
  </si>
  <si>
    <t xml:space="preserve">how long before it must be done again</t>
  </si>
  <si>
    <t xml:space="preserve">Rent uplift it supports</t>
  </si>
  <si>
    <t xml:space="preserve">plant achieves compliance; fabric also improves the space</t>
  </si>
  <si>
    <t xml:space="preserve">Meets the standard</t>
  </si>
  <si>
    <t xml:space="preserve">yes</t>
  </si>
  <si>
    <t xml:space="preserve">all three routes clear the mandatory bar</t>
  </si>
  <si>
    <t xml:space="preserve">What a buyer deducts at exit</t>
  </si>
  <si>
    <t xml:space="preserve">A buyer prices the remaining life of what you installed. This is where durability stops being an adjective.</t>
  </si>
  <si>
    <t xml:space="preserve">Year the work is paid for and completed: the void year after the year-3 expiries</t>
  </si>
  <si>
    <t xml:space="preserve">Years of life left at a year-10 exit</t>
  </si>
  <si>
    <t xml:space="preserve">Replacement cost then, with inflation</t>
  </si>
  <si>
    <t xml:space="preserve">Deduction the buyer applies</t>
  </si>
  <si>
    <t xml:space="preserve">nil where the replacement falls beyond a buyer's own hold</t>
  </si>
  <si>
    <t xml:space="preserve">The three routes compared, each done in the void</t>
  </si>
  <si>
    <t xml:space="preserve">Identical timing. The only differences are the cost, the rent it supports, and what a buyer deducts for its remaining life.</t>
  </si>
  <si>
    <t xml:space="preserve">Year</t>
  </si>
  <si>
    <t xml:space="preserve">Plant</t>
  </si>
  <si>
    <t xml:space="preserve">Fabric</t>
  </si>
  <si>
    <t xml:space="preserve">NPV</t>
  </si>
  <si>
    <t xml:space="preserve">Fabric less plant</t>
  </si>
  <si>
    <t xml:space="preserve">Which route wins, and why</t>
  </si>
  <si>
    <t xml:space="preserve">The plant package is 1,400,000 cheaper and, on the income alone, looks the better trade. It loses because a buyer at a year-ten exit is inheriting plant with six years of life left (paid for in year four, a twelve-year life, replaced in year sixteen) and deducts the cost of replacing it: 1,479,000. That deduction is larger than the saving on the contract. The chapter's word for this is durability; the buyer's word for it is a deduction, and only one of the two appears in a price. Fabric wins for as long as the plant would need replacing inside the buyer's own ten-year hold.</t>
  </si>
  <si>
    <t xml:space="preserve">Ten years, three decisions</t>
  </si>
  <si>
    <t xml:space="preserve">Left: the work done in the year-three void. Middle: the same work in year four, occupied, to the deadline. Right: nothing done at all.</t>
  </si>
  <si>
    <t xml:space="preserve">All three use the fabric package. Change the route on sheet 2 and all three move together.</t>
  </si>
  <si>
    <t xml:space="preserve">IN THE VOID</t>
  </si>
  <si>
    <t xml:space="preserve">UNDER THE DEADLINE</t>
  </si>
  <si>
    <t xml:space="preserve">DOING NOTHING</t>
  </si>
  <si>
    <t xml:space="preserve">Net income</t>
  </si>
  <si>
    <t xml:space="preserve">Capital</t>
  </si>
  <si>
    <t xml:space="preserve">Net</t>
  </si>
  <si>
    <t xml:space="preserve">Exit</t>
  </si>
  <si>
    <t xml:space="preserve">Total in the final year</t>
  </si>
  <si>
    <t xml:space="preserve">Present value</t>
  </si>
  <si>
    <t xml:space="preserve">In the void</t>
  </si>
  <si>
    <t xml:space="preserve">Under the deadline</t>
  </si>
  <si>
    <t xml:space="preserve">Doing nothing</t>
  </si>
  <si>
    <t xml:space="preserve">The three columns differ only in when the same work is done, and whether it is done at all. Same building, same standard, same contractor.</t>
  </si>
  <si>
    <t xml:space="preserve">The value of the void, and the cost of doing nothing</t>
  </si>
  <si>
    <t xml:space="preserve">The value of the void</t>
  </si>
  <si>
    <t xml:space="preserve">Chapter 13: "This is the single largest cost saving available and it requires planning years ahead."</t>
  </si>
  <si>
    <t xml:space="preserve">Amount</t>
  </si>
  <si>
    <t xml:space="preserve">Share</t>
  </si>
  <si>
    <t xml:space="preserve">What it is</t>
  </si>
  <si>
    <t xml:space="preserve">Work done in the year-three void — NPV</t>
  </si>
  <si>
    <t xml:space="preserve">Same work in year four, occupied — NPV</t>
  </si>
  <si>
    <t xml:space="preserve">Bridged to its parts</t>
  </si>
  <si>
    <t xml:space="preserve">Cost premium avoided, in present value</t>
  </si>
  <si>
    <t xml:space="preserve">a cheaper contract, paid later</t>
  </si>
  <si>
    <t xml:space="preserve">Income: the disruption, and a year of rent</t>
  </si>
  <si>
    <t xml:space="preserve">rent abated during occupied works, and the later start</t>
  </si>
  <si>
    <t xml:space="preserve">Total</t>
  </si>
  <si>
    <t xml:space="preserve">Worth pausing on the split. The chapter calls the void a cost saving, and it is — but the smaller half of it. The larger part is income the building earns because the work started a year earlier and did not have to be worked around. An asset manager who justifies early planning purely on the contract price is understating their own case by more than half.</t>
  </si>
  <si>
    <t xml:space="preserve">The cost of doing nothing</t>
  </si>
  <si>
    <t xml:space="preserve">The number the chapter's title promises and the chapter does not give.</t>
  </si>
  <si>
    <t xml:space="preserve">Work done in the void — NPV</t>
  </si>
  <si>
    <t xml:space="preserve">Nothing done — NPV</t>
  </si>
  <si>
    <t xml:space="preserve">As a multiple of the cost of the work</t>
  </si>
  <si>
    <t xml:space="preserve">the work is cheaper than not doing it, by half again</t>
  </si>
  <si>
    <t xml:space="preserve">Income never earned, in present value</t>
  </si>
  <si>
    <t xml:space="preserve">space that cannot be let, from the deadline on</t>
  </si>
  <si>
    <t xml:space="preserve">Exit value forgone, in present value</t>
  </si>
  <si>
    <t xml:space="preserve">a wider yield on a smaller rent, less the buyer's own capex</t>
  </si>
  <si>
    <t xml:space="preserve">Capital not spent — a genuine saving</t>
  </si>
  <si>
    <t xml:space="preserve">the only thing doing nothing has going for it</t>
  </si>
  <si>
    <t xml:space="preserve">And this is the chapter's opening claim, proved. The exit line is larger than the income line: more of the damage lands on the price at sale than on the rent collected along the way. Building performance has become a valuation topic rather than a compliance one, and the arithmetic says so before the valuer does.</t>
  </si>
  <si>
    <t xml:space="preserve">Does the discount exceed the cost of the work?</t>
  </si>
  <si>
    <t xml:space="preserve">Chapter 13: "increasingly the discount exceeds the cost of the work — because the buyer prices the cost, the disruption, the execution risk and the uncertainty."</t>
  </si>
  <si>
    <t xml:space="preserve">Exit value, compliant building</t>
  </si>
  <si>
    <t xml:space="preserve">Exit value, non-compliant building</t>
  </si>
  <si>
    <t xml:space="preserve">The buyer's discount</t>
  </si>
  <si>
    <t xml:space="preserve">The cost of the work</t>
  </si>
  <si>
    <t xml:space="preserve">Ratio</t>
  </si>
  <si>
    <t xml:space="preserve">What the buyer is actually deducting</t>
  </si>
  <si>
    <t xml:space="preserve">Component</t>
  </si>
  <si>
    <t xml:space="preserve">Share of the discount</t>
  </si>
  <si>
    <t xml:space="preserve">Note</t>
  </si>
  <si>
    <t xml:space="preserve">Yield shift: the compliant rent at the wider yield</t>
  </si>
  <si>
    <t xml:space="preserve">150 basis points wider on the same rent</t>
  </si>
  <si>
    <t xml:space="preserve">Rent: the buyer re-lets the whole dark building at the refurbished rent</t>
  </si>
  <si>
    <t xml:space="preserve">negative: the compliant building still has 40% of its space at the old rent</t>
  </si>
  <si>
    <t xml:space="preserve">The work, at the deadline price</t>
  </si>
  <si>
    <t xml:space="preserve">the buyer does not get the void price either</t>
  </si>
  <si>
    <t xml:space="preserve">Execution risk</t>
  </si>
  <si>
    <t xml:space="preserve">programme, planning, and where the standard settles</t>
  </si>
  <si>
    <t xml:space="preserve">Total deducted</t>
  </si>
  <si>
    <t xml:space="preserve">The asymmetry is the point. You can do the work in a void for 3,200,000. A buyer cannot — it arrives after the deadline, with the building occupied or empty and unlettable, and it prices the work at the deadline rate, then adds execution risk, then applies a wider yield to what is left. Three deductions where you would have had one cost. That is why the discount runs to more than twice the price of the work, and why the work is the cheaper of the two decisions even measured in cash alone.</t>
  </si>
  <si>
    <t xml:space="preserve">Where the answer changes, and where it does not</t>
  </si>
  <si>
    <t xml:space="preserve">Both headline numbers, across the assumptions you are most likely to disagree with.</t>
  </si>
  <si>
    <t xml:space="preserve">The cost of doing nothing, against the non-compliant exit yield</t>
  </si>
  <si>
    <t xml:space="preserve">Exit yield</t>
  </si>
  <si>
    <t xml:space="preserve">Cost of doing nothing</t>
  </si>
  <si>
    <t xml:space="preserve">As a multiple of the work</t>
  </si>
  <si>
    <t xml:space="preserve">Verdict</t>
  </si>
  <si>
    <t xml:space="preserve">The value of the void, against the deadline cost premium</t>
  </si>
  <si>
    <t xml:space="preserve">Premium</t>
  </si>
  <si>
    <t xml:space="preserve">Value of the void</t>
  </si>
  <si>
    <t xml:space="preserve">Share that is income</t>
  </si>
  <si>
    <t xml:space="preserve">Notice what does not move. Across a 275 basis point range of exit yield the work still pays for itself every time. Across a premium range from fifteen to fifty-five per cent the void is still worth more than the discount you would negotiate off a contract. You may disagree with any single input in this file and reach the same two decisions: do the work, and do it in the void.</t>
  </si>
  <si>
    <t xml:space="preserve">Every figure in Appendix F, recomputed here</t>
  </si>
  <si>
    <t xml:space="preserve">Change an input on sheet 1 and these will stop matching. That is how you tell the book and the file apart.</t>
  </si>
  <si>
    <t xml:space="preserve">Figure</t>
  </si>
  <si>
    <t xml:space="preserve">Appendix F</t>
  </si>
  <si>
    <t xml:space="preserve">This file</t>
  </si>
  <si>
    <t xml:space="preserve">Status</t>
  </si>
  <si>
    <t xml:space="preserve">Passing rent</t>
  </si>
  <si>
    <t xml:space="preserve">tolerance 1</t>
  </si>
  <si>
    <t xml:space="preserve">NPV — work in the year-three void</t>
  </si>
  <si>
    <t xml:space="preserve">tolerance 2000</t>
  </si>
  <si>
    <t xml:space="preserve">NPV — same work under the deadline</t>
  </si>
  <si>
    <t xml:space="preserve">NPV — nothing done</t>
  </si>
  <si>
    <t xml:space="preserve">  of which cost premium avoided</t>
  </si>
  <si>
    <t xml:space="preserve">  of which income</t>
  </si>
  <si>
    <t xml:space="preserve">  as a multiple of the cost of the work</t>
  </si>
  <si>
    <t xml:space="preserve">tolerance 0.01</t>
  </si>
  <si>
    <t xml:space="preserve">  of which income never earned</t>
  </si>
  <si>
    <t xml:space="preserve">  of which exit value forgone</t>
  </si>
  <si>
    <t xml:space="preserve">  of which capital not spent</t>
  </si>
  <si>
    <t xml:space="preserve">Buyer's deduction for plant with six years of life left</t>
  </si>
  <si>
    <t xml:space="preserve">revised: six years of life left, not five (the first edition printed 1,590,000 and "two years")</t>
  </si>
  <si>
    <t xml:space="preserve">Fabric beats plant, in the void, by</t>
  </si>
  <si>
    <t xml:space="preserve">revised: the first edition printed 501,000</t>
  </si>
  <si>
    <t xml:space="preserve">The buyer's discount for non-compliance</t>
  </si>
  <si>
    <t xml:space="preserve">Fabric saves against doing nothing: 4,770,279 less the 3,200,000 of work</t>
  </si>
  <si>
    <t xml:space="preserve">The contract premium in cash (4,320,000 less 3,200,000)</t>
  </si>
  <si>
    <t xml:space="preserve">Plant: years of life left at the year-ten exit</t>
  </si>
  <si>
    <t xml:space="preserve">tolerance 0</t>
  </si>
  <si>
    <t xml:space="preserve">Cost of doing nothing at a 6.50% non-compliant exit yield</t>
  </si>
  <si>
    <t xml:space="preserve">the first edition printed 3.7 million</t>
  </si>
  <si>
    <t xml:space="preserve">Cost of doing nothing at a 9.25% non-compliant exit yield</t>
  </si>
  <si>
    <t xml:space="preserve">the first edition printed 5.6 million</t>
  </si>
  <si>
    <t xml:space="preserve">Value of the void at a 15% deadline premium</t>
  </si>
  <si>
    <t xml:space="preserve">Value of the void at a 55% deadline premium</t>
  </si>
  <si>
    <t xml:space="preserve">Buyer's discount less the work: the gap of three deductions over one cost</t>
  </si>
  <si>
    <t xml:space="preserve">"roughly five million"</t>
  </si>
  <si>
    <t xml:space="preserve">The four components on sheet 5 add up to the discount (difference)</t>
  </si>
  <si>
    <t xml:space="preserve">the first file listed three that came to 9,053,548</t>
  </si>
  <si>
    <t xml:space="preserve">Checks passing</t>
  </si>
</sst>
</file>

<file path=xl/styles.xml><?xml version="1.0" encoding="utf-8"?>
<styleSheet xmlns="http://schemas.openxmlformats.org/spreadsheetml/2006/main">
  <numFmts count="6">
    <numFmt numFmtId="164" formatCode="General"/>
    <numFmt numFmtId="165" formatCode="#,##0"/>
    <numFmt numFmtId="166" formatCode="#,##0.00"/>
    <numFmt numFmtId="167" formatCode="0.0%"/>
    <numFmt numFmtId="168" formatCode="0"/>
    <numFmt numFmtId="169" formatCode="0.00\x"/>
  </numFmts>
  <fonts count="15">
    <font>
      <sz val="11"/>
      <color theme="1"/>
      <name val="Calibri"/>
      <family val="2"/>
      <charset val="1"/>
    </font>
    <font>
      <sz val="10"/>
      <name val="Arial"/>
      <family val="0"/>
    </font>
    <font>
      <sz val="10"/>
      <name val="Arial"/>
      <family val="0"/>
    </font>
    <font>
      <sz val="10"/>
      <name val="Arial"/>
      <family val="0"/>
    </font>
    <font>
      <b val="true"/>
      <sz val="15"/>
      <color rgb="FF1F2733"/>
      <name val="Cambria"/>
      <family val="0"/>
      <charset val="1"/>
    </font>
    <font>
      <i val="true"/>
      <sz val="10"/>
      <color rgb="FF5A6470"/>
      <name val="Cambria"/>
      <family val="0"/>
      <charset val="1"/>
    </font>
    <font>
      <sz val="10.5"/>
      <color rgb="FF1F2733"/>
      <name val="Cambria"/>
      <family val="0"/>
      <charset val="1"/>
    </font>
    <font>
      <b val="true"/>
      <sz val="11.5"/>
      <color rgb="FF1F2733"/>
      <name val="Cambria"/>
      <family val="0"/>
      <charset val="1"/>
    </font>
    <font>
      <b val="true"/>
      <sz val="14"/>
      <color rgb="FF1F2733"/>
      <name val="Cambria"/>
      <family val="0"/>
      <charset val="1"/>
    </font>
    <font>
      <b val="true"/>
      <sz val="11"/>
      <color rgb="FF1B4E8C"/>
      <name val="Cambria"/>
      <family val="0"/>
      <charset val="1"/>
    </font>
    <font>
      <sz val="11"/>
      <color rgb="FF1F2733"/>
      <name val="Cambria"/>
      <family val="0"/>
      <charset val="1"/>
    </font>
    <font>
      <b val="true"/>
      <sz val="10"/>
      <color rgb="FFFFFFFF"/>
      <name val="Cambria"/>
      <family val="0"/>
      <charset val="1"/>
    </font>
    <font>
      <b val="true"/>
      <sz val="10.5"/>
      <color rgb="FF1F2733"/>
      <name val="Cambria"/>
      <family val="0"/>
      <charset val="1"/>
    </font>
    <font>
      <b val="true"/>
      <sz val="11"/>
      <color rgb="FF1F2733"/>
      <name val="Cambria"/>
      <family val="0"/>
      <charset val="1"/>
    </font>
    <font>
      <b val="true"/>
      <sz val="10.5"/>
      <color rgb="FF1F2733"/>
      <name val="Arial"/>
      <family val="0"/>
      <charset val="1"/>
    </font>
  </fonts>
  <fills count="6">
    <fill>
      <patternFill patternType="none"/>
    </fill>
    <fill>
      <patternFill patternType="gray125"/>
    </fill>
    <fill>
      <patternFill patternType="solid">
        <fgColor rgb="FFFDF3DC"/>
        <bgColor rgb="FFFBF0E4"/>
      </patternFill>
    </fill>
    <fill>
      <patternFill patternType="solid">
        <fgColor rgb="FFF1F3F5"/>
        <bgColor rgb="FFFBF0E4"/>
      </patternFill>
    </fill>
    <fill>
      <patternFill patternType="solid">
        <fgColor rgb="FF1F2733"/>
        <bgColor rgb="FF333300"/>
      </patternFill>
    </fill>
    <fill>
      <patternFill patternType="solid">
        <fgColor rgb="FFFBF0E4"/>
        <bgColor rgb="FFFDF3DC"/>
      </patternFill>
    </fill>
  </fills>
  <borders count="2">
    <border diagonalUp="false" diagonalDown="false">
      <left/>
      <right/>
      <top/>
      <bottom/>
      <diagonal/>
    </border>
    <border diagonalUp="false" diagonalDown="false">
      <left style="thin">
        <color rgb="FFC9CFD6"/>
      </left>
      <right style="thin">
        <color rgb="FFC9CFD6"/>
      </right>
      <top style="thin">
        <color rgb="FFC9CFD6"/>
      </top>
      <bottom style="thin">
        <color rgb="FFC9CF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9" fillId="2" borderId="1" xfId="0" applyFont="true" applyBorder="true" applyAlignment="false" applyProtection="false">
      <alignment horizontal="general" vertical="bottom" textRotation="0" wrapText="false" indent="0" shrinkToFit="false"/>
      <protection locked="true" hidden="false"/>
    </xf>
    <xf numFmtId="166" fontId="9" fillId="2" borderId="1" xfId="0" applyFont="true" applyBorder="true" applyAlignment="false" applyProtection="false">
      <alignment horizontal="general" vertical="bottom" textRotation="0" wrapText="false" indent="0" shrinkToFit="false"/>
      <protection locked="true" hidden="false"/>
    </xf>
    <xf numFmtId="165" fontId="10" fillId="3" borderId="1" xfId="0" applyFont="true" applyBorder="true" applyAlignment="false" applyProtection="false">
      <alignment horizontal="general" vertical="bottom" textRotation="0" wrapText="false" indent="0" shrinkToFit="false"/>
      <protection locked="true" hidden="false"/>
    </xf>
    <xf numFmtId="167" fontId="9" fillId="2" borderId="1" xfId="0" applyFont="true" applyBorder="true" applyAlignment="false" applyProtection="false">
      <alignment horizontal="general" vertical="bottom" textRotation="0" wrapText="false" indent="0" shrinkToFit="false"/>
      <protection locked="true" hidden="false"/>
    </xf>
    <xf numFmtId="168" fontId="9" fillId="2" borderId="1" xfId="0" applyFont="true" applyBorder="true" applyAlignment="false" applyProtection="false">
      <alignment horizontal="general" vertical="bottom" textRotation="0" wrapText="false" indent="0" shrinkToFit="false"/>
      <protection locked="true" hidden="false"/>
    </xf>
    <xf numFmtId="164" fontId="11" fillId="4" borderId="1" xfId="0" applyFont="true" applyBorder="true" applyAlignment="true" applyProtection="false">
      <alignment horizontal="center" vertical="center" textRotation="0" wrapText="true" indent="0" shrinkToFit="false"/>
      <protection locked="true" hidden="false"/>
    </xf>
    <xf numFmtId="164" fontId="10" fillId="3" borderId="1" xfId="0" applyFont="true" applyBorder="true" applyAlignment="false" applyProtection="false">
      <alignment horizontal="general" vertical="bottom" textRotation="0" wrapText="false" indent="0" shrinkToFit="false"/>
      <protection locked="true" hidden="false"/>
    </xf>
    <xf numFmtId="167" fontId="10" fillId="3" borderId="1" xfId="0" applyFont="true" applyBorder="true" applyAlignment="false" applyProtection="false">
      <alignment horizontal="general" vertical="bottom" textRotation="0" wrapText="false" indent="0" shrinkToFit="false"/>
      <protection locked="true" hidden="false"/>
    </xf>
    <xf numFmtId="168" fontId="10" fillId="3"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5" fontId="13" fillId="3" borderId="1" xfId="0" applyFont="true" applyBorder="true" applyAlignment="false" applyProtection="false">
      <alignment horizontal="general" vertical="bottom" textRotation="0" wrapText="false" indent="0" shrinkToFit="false"/>
      <protection locked="true" hidden="false"/>
    </xf>
    <xf numFmtId="165" fontId="13" fillId="5"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9" fontId="13" fillId="3"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7" fontId="13" fillId="3" borderId="1" xfId="0" applyFont="true" applyBorder="true" applyAlignment="false" applyProtection="false">
      <alignment horizontal="general" vertical="bottom" textRotation="0" wrapText="false" indent="0" shrinkToFit="false"/>
      <protection locked="true" hidden="false"/>
    </xf>
    <xf numFmtId="169" fontId="10" fillId="3" borderId="1" xfId="0" applyFont="true" applyBorder="true" applyAlignment="false" applyProtection="false">
      <alignment horizontal="general" vertical="bottom" textRotation="0" wrapText="false" indent="0" shrinkToFit="false"/>
      <protection locked="true" hidden="false"/>
    </xf>
    <xf numFmtId="164" fontId="10" fillId="3" borderId="1" xfId="0" applyFont="true" applyBorder="true" applyAlignment="true" applyProtection="false">
      <alignment horizontal="center" vertical="bottom" textRotation="0" wrapText="false" indent="0" shrinkToFit="false"/>
      <protection locked="true" hidden="false"/>
    </xf>
    <xf numFmtId="164" fontId="14"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DF3DC"/>
      <rgbColor rgb="FFF1F3F5"/>
      <rgbColor rgb="FF660066"/>
      <rgbColor rgb="FFFF8080"/>
      <rgbColor rgb="FF0066CC"/>
      <rgbColor rgb="FFC9CFD6"/>
      <rgbColor rgb="FF000080"/>
      <rgbColor rgb="FFFF00FF"/>
      <rgbColor rgb="FFFFFF00"/>
      <rgbColor rgb="FF00FFFF"/>
      <rgbColor rgb="FF800080"/>
      <rgbColor rgb="FF800000"/>
      <rgbColor rgb="FF008080"/>
      <rgbColor rgb="FF0000FF"/>
      <rgbColor rgb="FF00CCFF"/>
      <rgbColor rgb="FFCCFFFF"/>
      <rgbColor rgb="FFCCFFCC"/>
      <rgbColor rgb="FFFBF0E4"/>
      <rgbColor rgb="FF99CCFF"/>
      <rgbColor rgb="FFFF99CC"/>
      <rgbColor rgb="FFCC99FF"/>
      <rgbColor rgb="FFFFCC99"/>
      <rgbColor rgb="FF3366FF"/>
      <rgbColor rgb="FF33CCCC"/>
      <rgbColor rgb="FF99CC00"/>
      <rgbColor rgb="FFFFCC00"/>
      <rgbColor rgb="FFFF9900"/>
      <rgbColor rgb="FFFF6600"/>
      <rgbColor rgb="FF5A6470"/>
      <rgbColor rgb="FF969696"/>
      <rgbColor rgb="FF003366"/>
      <rgbColor rgb="FF339966"/>
      <rgbColor rgb="FF003300"/>
      <rgbColor rgb="FF333300"/>
      <rgbColor rgb="FF993300"/>
      <rgbColor rgb="FF993366"/>
      <rgbColor rgb="FF1B4E8C"/>
      <rgbColor rgb="FF1F27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8.55" hidden="false" customHeight="false" outlineLevel="0" collapsed="false">
      <c r="A1" s="1" t="s">
        <v>0</v>
      </c>
    </row>
    <row r="2" customFormat="false" ht="15" hidden="false" customHeight="false" outlineLevel="0" collapsed="false">
      <c r="A2" s="2" t="s">
        <v>1</v>
      </c>
    </row>
    <row r="4" customFormat="false" ht="60" hidden="false" customHeight="true" outlineLevel="0" collapsed="false">
      <c r="A4" s="3" t="s">
        <v>2</v>
      </c>
    </row>
    <row r="6" customFormat="false" ht="45" hidden="false" customHeight="true" outlineLevel="0" collapsed="false">
      <c r="A6" s="3" t="s">
        <v>3</v>
      </c>
    </row>
    <row r="8" customFormat="false" ht="15" hidden="false" customHeight="false" outlineLevel="0" collapsed="false">
      <c r="A8" s="4" t="s">
        <v>4</v>
      </c>
    </row>
    <row r="9" customFormat="false" ht="60" hidden="false" customHeight="true" outlineLevel="0" collapsed="false">
      <c r="A9" s="3" t="s">
        <v>5</v>
      </c>
    </row>
    <row r="10" customFormat="false" ht="45" hidden="false" customHeight="true" outlineLevel="0" collapsed="false">
      <c r="A10" s="3" t="s">
        <v>6</v>
      </c>
    </row>
    <row r="11" customFormat="false" ht="45" hidden="false" customHeight="true" outlineLevel="0" collapsed="false">
      <c r="A11" s="3" t="s">
        <v>7</v>
      </c>
    </row>
    <row r="13" customFormat="false" ht="15" hidden="false" customHeight="false" outlineLevel="0" collapsed="false">
      <c r="A13" s="4" t="s">
        <v>8</v>
      </c>
    </row>
    <row r="14" customFormat="false" ht="15" hidden="false" customHeight="true" outlineLevel="0" collapsed="false">
      <c r="A14" s="3" t="s">
        <v>9</v>
      </c>
    </row>
    <row r="15" customFormat="false" ht="15" hidden="false" customHeight="true" outlineLevel="0" collapsed="false">
      <c r="A15" s="3" t="s">
        <v>10</v>
      </c>
    </row>
    <row r="16" customFormat="false" ht="15" hidden="false" customHeight="true" outlineLevel="0" collapsed="false">
      <c r="A16" s="3" t="s">
        <v>11</v>
      </c>
    </row>
    <row r="17" customFormat="false" ht="15" hidden="false" customHeight="true" outlineLevel="0" collapsed="false">
      <c r="A17" s="3" t="s">
        <v>12</v>
      </c>
    </row>
    <row r="18" customFormat="false" ht="30" hidden="false" customHeight="true" outlineLevel="0" collapsed="false">
      <c r="A18" s="3" t="s">
        <v>13</v>
      </c>
    </row>
    <row r="19" customFormat="false" ht="15" hidden="false" customHeight="true" outlineLevel="0" collapsed="false">
      <c r="A19" s="3" t="s">
        <v>14</v>
      </c>
    </row>
    <row r="20" customFormat="false" ht="15" hidden="false" customHeight="true" outlineLevel="0" collapsed="false">
      <c r="A20" s="3" t="s">
        <v>15</v>
      </c>
    </row>
    <row r="22" customFormat="false" ht="15" hidden="false" customHeight="false" outlineLevel="0" collapsed="false">
      <c r="A22" s="4" t="s">
        <v>16</v>
      </c>
    </row>
    <row r="23" customFormat="false" ht="75" hidden="false" customHeight="true" outlineLevel="0" collapsed="false">
      <c r="A23" s="3" t="s">
        <v>17</v>
      </c>
    </row>
    <row r="25" customFormat="false" ht="15" hidden="false" customHeight="false" outlineLevel="0" collapsed="false">
      <c r="A25" s="2" t="s">
        <v>18</v>
      </c>
    </row>
    <row r="27" customFormat="false" ht="90" hidden="false" customHeight="true" outlineLevel="0" collapsed="false">
      <c r="A27" s="5" t="s">
        <v>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4"/>
    <col collapsed="false" customWidth="true" hidden="false" outlineLevel="0" max="5" min="2" style="0" width="15"/>
    <col collapsed="false" customWidth="true" hidden="false" outlineLevel="0" max="6" min="6" style="0" width="46"/>
  </cols>
  <sheetData>
    <row r="1" customFormat="false" ht="17.35" hidden="false" customHeight="false" outlineLevel="0" collapsed="false">
      <c r="A1" s="6" t="s">
        <v>20</v>
      </c>
    </row>
    <row r="2" customFormat="false" ht="15" hidden="false" customHeight="false" outlineLevel="0" collapsed="false">
      <c r="A2" s="2" t="s">
        <v>21</v>
      </c>
    </row>
    <row r="4" customFormat="false" ht="15" hidden="false" customHeight="false" outlineLevel="0" collapsed="false">
      <c r="A4" s="4" t="s">
        <v>22</v>
      </c>
    </row>
    <row r="5" customFormat="false" ht="15" hidden="false" customHeight="false" outlineLevel="0" collapsed="false">
      <c r="A5" s="7" t="s">
        <v>23</v>
      </c>
      <c r="B5" s="8" t="n">
        <v>5000</v>
      </c>
    </row>
    <row r="6" customFormat="false" ht="15" hidden="false" customHeight="false" outlineLevel="0" collapsed="false">
      <c r="A6" s="7" t="s">
        <v>24</v>
      </c>
      <c r="B6" s="9" t="n">
        <v>250</v>
      </c>
    </row>
    <row r="7" customFormat="false" ht="15" hidden="false" customHeight="false" outlineLevel="0" collapsed="false">
      <c r="A7" s="7" t="s">
        <v>25</v>
      </c>
      <c r="B7" s="10" t="n">
        <f aca="false">B5*B6</f>
        <v>1250000</v>
      </c>
    </row>
    <row r="8" customFormat="false" ht="15" hidden="false" customHeight="false" outlineLevel="0" collapsed="false">
      <c r="A8" s="7" t="s">
        <v>26</v>
      </c>
      <c r="B8" s="11" t="n">
        <v>0.08</v>
      </c>
    </row>
    <row r="9" customFormat="false" ht="15" hidden="false" customHeight="false" outlineLevel="0" collapsed="false">
      <c r="A9" s="7" t="s">
        <v>27</v>
      </c>
      <c r="B9" s="10" t="n">
        <f aca="false">B7*(1-B8)</f>
        <v>1150000</v>
      </c>
    </row>
    <row r="11" customFormat="false" ht="15" hidden="false" customHeight="false" outlineLevel="0" collapsed="false">
      <c r="A11" s="4" t="s">
        <v>28</v>
      </c>
    </row>
    <row r="12" customFormat="false" ht="15" hidden="false" customHeight="false" outlineLevel="0" collapsed="false">
      <c r="A12" s="7" t="s">
        <v>29</v>
      </c>
      <c r="B12" s="11" t="n">
        <v>0.6</v>
      </c>
    </row>
    <row r="13" customFormat="false" ht="15" hidden="false" customHeight="false" outlineLevel="0" collapsed="false">
      <c r="A13" s="7" t="s">
        <v>30</v>
      </c>
      <c r="B13" s="12" t="n">
        <v>3</v>
      </c>
    </row>
    <row r="14" customFormat="false" ht="15" hidden="false" customHeight="false" outlineLevel="0" collapsed="false">
      <c r="A14" s="7" t="s">
        <v>31</v>
      </c>
      <c r="B14" s="12" t="n">
        <v>8</v>
      </c>
    </row>
    <row r="15" customFormat="false" ht="15" hidden="false" customHeight="false" outlineLevel="0" collapsed="false">
      <c r="A15" s="7" t="s">
        <v>32</v>
      </c>
      <c r="B15" s="12" t="n">
        <v>1</v>
      </c>
    </row>
    <row r="17" customFormat="false" ht="15" hidden="false" customHeight="false" outlineLevel="0" collapsed="false">
      <c r="A17" s="4" t="s">
        <v>33</v>
      </c>
    </row>
    <row r="18" customFormat="false" ht="15" hidden="false" customHeight="false" outlineLevel="0" collapsed="false">
      <c r="A18" s="7" t="s">
        <v>34</v>
      </c>
      <c r="B18" s="12" t="n">
        <v>4</v>
      </c>
    </row>
    <row r="19" customFormat="false" ht="15" hidden="false" customHeight="false" outlineLevel="0" collapsed="false">
      <c r="A19" s="7" t="s">
        <v>35</v>
      </c>
      <c r="B19" s="11" t="n">
        <v>0.35</v>
      </c>
    </row>
    <row r="20" customFormat="false" ht="15" hidden="false" customHeight="false" outlineLevel="0" collapsed="false">
      <c r="A20" s="7" t="s">
        <v>36</v>
      </c>
      <c r="B20" s="11" t="n">
        <v>0.5</v>
      </c>
    </row>
    <row r="21" customFormat="false" ht="15" hidden="false" customHeight="false" outlineLevel="0" collapsed="false">
      <c r="A21" s="7" t="s">
        <v>37</v>
      </c>
      <c r="B21" s="11" t="n">
        <v>0.1</v>
      </c>
    </row>
    <row r="22" customFormat="false" ht="15" hidden="false" customHeight="false" outlineLevel="0" collapsed="false">
      <c r="A22" s="2" t="s">
        <v>38</v>
      </c>
    </row>
    <row r="24" customFormat="false" ht="15" hidden="false" customHeight="false" outlineLevel="0" collapsed="false">
      <c r="A24" s="4" t="s">
        <v>39</v>
      </c>
    </row>
    <row r="25" customFormat="false" ht="15" hidden="false" customHeight="false" outlineLevel="0" collapsed="false">
      <c r="A25" s="7" t="s">
        <v>40</v>
      </c>
      <c r="B25" s="11" t="n">
        <v>0.075</v>
      </c>
    </row>
    <row r="26" customFormat="false" ht="15" hidden="false" customHeight="false" outlineLevel="0" collapsed="false">
      <c r="A26" s="7" t="s">
        <v>41</v>
      </c>
      <c r="B26" s="11" t="n">
        <v>0.0625</v>
      </c>
    </row>
    <row r="27" customFormat="false" ht="15" hidden="false" customHeight="false" outlineLevel="0" collapsed="false">
      <c r="A27" s="7" t="s">
        <v>42</v>
      </c>
      <c r="B27" s="11" t="n">
        <v>0.0775</v>
      </c>
    </row>
    <row r="28" customFormat="false" ht="15" hidden="false" customHeight="false" outlineLevel="0" collapsed="false">
      <c r="A28" s="7" t="s">
        <v>43</v>
      </c>
      <c r="B28" s="11" t="n">
        <v>0.05</v>
      </c>
    </row>
    <row r="29" customFormat="false" ht="15" hidden="false" customHeight="false" outlineLevel="0" collapsed="false">
      <c r="A29" s="7" t="s">
        <v>44</v>
      </c>
      <c r="B29" s="12" t="n">
        <v>10</v>
      </c>
    </row>
    <row r="30" customFormat="false" ht="15" hidden="false" customHeight="false" outlineLevel="0" collapsed="false">
      <c r="A30" s="7" t="s">
        <v>45</v>
      </c>
      <c r="B30" s="11" t="n">
        <v>0.02</v>
      </c>
    </row>
    <row r="31" customFormat="false" ht="15" hidden="false" customHeight="false" outlineLevel="0" collapsed="false">
      <c r="A31" s="2" t="s">
        <v>46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8"/>
    <col collapsed="false" customWidth="true" hidden="false" outlineLevel="0" max="4" min="2" style="0" width="17"/>
    <col collapsed="false" customWidth="true" hidden="false" outlineLevel="0" max="5" min="5" style="0" width="48"/>
  </cols>
  <sheetData>
    <row r="1" customFormat="false" ht="17.35" hidden="false" customHeight="false" outlineLevel="0" collapsed="false">
      <c r="A1" s="6" t="s">
        <v>47</v>
      </c>
    </row>
    <row r="2" customFormat="false" ht="15" hidden="false" customHeight="false" outlineLevel="0" collapsed="false">
      <c r="A2" s="2" t="s">
        <v>48</v>
      </c>
    </row>
    <row r="4" customFormat="false" ht="30" hidden="false" customHeight="true" outlineLevel="0" collapsed="false">
      <c r="A4" s="13"/>
      <c r="B4" s="13" t="s">
        <v>49</v>
      </c>
      <c r="C4" s="13" t="s">
        <v>50</v>
      </c>
      <c r="D4" s="13" t="s">
        <v>51</v>
      </c>
      <c r="E4" s="13" t="s">
        <v>52</v>
      </c>
    </row>
    <row r="5" customFormat="false" ht="15" hidden="false" customHeight="false" outlineLevel="0" collapsed="false">
      <c r="A5" s="7" t="s">
        <v>53</v>
      </c>
      <c r="B5" s="8" t="n">
        <v>1800000</v>
      </c>
      <c r="C5" s="8" t="n">
        <v>3200000</v>
      </c>
      <c r="D5" s="8" t="n">
        <v>4400000</v>
      </c>
      <c r="E5" s="14" t="s">
        <v>54</v>
      </c>
    </row>
    <row r="6" customFormat="false" ht="15" hidden="false" customHeight="false" outlineLevel="0" collapsed="false">
      <c r="A6" s="7" t="s">
        <v>55</v>
      </c>
      <c r="B6" s="12" t="n">
        <v>12</v>
      </c>
      <c r="C6" s="12" t="n">
        <v>30</v>
      </c>
      <c r="D6" s="12" t="n">
        <v>30</v>
      </c>
      <c r="E6" s="14" t="s">
        <v>56</v>
      </c>
    </row>
    <row r="7" customFormat="false" ht="15" hidden="false" customHeight="false" outlineLevel="0" collapsed="false">
      <c r="A7" s="7" t="s">
        <v>57</v>
      </c>
      <c r="B7" s="11" t="n">
        <v>0</v>
      </c>
      <c r="C7" s="15" t="n">
        <f aca="false">'1. The Building'!B21</f>
        <v>0.1</v>
      </c>
      <c r="D7" s="15" t="n">
        <f aca="false">'1. The Building'!B21</f>
        <v>0.1</v>
      </c>
      <c r="E7" s="14" t="s">
        <v>58</v>
      </c>
    </row>
    <row r="8" customFormat="false" ht="15" hidden="false" customHeight="false" outlineLevel="0" collapsed="false">
      <c r="A8" s="7" t="s">
        <v>59</v>
      </c>
      <c r="B8" s="14" t="s">
        <v>60</v>
      </c>
      <c r="C8" s="14" t="s">
        <v>60</v>
      </c>
      <c r="D8" s="14" t="s">
        <v>60</v>
      </c>
      <c r="E8" s="14" t="s">
        <v>61</v>
      </c>
    </row>
    <row r="10" customFormat="false" ht="15" hidden="false" customHeight="false" outlineLevel="0" collapsed="false">
      <c r="A10" s="4" t="s">
        <v>62</v>
      </c>
    </row>
    <row r="11" customFormat="false" ht="15" hidden="false" customHeight="false" outlineLevel="0" collapsed="false">
      <c r="A11" s="2" t="s">
        <v>63</v>
      </c>
    </row>
    <row r="12" customFormat="false" ht="30" hidden="false" customHeight="true" outlineLevel="0" collapsed="false">
      <c r="A12" s="13"/>
      <c r="B12" s="13" t="s">
        <v>49</v>
      </c>
      <c r="C12" s="13" t="s">
        <v>50</v>
      </c>
      <c r="D12" s="13" t="s">
        <v>51</v>
      </c>
      <c r="E12" s="13" t="s">
        <v>52</v>
      </c>
    </row>
    <row r="13" customFormat="false" ht="15" hidden="false" customHeight="false" outlineLevel="0" collapsed="false">
      <c r="A13" s="7" t="s">
        <v>64</v>
      </c>
      <c r="B13" s="16" t="n">
        <f aca="false">'1. The Building'!B13+1</f>
        <v>4</v>
      </c>
      <c r="C13" s="16" t="n">
        <f aca="false">'1. The Building'!B13+1</f>
        <v>4</v>
      </c>
      <c r="D13" s="16" t="n">
        <f aca="false">'1. The Building'!B13+1</f>
        <v>4</v>
      </c>
    </row>
    <row r="14" customFormat="false" ht="15" hidden="false" customHeight="false" outlineLevel="0" collapsed="false">
      <c r="A14" s="7" t="s">
        <v>65</v>
      </c>
      <c r="B14" s="16" t="n">
        <f aca="false">B6-('1. The Building'!B29-B13)</f>
        <v>6</v>
      </c>
      <c r="C14" s="16" t="n">
        <f aca="false">C6-('1. The Building'!B29-C13)</f>
        <v>24</v>
      </c>
      <c r="D14" s="16" t="n">
        <f aca="false">D6-('1. The Building'!B29-D13)</f>
        <v>24</v>
      </c>
    </row>
    <row r="15" customFormat="false" ht="15" hidden="false" customHeight="false" outlineLevel="0" collapsed="false">
      <c r="A15" s="7" t="s">
        <v>66</v>
      </c>
      <c r="B15" s="10" t="n">
        <f aca="false">B5*(1+'1. The Building'!B30)^B6</f>
        <v>2282835.23021258</v>
      </c>
      <c r="C15" s="10" t="n">
        <f aca="false">C5*(1+'1. The Building'!B30)^C6</f>
        <v>5796357.06913074</v>
      </c>
      <c r="D15" s="10" t="n">
        <f aca="false">D5*(1+'1. The Building'!B30)^D6</f>
        <v>7969990.97005476</v>
      </c>
    </row>
    <row r="16" customFormat="false" ht="15" hidden="false" customHeight="false" outlineLevel="0" collapsed="false">
      <c r="A16" s="17" t="s">
        <v>67</v>
      </c>
      <c r="B16" s="18" t="n">
        <f aca="false">IF(B14&gt;='1. The Building'!B29,0,B15/(1+'1. The Building'!B25)^MAX(B14,0))</f>
        <v>1479189.38217445</v>
      </c>
      <c r="C16" s="18" t="n">
        <f aca="false">IF(C14&gt;='1. The Building'!B29,0,C15/(1+'1. The Building'!B25)^MAX(C14,0))</f>
        <v>0</v>
      </c>
      <c r="D16" s="18" t="n">
        <f aca="false">IF(D14&gt;='1. The Building'!B29,0,D15/(1+'1. The Building'!B25)^MAX(D14,0))</f>
        <v>0</v>
      </c>
      <c r="E16" s="14" t="s">
        <v>68</v>
      </c>
    </row>
    <row r="18" customFormat="false" ht="15" hidden="false" customHeight="false" outlineLevel="0" collapsed="false">
      <c r="A18" s="4" t="s">
        <v>69</v>
      </c>
    </row>
    <row r="19" customFormat="false" ht="15" hidden="false" customHeight="false" outlineLevel="0" collapsed="false">
      <c r="A19" s="2" t="s">
        <v>70</v>
      </c>
    </row>
    <row r="20" customFormat="false" ht="30" hidden="false" customHeight="true" outlineLevel="0" collapsed="false">
      <c r="A20" s="13" t="s">
        <v>71</v>
      </c>
      <c r="B20" s="13" t="s">
        <v>72</v>
      </c>
      <c r="C20" s="13" t="s">
        <v>73</v>
      </c>
      <c r="D20" s="13" t="s">
        <v>51</v>
      </c>
    </row>
    <row r="21" customFormat="false" ht="15" hidden="false" customHeight="false" outlineLevel="0" collapsed="false">
      <c r="A21" s="16" t="n">
        <v>1</v>
      </c>
      <c r="B21" s="10" t="n">
        <f aca="false">IF(1&lt;='1. The Building'!$B$13,'1. The Building'!$B$7,IF(1='1. The Building'!$B$13+1,'1. The Building'!$B$7*(1-'1. The Building'!$B$12),'1. The Building'!$B$7*(1-'1. The Building'!$B$12)+'1. The Building'!$B$7*'1. The Building'!$B$12*(1+B$7)))*(1-'1. The Building'!$B$8)+IF(1='1. The Building'!$B$13+1,-B$5,0)+IF(1='1. The Building'!$B$29,('1. The Building'!$B$7*(1-'1. The Building'!$B$12)+'1. The Building'!$B$7*'1. The Building'!$B$12*(1+B$7))*(1-'1. The Building'!$B$8)/'1. The Building'!$B$26-B$16,0)</f>
        <v>1150000</v>
      </c>
      <c r="C21" s="10" t="n">
        <f aca="false">IF(1&lt;='1. The Building'!$B$13,'1. The Building'!$B$7,IF(1='1. The Building'!$B$13+1,'1. The Building'!$B$7*(1-'1. The Building'!$B$12),'1. The Building'!$B$7*(1-'1. The Building'!$B$12)+'1. The Building'!$B$7*'1. The Building'!$B$12*(1+C$7)))*(1-'1. The Building'!$B$8)+IF(1='1. The Building'!$B$13+1,-C$5,0)+IF(1='1. The Building'!$B$29,('1. The Building'!$B$7*(1-'1. The Building'!$B$12)+'1. The Building'!$B$7*'1. The Building'!$B$12*(1+C$7))*(1-'1. The Building'!$B$8)/'1. The Building'!$B$26-C$16,0)</f>
        <v>1150000</v>
      </c>
      <c r="D21" s="10" t="n">
        <f aca="false">IF(1&lt;='1. The Building'!$B$13,'1. The Building'!$B$7,IF(1='1. The Building'!$B$13+1,'1. The Building'!$B$7*(1-'1. The Building'!$B$12),'1. The Building'!$B$7*(1-'1. The Building'!$B$12)+'1. The Building'!$B$7*'1. The Building'!$B$12*(1+D$7)))*(1-'1. The Building'!$B$8)+IF(1='1. The Building'!$B$13+1,-D$5,0)+IF(1='1. The Building'!$B$29,('1. The Building'!$B$7*(1-'1. The Building'!$B$12)+'1. The Building'!$B$7*'1. The Building'!$B$12*(1+D$7))*(1-'1. The Building'!$B$8)/'1. The Building'!$B$26-D$16,0)</f>
        <v>1150000</v>
      </c>
    </row>
    <row r="22" customFormat="false" ht="15" hidden="false" customHeight="false" outlineLevel="0" collapsed="false">
      <c r="A22" s="16" t="n">
        <v>2</v>
      </c>
      <c r="B22" s="10" t="n">
        <f aca="false">IF(2&lt;='1. The Building'!$B$13,'1. The Building'!$B$7,IF(2='1. The Building'!$B$13+1,'1. The Building'!$B$7*(1-'1. The Building'!$B$12),'1. The Building'!$B$7*(1-'1. The Building'!$B$12)+'1. The Building'!$B$7*'1. The Building'!$B$12*(1+B$7)))*(1-'1. The Building'!$B$8)+IF(2='1. The Building'!$B$13+1,-B$5,0)+IF(2='1. The Building'!$B$29,('1. The Building'!$B$7*(1-'1. The Building'!$B$12)+'1. The Building'!$B$7*'1. The Building'!$B$12*(1+B$7))*(1-'1. The Building'!$B$8)/'1. The Building'!$B$26-B$16,0)</f>
        <v>1150000</v>
      </c>
      <c r="C22" s="10" t="n">
        <f aca="false">IF(2&lt;='1. The Building'!$B$13,'1. The Building'!$B$7,IF(2='1. The Building'!$B$13+1,'1. The Building'!$B$7*(1-'1. The Building'!$B$12),'1. The Building'!$B$7*(1-'1. The Building'!$B$12)+'1. The Building'!$B$7*'1. The Building'!$B$12*(1+C$7)))*(1-'1. The Building'!$B$8)+IF(2='1. The Building'!$B$13+1,-C$5,0)+IF(2='1. The Building'!$B$29,('1. The Building'!$B$7*(1-'1. The Building'!$B$12)+'1. The Building'!$B$7*'1. The Building'!$B$12*(1+C$7))*(1-'1. The Building'!$B$8)/'1. The Building'!$B$26-C$16,0)</f>
        <v>1150000</v>
      </c>
      <c r="D22" s="10" t="n">
        <f aca="false">IF(2&lt;='1. The Building'!$B$13,'1. The Building'!$B$7,IF(2='1. The Building'!$B$13+1,'1. The Building'!$B$7*(1-'1. The Building'!$B$12),'1. The Building'!$B$7*(1-'1. The Building'!$B$12)+'1. The Building'!$B$7*'1. The Building'!$B$12*(1+D$7)))*(1-'1. The Building'!$B$8)+IF(2='1. The Building'!$B$13+1,-D$5,0)+IF(2='1. The Building'!$B$29,('1. The Building'!$B$7*(1-'1. The Building'!$B$12)+'1. The Building'!$B$7*'1. The Building'!$B$12*(1+D$7))*(1-'1. The Building'!$B$8)/'1. The Building'!$B$26-D$16,0)</f>
        <v>1150000</v>
      </c>
    </row>
    <row r="23" customFormat="false" ht="15" hidden="false" customHeight="false" outlineLevel="0" collapsed="false">
      <c r="A23" s="16" t="n">
        <v>3</v>
      </c>
      <c r="B23" s="10" t="n">
        <f aca="false">IF(3&lt;='1. The Building'!$B$13,'1. The Building'!$B$7,IF(3='1. The Building'!$B$13+1,'1. The Building'!$B$7*(1-'1. The Building'!$B$12),'1. The Building'!$B$7*(1-'1. The Building'!$B$12)+'1. The Building'!$B$7*'1. The Building'!$B$12*(1+B$7)))*(1-'1. The Building'!$B$8)+IF(3='1. The Building'!$B$13+1,-B$5,0)+IF(3='1. The Building'!$B$29,('1. The Building'!$B$7*(1-'1. The Building'!$B$12)+'1. The Building'!$B$7*'1. The Building'!$B$12*(1+B$7))*(1-'1. The Building'!$B$8)/'1. The Building'!$B$26-B$16,0)</f>
        <v>1150000</v>
      </c>
      <c r="C23" s="10" t="n">
        <f aca="false">IF(3&lt;='1. The Building'!$B$13,'1. The Building'!$B$7,IF(3='1. The Building'!$B$13+1,'1. The Building'!$B$7*(1-'1. The Building'!$B$12),'1. The Building'!$B$7*(1-'1. The Building'!$B$12)+'1. The Building'!$B$7*'1. The Building'!$B$12*(1+C$7)))*(1-'1. The Building'!$B$8)+IF(3='1. The Building'!$B$13+1,-C$5,0)+IF(3='1. The Building'!$B$29,('1. The Building'!$B$7*(1-'1. The Building'!$B$12)+'1. The Building'!$B$7*'1. The Building'!$B$12*(1+C$7))*(1-'1. The Building'!$B$8)/'1. The Building'!$B$26-C$16,0)</f>
        <v>1150000</v>
      </c>
      <c r="D23" s="10" t="n">
        <f aca="false">IF(3&lt;='1. The Building'!$B$13,'1. The Building'!$B$7,IF(3='1. The Building'!$B$13+1,'1. The Building'!$B$7*(1-'1. The Building'!$B$12),'1. The Building'!$B$7*(1-'1. The Building'!$B$12)+'1. The Building'!$B$7*'1. The Building'!$B$12*(1+D$7)))*(1-'1. The Building'!$B$8)+IF(3='1. The Building'!$B$13+1,-D$5,0)+IF(3='1. The Building'!$B$29,('1. The Building'!$B$7*(1-'1. The Building'!$B$12)+'1. The Building'!$B$7*'1. The Building'!$B$12*(1+D$7))*(1-'1. The Building'!$B$8)/'1. The Building'!$B$26-D$16,0)</f>
        <v>1150000</v>
      </c>
    </row>
    <row r="24" customFormat="false" ht="15" hidden="false" customHeight="false" outlineLevel="0" collapsed="false">
      <c r="A24" s="16" t="n">
        <v>4</v>
      </c>
      <c r="B24" s="10" t="n">
        <f aca="false">IF(4&lt;='1. The Building'!$B$13,'1. The Building'!$B$7,IF(4='1. The Building'!$B$13+1,'1. The Building'!$B$7*(1-'1. The Building'!$B$12),'1. The Building'!$B$7*(1-'1. The Building'!$B$12)+'1. The Building'!$B$7*'1. The Building'!$B$12*(1+B$7)))*(1-'1. The Building'!$B$8)+IF(4='1. The Building'!$B$13+1,-B$5,0)+IF(4='1. The Building'!$B$29,('1. The Building'!$B$7*(1-'1. The Building'!$B$12)+'1. The Building'!$B$7*'1. The Building'!$B$12*(1+B$7))*(1-'1. The Building'!$B$8)/'1. The Building'!$B$26-B$16,0)</f>
        <v>-1340000</v>
      </c>
      <c r="C24" s="10" t="n">
        <f aca="false">IF(4&lt;='1. The Building'!$B$13,'1. The Building'!$B$7,IF(4='1. The Building'!$B$13+1,'1. The Building'!$B$7*(1-'1. The Building'!$B$12),'1. The Building'!$B$7*(1-'1. The Building'!$B$12)+'1. The Building'!$B$7*'1. The Building'!$B$12*(1+C$7)))*(1-'1. The Building'!$B$8)+IF(4='1. The Building'!$B$13+1,-C$5,0)+IF(4='1. The Building'!$B$29,('1. The Building'!$B$7*(1-'1. The Building'!$B$12)+'1. The Building'!$B$7*'1. The Building'!$B$12*(1+C$7))*(1-'1. The Building'!$B$8)/'1. The Building'!$B$26-C$16,0)</f>
        <v>-2740000</v>
      </c>
      <c r="D24" s="10" t="n">
        <f aca="false">IF(4&lt;='1. The Building'!$B$13,'1. The Building'!$B$7,IF(4='1. The Building'!$B$13+1,'1. The Building'!$B$7*(1-'1. The Building'!$B$12),'1. The Building'!$B$7*(1-'1. The Building'!$B$12)+'1. The Building'!$B$7*'1. The Building'!$B$12*(1+D$7)))*(1-'1. The Building'!$B$8)+IF(4='1. The Building'!$B$13+1,-D$5,0)+IF(4='1. The Building'!$B$29,('1. The Building'!$B$7*(1-'1. The Building'!$B$12)+'1. The Building'!$B$7*'1. The Building'!$B$12*(1+D$7))*(1-'1. The Building'!$B$8)/'1. The Building'!$B$26-D$16,0)</f>
        <v>-3940000</v>
      </c>
    </row>
    <row r="25" customFormat="false" ht="15" hidden="false" customHeight="false" outlineLevel="0" collapsed="false">
      <c r="A25" s="16" t="n">
        <v>5</v>
      </c>
      <c r="B25" s="10" t="n">
        <f aca="false">IF(5&lt;='1. The Building'!$B$13,'1. The Building'!$B$7,IF(5='1. The Building'!$B$13+1,'1. The Building'!$B$7*(1-'1. The Building'!$B$12),'1. The Building'!$B$7*(1-'1. The Building'!$B$12)+'1. The Building'!$B$7*'1. The Building'!$B$12*(1+B$7)))*(1-'1. The Building'!$B$8)+IF(5='1. The Building'!$B$13+1,-B$5,0)+IF(5='1. The Building'!$B$29,('1. The Building'!$B$7*(1-'1. The Building'!$B$12)+'1. The Building'!$B$7*'1. The Building'!$B$12*(1+B$7))*(1-'1. The Building'!$B$8)/'1. The Building'!$B$26-B$16,0)</f>
        <v>1150000</v>
      </c>
      <c r="C25" s="10" t="n">
        <f aca="false">IF(5&lt;='1. The Building'!$B$13,'1. The Building'!$B$7,IF(5='1. The Building'!$B$13+1,'1. The Building'!$B$7*(1-'1. The Building'!$B$12),'1. The Building'!$B$7*(1-'1. The Building'!$B$12)+'1. The Building'!$B$7*'1. The Building'!$B$12*(1+C$7)))*(1-'1. The Building'!$B$8)+IF(5='1. The Building'!$B$13+1,-C$5,0)+IF(5='1. The Building'!$B$29,('1. The Building'!$B$7*(1-'1. The Building'!$B$12)+'1. The Building'!$B$7*'1. The Building'!$B$12*(1+C$7))*(1-'1. The Building'!$B$8)/'1. The Building'!$B$26-C$16,0)</f>
        <v>1219000</v>
      </c>
      <c r="D25" s="10" t="n">
        <f aca="false">IF(5&lt;='1. The Building'!$B$13,'1. The Building'!$B$7,IF(5='1. The Building'!$B$13+1,'1. The Building'!$B$7*(1-'1. The Building'!$B$12),'1. The Building'!$B$7*(1-'1. The Building'!$B$12)+'1. The Building'!$B$7*'1. The Building'!$B$12*(1+D$7)))*(1-'1. The Building'!$B$8)+IF(5='1. The Building'!$B$13+1,-D$5,0)+IF(5='1. The Building'!$B$29,('1. The Building'!$B$7*(1-'1. The Building'!$B$12)+'1. The Building'!$B$7*'1. The Building'!$B$12*(1+D$7))*(1-'1. The Building'!$B$8)/'1. The Building'!$B$26-D$16,0)</f>
        <v>1219000</v>
      </c>
    </row>
    <row r="26" customFormat="false" ht="15" hidden="false" customHeight="false" outlineLevel="0" collapsed="false">
      <c r="A26" s="16" t="n">
        <v>6</v>
      </c>
      <c r="B26" s="10" t="n">
        <f aca="false">IF(6&lt;='1. The Building'!$B$13,'1. The Building'!$B$7,IF(6='1. The Building'!$B$13+1,'1. The Building'!$B$7*(1-'1. The Building'!$B$12),'1. The Building'!$B$7*(1-'1. The Building'!$B$12)+'1. The Building'!$B$7*'1. The Building'!$B$12*(1+B$7)))*(1-'1. The Building'!$B$8)+IF(6='1. The Building'!$B$13+1,-B$5,0)+IF(6='1. The Building'!$B$29,('1. The Building'!$B$7*(1-'1. The Building'!$B$12)+'1. The Building'!$B$7*'1. The Building'!$B$12*(1+B$7))*(1-'1. The Building'!$B$8)/'1. The Building'!$B$26-B$16,0)</f>
        <v>1150000</v>
      </c>
      <c r="C26" s="10" t="n">
        <f aca="false">IF(6&lt;='1. The Building'!$B$13,'1. The Building'!$B$7,IF(6='1. The Building'!$B$13+1,'1. The Building'!$B$7*(1-'1. The Building'!$B$12),'1. The Building'!$B$7*(1-'1. The Building'!$B$12)+'1. The Building'!$B$7*'1. The Building'!$B$12*(1+C$7)))*(1-'1. The Building'!$B$8)+IF(6='1. The Building'!$B$13+1,-C$5,0)+IF(6='1. The Building'!$B$29,('1. The Building'!$B$7*(1-'1. The Building'!$B$12)+'1. The Building'!$B$7*'1. The Building'!$B$12*(1+C$7))*(1-'1. The Building'!$B$8)/'1. The Building'!$B$26-C$16,0)</f>
        <v>1219000</v>
      </c>
      <c r="D26" s="10" t="n">
        <f aca="false">IF(6&lt;='1. The Building'!$B$13,'1. The Building'!$B$7,IF(6='1. The Building'!$B$13+1,'1. The Building'!$B$7*(1-'1. The Building'!$B$12),'1. The Building'!$B$7*(1-'1. The Building'!$B$12)+'1. The Building'!$B$7*'1. The Building'!$B$12*(1+D$7)))*(1-'1. The Building'!$B$8)+IF(6='1. The Building'!$B$13+1,-D$5,0)+IF(6='1. The Building'!$B$29,('1. The Building'!$B$7*(1-'1. The Building'!$B$12)+'1. The Building'!$B$7*'1. The Building'!$B$12*(1+D$7))*(1-'1. The Building'!$B$8)/'1. The Building'!$B$26-D$16,0)</f>
        <v>1219000</v>
      </c>
    </row>
    <row r="27" customFormat="false" ht="15" hidden="false" customHeight="false" outlineLevel="0" collapsed="false">
      <c r="A27" s="16" t="n">
        <v>7</v>
      </c>
      <c r="B27" s="10" t="n">
        <f aca="false">IF(7&lt;='1. The Building'!$B$13,'1. The Building'!$B$7,IF(7='1. The Building'!$B$13+1,'1. The Building'!$B$7*(1-'1. The Building'!$B$12),'1. The Building'!$B$7*(1-'1. The Building'!$B$12)+'1. The Building'!$B$7*'1. The Building'!$B$12*(1+B$7)))*(1-'1. The Building'!$B$8)+IF(7='1. The Building'!$B$13+1,-B$5,0)+IF(7='1. The Building'!$B$29,('1. The Building'!$B$7*(1-'1. The Building'!$B$12)+'1. The Building'!$B$7*'1. The Building'!$B$12*(1+B$7))*(1-'1. The Building'!$B$8)/'1. The Building'!$B$26-B$16,0)</f>
        <v>1150000</v>
      </c>
      <c r="C27" s="10" t="n">
        <f aca="false">IF(7&lt;='1. The Building'!$B$13,'1. The Building'!$B$7,IF(7='1. The Building'!$B$13+1,'1. The Building'!$B$7*(1-'1. The Building'!$B$12),'1. The Building'!$B$7*(1-'1. The Building'!$B$12)+'1. The Building'!$B$7*'1. The Building'!$B$12*(1+C$7)))*(1-'1. The Building'!$B$8)+IF(7='1. The Building'!$B$13+1,-C$5,0)+IF(7='1. The Building'!$B$29,('1. The Building'!$B$7*(1-'1. The Building'!$B$12)+'1. The Building'!$B$7*'1. The Building'!$B$12*(1+C$7))*(1-'1. The Building'!$B$8)/'1. The Building'!$B$26-C$16,0)</f>
        <v>1219000</v>
      </c>
      <c r="D27" s="10" t="n">
        <f aca="false">IF(7&lt;='1. The Building'!$B$13,'1. The Building'!$B$7,IF(7='1. The Building'!$B$13+1,'1. The Building'!$B$7*(1-'1. The Building'!$B$12),'1. The Building'!$B$7*(1-'1. The Building'!$B$12)+'1. The Building'!$B$7*'1. The Building'!$B$12*(1+D$7)))*(1-'1. The Building'!$B$8)+IF(7='1. The Building'!$B$13+1,-D$5,0)+IF(7='1. The Building'!$B$29,('1. The Building'!$B$7*(1-'1. The Building'!$B$12)+'1. The Building'!$B$7*'1. The Building'!$B$12*(1+D$7))*(1-'1. The Building'!$B$8)/'1. The Building'!$B$26-D$16,0)</f>
        <v>1219000</v>
      </c>
    </row>
    <row r="28" customFormat="false" ht="15" hidden="false" customHeight="false" outlineLevel="0" collapsed="false">
      <c r="A28" s="16" t="n">
        <v>8</v>
      </c>
      <c r="B28" s="10" t="n">
        <f aca="false">IF(8&lt;='1. The Building'!$B$13,'1. The Building'!$B$7,IF(8='1. The Building'!$B$13+1,'1. The Building'!$B$7*(1-'1. The Building'!$B$12),'1. The Building'!$B$7*(1-'1. The Building'!$B$12)+'1. The Building'!$B$7*'1. The Building'!$B$12*(1+B$7)))*(1-'1. The Building'!$B$8)+IF(8='1. The Building'!$B$13+1,-B$5,0)+IF(8='1. The Building'!$B$29,('1. The Building'!$B$7*(1-'1. The Building'!$B$12)+'1. The Building'!$B$7*'1. The Building'!$B$12*(1+B$7))*(1-'1. The Building'!$B$8)/'1. The Building'!$B$26-B$16,0)</f>
        <v>1150000</v>
      </c>
      <c r="C28" s="10" t="n">
        <f aca="false">IF(8&lt;='1. The Building'!$B$13,'1. The Building'!$B$7,IF(8='1. The Building'!$B$13+1,'1. The Building'!$B$7*(1-'1. The Building'!$B$12),'1. The Building'!$B$7*(1-'1. The Building'!$B$12)+'1. The Building'!$B$7*'1. The Building'!$B$12*(1+C$7)))*(1-'1. The Building'!$B$8)+IF(8='1. The Building'!$B$13+1,-C$5,0)+IF(8='1. The Building'!$B$29,('1. The Building'!$B$7*(1-'1. The Building'!$B$12)+'1. The Building'!$B$7*'1. The Building'!$B$12*(1+C$7))*(1-'1. The Building'!$B$8)/'1. The Building'!$B$26-C$16,0)</f>
        <v>1219000</v>
      </c>
      <c r="D28" s="10" t="n">
        <f aca="false">IF(8&lt;='1. The Building'!$B$13,'1. The Building'!$B$7,IF(8='1. The Building'!$B$13+1,'1. The Building'!$B$7*(1-'1. The Building'!$B$12),'1. The Building'!$B$7*(1-'1. The Building'!$B$12)+'1. The Building'!$B$7*'1. The Building'!$B$12*(1+D$7)))*(1-'1. The Building'!$B$8)+IF(8='1. The Building'!$B$13+1,-D$5,0)+IF(8='1. The Building'!$B$29,('1. The Building'!$B$7*(1-'1. The Building'!$B$12)+'1. The Building'!$B$7*'1. The Building'!$B$12*(1+D$7))*(1-'1. The Building'!$B$8)/'1. The Building'!$B$26-D$16,0)</f>
        <v>1219000</v>
      </c>
    </row>
    <row r="29" customFormat="false" ht="15" hidden="false" customHeight="false" outlineLevel="0" collapsed="false">
      <c r="A29" s="16" t="n">
        <v>9</v>
      </c>
      <c r="B29" s="10" t="n">
        <f aca="false">IF(9&lt;='1. The Building'!$B$13,'1. The Building'!$B$7,IF(9='1. The Building'!$B$13+1,'1. The Building'!$B$7*(1-'1. The Building'!$B$12),'1. The Building'!$B$7*(1-'1. The Building'!$B$12)+'1. The Building'!$B$7*'1. The Building'!$B$12*(1+B$7)))*(1-'1. The Building'!$B$8)+IF(9='1. The Building'!$B$13+1,-B$5,0)+IF(9='1. The Building'!$B$29,('1. The Building'!$B$7*(1-'1. The Building'!$B$12)+'1. The Building'!$B$7*'1. The Building'!$B$12*(1+B$7))*(1-'1. The Building'!$B$8)/'1. The Building'!$B$26-B$16,0)</f>
        <v>1150000</v>
      </c>
      <c r="C29" s="10" t="n">
        <f aca="false">IF(9&lt;='1. The Building'!$B$13,'1. The Building'!$B$7,IF(9='1. The Building'!$B$13+1,'1. The Building'!$B$7*(1-'1. The Building'!$B$12),'1. The Building'!$B$7*(1-'1. The Building'!$B$12)+'1. The Building'!$B$7*'1. The Building'!$B$12*(1+C$7)))*(1-'1. The Building'!$B$8)+IF(9='1. The Building'!$B$13+1,-C$5,0)+IF(9='1. The Building'!$B$29,('1. The Building'!$B$7*(1-'1. The Building'!$B$12)+'1. The Building'!$B$7*'1. The Building'!$B$12*(1+C$7))*(1-'1. The Building'!$B$8)/'1. The Building'!$B$26-C$16,0)</f>
        <v>1219000</v>
      </c>
      <c r="D29" s="10" t="n">
        <f aca="false">IF(9&lt;='1. The Building'!$B$13,'1. The Building'!$B$7,IF(9='1. The Building'!$B$13+1,'1. The Building'!$B$7*(1-'1. The Building'!$B$12),'1. The Building'!$B$7*(1-'1. The Building'!$B$12)+'1. The Building'!$B$7*'1. The Building'!$B$12*(1+D$7)))*(1-'1. The Building'!$B$8)+IF(9='1. The Building'!$B$13+1,-D$5,0)+IF(9='1. The Building'!$B$29,('1. The Building'!$B$7*(1-'1. The Building'!$B$12)+'1. The Building'!$B$7*'1. The Building'!$B$12*(1+D$7))*(1-'1. The Building'!$B$8)/'1. The Building'!$B$26-D$16,0)</f>
        <v>1219000</v>
      </c>
    </row>
    <row r="30" customFormat="false" ht="15" hidden="false" customHeight="false" outlineLevel="0" collapsed="false">
      <c r="A30" s="16" t="n">
        <v>10</v>
      </c>
      <c r="B30" s="10" t="n">
        <f aca="false">IF(10&lt;='1. The Building'!$B$13,'1. The Building'!$B$7,IF(10='1. The Building'!$B$13+1,'1. The Building'!$B$7*(1-'1. The Building'!$B$12),'1. The Building'!$B$7*(1-'1. The Building'!$B$12)+'1. The Building'!$B$7*'1. The Building'!$B$12*(1+B$7)))*(1-'1. The Building'!$B$8)+IF(10='1. The Building'!$B$13+1,-B$5,0)+IF(10='1. The Building'!$B$29,('1. The Building'!$B$7*(1-'1. The Building'!$B$12)+'1. The Building'!$B$7*'1. The Building'!$B$12*(1+B$7))*(1-'1. The Building'!$B$8)/'1. The Building'!$B$26-B$16,0)</f>
        <v>18070810.6178255</v>
      </c>
      <c r="C30" s="10" t="n">
        <f aca="false">IF(10&lt;='1. The Building'!$B$13,'1. The Building'!$B$7,IF(10='1. The Building'!$B$13+1,'1. The Building'!$B$7*(1-'1. The Building'!$B$12),'1. The Building'!$B$7*(1-'1. The Building'!$B$12)+'1. The Building'!$B$7*'1. The Building'!$B$12*(1+C$7)))*(1-'1. The Building'!$B$8)+IF(10='1. The Building'!$B$13+1,-C$5,0)+IF(10='1. The Building'!$B$29,('1. The Building'!$B$7*(1-'1. The Building'!$B$12)+'1. The Building'!$B$7*'1. The Building'!$B$12*(1+C$7))*(1-'1. The Building'!$B$8)/'1. The Building'!$B$26-C$16,0)</f>
        <v>20723000</v>
      </c>
      <c r="D30" s="10" t="n">
        <f aca="false">IF(10&lt;='1. The Building'!$B$13,'1. The Building'!$B$7,IF(10='1. The Building'!$B$13+1,'1. The Building'!$B$7*(1-'1. The Building'!$B$12),'1. The Building'!$B$7*(1-'1. The Building'!$B$12)+'1. The Building'!$B$7*'1. The Building'!$B$12*(1+D$7)))*(1-'1. The Building'!$B$8)+IF(10='1. The Building'!$B$13+1,-D$5,0)+IF(10='1. The Building'!$B$29,('1. The Building'!$B$7*(1-'1. The Building'!$B$12)+'1. The Building'!$B$7*'1. The Building'!$B$12*(1+D$7))*(1-'1. The Building'!$B$8)/'1. The Building'!$B$26-D$16,0)</f>
        <v>20723000</v>
      </c>
    </row>
    <row r="31" customFormat="false" ht="15" hidden="false" customHeight="false" outlineLevel="0" collapsed="false">
      <c r="A31" s="17" t="s">
        <v>74</v>
      </c>
      <c r="B31" s="19" t="n">
        <f aca="false">IFERROR(NPV('1. The Building'!$B$25,B21:B30),"")</f>
        <v>14239054.3539423</v>
      </c>
      <c r="C31" s="19" t="n">
        <f aca="false">IFERROR(NPV('1. The Building'!$B$25,C21:C30),"")</f>
        <v>14686599.4894961</v>
      </c>
      <c r="D31" s="19" t="n">
        <f aca="false">IFERROR(NPV('1. The Building'!$B$25,D21:D30),"")</f>
        <v>13788038.8537645</v>
      </c>
    </row>
    <row r="32" customFormat="false" ht="15" hidden="false" customHeight="false" outlineLevel="0" collapsed="false">
      <c r="A32" s="17" t="s">
        <v>75</v>
      </c>
      <c r="C32" s="19" t="n">
        <f aca="false">IFERROR(C31-B31,"")</f>
        <v>447545.13555385</v>
      </c>
      <c r="E32" s="14" t="str">
        <f aca="false">IF(C32="","",IF(C32&gt;0,"fabric wins, despite costing more","plant wins"))</f>
        <v>fabric wins, despite costing more</v>
      </c>
    </row>
    <row r="34" customFormat="false" ht="15" hidden="false" customHeight="false" outlineLevel="0" collapsed="false">
      <c r="A34" s="17" t="s">
        <v>76</v>
      </c>
    </row>
    <row r="35" customFormat="false" ht="48" hidden="false" customHeight="true" outlineLevel="0" collapsed="false">
      <c r="A35" s="20" t="s">
        <v>77</v>
      </c>
      <c r="B35" s="20"/>
      <c r="C35" s="20"/>
      <c r="D35" s="20"/>
      <c r="E35" s="20"/>
    </row>
  </sheetData>
  <mergeCells count="1">
    <mergeCell ref="A35:E3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8"/>
    <col collapsed="false" customWidth="true" hidden="false" outlineLevel="0" max="13" min="2" style="0" width="15"/>
  </cols>
  <sheetData>
    <row r="1" customFormat="false" ht="17.35" hidden="false" customHeight="false" outlineLevel="0" collapsed="false">
      <c r="A1" s="6" t="s">
        <v>78</v>
      </c>
    </row>
    <row r="2" customFormat="false" ht="15" hidden="false" customHeight="false" outlineLevel="0" collapsed="false">
      <c r="A2" s="2" t="s">
        <v>79</v>
      </c>
    </row>
    <row r="3" customFormat="false" ht="15" hidden="false" customHeight="false" outlineLevel="0" collapsed="false">
      <c r="A3" s="2" t="s">
        <v>80</v>
      </c>
    </row>
    <row r="5" customFormat="false" ht="18" hidden="false" customHeight="true" outlineLevel="0" collapsed="false">
      <c r="A5" s="13"/>
      <c r="B5" s="13" t="s">
        <v>81</v>
      </c>
      <c r="C5" s="13"/>
      <c r="D5" s="13"/>
      <c r="E5" s="13" t="s">
        <v>82</v>
      </c>
      <c r="F5" s="13"/>
      <c r="G5" s="13"/>
      <c r="H5" s="13" t="s">
        <v>83</v>
      </c>
      <c r="I5" s="13"/>
      <c r="J5" s="13"/>
    </row>
    <row r="6" customFormat="false" ht="30" hidden="false" customHeight="true" outlineLevel="0" collapsed="false">
      <c r="A6" s="13" t="s">
        <v>71</v>
      </c>
      <c r="B6" s="13" t="s">
        <v>84</v>
      </c>
      <c r="C6" s="13" t="s">
        <v>85</v>
      </c>
      <c r="D6" s="13" t="s">
        <v>86</v>
      </c>
      <c r="E6" s="13" t="s">
        <v>84</v>
      </c>
      <c r="F6" s="13" t="s">
        <v>85</v>
      </c>
      <c r="G6" s="13" t="s">
        <v>86</v>
      </c>
      <c r="H6" s="13" t="s">
        <v>84</v>
      </c>
      <c r="I6" s="13" t="s">
        <v>85</v>
      </c>
      <c r="J6" s="13" t="s">
        <v>86</v>
      </c>
    </row>
    <row r="7" customFormat="false" ht="15" hidden="false" customHeight="false" outlineLevel="0" collapsed="false">
      <c r="A7" s="16" t="n">
        <v>1</v>
      </c>
      <c r="B7" s="10" t="n">
        <f aca="false">IF(1&lt;='1. The Building'!$B$13,'1. The Building'!$B$7,IF(1='1. The Building'!$B$13+1,'1. The Building'!$B$7*(1-'1. The Building'!$B$12),'1. The Building'!$B$7*(1-'1. The Building'!$B$12)+'1. The Building'!$B$7*'1. The Building'!$B$12*(1+'2. The Three Routes'!$C$7)))*(1-'1. The Building'!$B$8)</f>
        <v>1150000</v>
      </c>
      <c r="C7" s="10" t="n">
        <f aca="false">IF(1='1. The Building'!$B$13+1,-'2. The Three Routes'!$C$5,0)</f>
        <v>0</v>
      </c>
      <c r="D7" s="10" t="n">
        <f aca="false">B7+C7</f>
        <v>1150000</v>
      </c>
      <c r="E7" s="10" t="n">
        <f aca="false">IF(1&lt;='1. The Building'!$B$13,'1. The Building'!$B$7,IF(1='1. The Building'!$B$13+1,'1. The Building'!$B$7*(1-'1. The Building'!$B$12),IF(1='1. The Building'!$B$18+1,'1. The Building'!$B$7*(1-'1. The Building'!$B$12)*(1-'1. The Building'!$B$20),'1. The Building'!$B$7*(1-'1. The Building'!$B$12)+'1. The Building'!$B$7*'1. The Building'!$B$12*(1+'2. The Three Routes'!$C$7))))*(1-'1. The Building'!$B$8)</f>
        <v>1150000</v>
      </c>
      <c r="F7" s="10" t="n">
        <f aca="false">IF(1='1. The Building'!$B$18+1,-'2. The Three Routes'!$C$5*(1+'1. The Building'!$B$19),0)</f>
        <v>0</v>
      </c>
      <c r="G7" s="10" t="n">
        <f aca="false">E7+F7</f>
        <v>1150000</v>
      </c>
      <c r="H7" s="10" t="n">
        <f aca="false">IF(1&gt;'1. The Building'!$B$14,0,IF(1&gt;'1. The Building'!$B$13,'1. The Building'!$B$7*(1-'1. The Building'!$B$12),'1. The Building'!$B$7))*(1-'1. The Building'!$B$8)</f>
        <v>1150000</v>
      </c>
      <c r="I7" s="10" t="n">
        <v>0</v>
      </c>
      <c r="J7" s="10" t="n">
        <f aca="false">H7+I7</f>
        <v>1150000</v>
      </c>
    </row>
    <row r="8" customFormat="false" ht="15" hidden="false" customHeight="false" outlineLevel="0" collapsed="false">
      <c r="A8" s="16" t="n">
        <v>2</v>
      </c>
      <c r="B8" s="10" t="n">
        <f aca="false">IF(2&lt;='1. The Building'!$B$13,'1. The Building'!$B$7,IF(2='1. The Building'!$B$13+1,'1. The Building'!$B$7*(1-'1. The Building'!$B$12),'1. The Building'!$B$7*(1-'1. The Building'!$B$12)+'1. The Building'!$B$7*'1. The Building'!$B$12*(1+'2. The Three Routes'!$C$7)))*(1-'1. The Building'!$B$8)</f>
        <v>1150000</v>
      </c>
      <c r="C8" s="10" t="n">
        <f aca="false">IF(2='1. The Building'!$B$13+1,-'2. The Three Routes'!$C$5,0)</f>
        <v>0</v>
      </c>
      <c r="D8" s="10" t="n">
        <f aca="false">B8+C8</f>
        <v>1150000</v>
      </c>
      <c r="E8" s="10" t="n">
        <f aca="false">IF(2&lt;='1. The Building'!$B$13,'1. The Building'!$B$7,IF(2='1. The Building'!$B$13+1,'1. The Building'!$B$7*(1-'1. The Building'!$B$12),IF(2='1. The Building'!$B$18+1,'1. The Building'!$B$7*(1-'1. The Building'!$B$12)*(1-'1. The Building'!$B$20),'1. The Building'!$B$7*(1-'1. The Building'!$B$12)+'1. The Building'!$B$7*'1. The Building'!$B$12*(1+'2. The Three Routes'!$C$7))))*(1-'1. The Building'!$B$8)</f>
        <v>1150000</v>
      </c>
      <c r="F8" s="10" t="n">
        <f aca="false">IF(2='1. The Building'!$B$18+1,-'2. The Three Routes'!$C$5*(1+'1. The Building'!$B$19),0)</f>
        <v>0</v>
      </c>
      <c r="G8" s="10" t="n">
        <f aca="false">E8+F8</f>
        <v>1150000</v>
      </c>
      <c r="H8" s="10" t="n">
        <f aca="false">IF(2&gt;'1. The Building'!$B$14,0,IF(2&gt;'1. The Building'!$B$13,'1. The Building'!$B$7*(1-'1. The Building'!$B$12),'1. The Building'!$B$7))*(1-'1. The Building'!$B$8)</f>
        <v>1150000</v>
      </c>
      <c r="I8" s="10" t="n">
        <v>0</v>
      </c>
      <c r="J8" s="10" t="n">
        <f aca="false">H8+I8</f>
        <v>1150000</v>
      </c>
    </row>
    <row r="9" customFormat="false" ht="15" hidden="false" customHeight="false" outlineLevel="0" collapsed="false">
      <c r="A9" s="16" t="n">
        <v>3</v>
      </c>
      <c r="B9" s="10" t="n">
        <f aca="false">IF(3&lt;='1. The Building'!$B$13,'1. The Building'!$B$7,IF(3='1. The Building'!$B$13+1,'1. The Building'!$B$7*(1-'1. The Building'!$B$12),'1. The Building'!$B$7*(1-'1. The Building'!$B$12)+'1. The Building'!$B$7*'1. The Building'!$B$12*(1+'2. The Three Routes'!$C$7)))*(1-'1. The Building'!$B$8)</f>
        <v>1150000</v>
      </c>
      <c r="C9" s="10" t="n">
        <f aca="false">IF(3='1. The Building'!$B$13+1,-'2. The Three Routes'!$C$5,0)</f>
        <v>0</v>
      </c>
      <c r="D9" s="10" t="n">
        <f aca="false">B9+C9</f>
        <v>1150000</v>
      </c>
      <c r="E9" s="10" t="n">
        <f aca="false">IF(3&lt;='1. The Building'!$B$13,'1. The Building'!$B$7,IF(3='1. The Building'!$B$13+1,'1. The Building'!$B$7*(1-'1. The Building'!$B$12),IF(3='1. The Building'!$B$18+1,'1. The Building'!$B$7*(1-'1. The Building'!$B$12)*(1-'1. The Building'!$B$20),'1. The Building'!$B$7*(1-'1. The Building'!$B$12)+'1. The Building'!$B$7*'1. The Building'!$B$12*(1+'2. The Three Routes'!$C$7))))*(1-'1. The Building'!$B$8)</f>
        <v>1150000</v>
      </c>
      <c r="F9" s="10" t="n">
        <f aca="false">IF(3='1. The Building'!$B$18+1,-'2. The Three Routes'!$C$5*(1+'1. The Building'!$B$19),0)</f>
        <v>0</v>
      </c>
      <c r="G9" s="10" t="n">
        <f aca="false">E9+F9</f>
        <v>1150000</v>
      </c>
      <c r="H9" s="10" t="n">
        <f aca="false">IF(3&gt;'1. The Building'!$B$14,0,IF(3&gt;'1. The Building'!$B$13,'1. The Building'!$B$7*(1-'1. The Building'!$B$12),'1. The Building'!$B$7))*(1-'1. The Building'!$B$8)</f>
        <v>1150000</v>
      </c>
      <c r="I9" s="10" t="n">
        <v>0</v>
      </c>
      <c r="J9" s="10" t="n">
        <f aca="false">H9+I9</f>
        <v>1150000</v>
      </c>
    </row>
    <row r="10" customFormat="false" ht="15" hidden="false" customHeight="false" outlineLevel="0" collapsed="false">
      <c r="A10" s="16" t="n">
        <v>4</v>
      </c>
      <c r="B10" s="10" t="n">
        <f aca="false">IF(4&lt;='1. The Building'!$B$13,'1. The Building'!$B$7,IF(4='1. The Building'!$B$13+1,'1. The Building'!$B$7*(1-'1. The Building'!$B$12),'1. The Building'!$B$7*(1-'1. The Building'!$B$12)+'1. The Building'!$B$7*'1. The Building'!$B$12*(1+'2. The Three Routes'!$C$7)))*(1-'1. The Building'!$B$8)</f>
        <v>460000</v>
      </c>
      <c r="C10" s="10" t="n">
        <f aca="false">IF(4='1. The Building'!$B$13+1,-'2. The Three Routes'!$C$5,0)</f>
        <v>-3200000</v>
      </c>
      <c r="D10" s="10" t="n">
        <f aca="false">B10+C10</f>
        <v>-2740000</v>
      </c>
      <c r="E10" s="10" t="n">
        <f aca="false">IF(4&lt;='1. The Building'!$B$13,'1. The Building'!$B$7,IF(4='1. The Building'!$B$13+1,'1. The Building'!$B$7*(1-'1. The Building'!$B$12),IF(4='1. The Building'!$B$18+1,'1. The Building'!$B$7*(1-'1. The Building'!$B$12)*(1-'1. The Building'!$B$20),'1. The Building'!$B$7*(1-'1. The Building'!$B$12)+'1. The Building'!$B$7*'1. The Building'!$B$12*(1+'2. The Three Routes'!$C$7))))*(1-'1. The Building'!$B$8)</f>
        <v>460000</v>
      </c>
      <c r="F10" s="10" t="n">
        <f aca="false">IF(4='1. The Building'!$B$18+1,-'2. The Three Routes'!$C$5*(1+'1. The Building'!$B$19),0)</f>
        <v>0</v>
      </c>
      <c r="G10" s="10" t="n">
        <f aca="false">E10+F10</f>
        <v>460000</v>
      </c>
      <c r="H10" s="10" t="n">
        <f aca="false">IF(4&gt;'1. The Building'!$B$14,0,IF(4&gt;'1. The Building'!$B$13,'1. The Building'!$B$7*(1-'1. The Building'!$B$12),'1. The Building'!$B$7))*(1-'1. The Building'!$B$8)</f>
        <v>460000</v>
      </c>
      <c r="I10" s="10" t="n">
        <v>0</v>
      </c>
      <c r="J10" s="10" t="n">
        <f aca="false">H10+I10</f>
        <v>460000</v>
      </c>
    </row>
    <row r="11" customFormat="false" ht="15" hidden="false" customHeight="false" outlineLevel="0" collapsed="false">
      <c r="A11" s="16" t="n">
        <v>5</v>
      </c>
      <c r="B11" s="10" t="n">
        <f aca="false">IF(5&lt;='1. The Building'!$B$13,'1. The Building'!$B$7,IF(5='1. The Building'!$B$13+1,'1. The Building'!$B$7*(1-'1. The Building'!$B$12),'1. The Building'!$B$7*(1-'1. The Building'!$B$12)+'1. The Building'!$B$7*'1. The Building'!$B$12*(1+'2. The Three Routes'!$C$7)))*(1-'1. The Building'!$B$8)</f>
        <v>1219000</v>
      </c>
      <c r="C11" s="10" t="n">
        <f aca="false">IF(5='1. The Building'!$B$13+1,-'2. The Three Routes'!$C$5,0)</f>
        <v>0</v>
      </c>
      <c r="D11" s="10" t="n">
        <f aca="false">B11+C11</f>
        <v>1219000</v>
      </c>
      <c r="E11" s="10" t="n">
        <f aca="false">IF(5&lt;='1. The Building'!$B$13,'1. The Building'!$B$7,IF(5='1. The Building'!$B$13+1,'1. The Building'!$B$7*(1-'1. The Building'!$B$12),IF(5='1. The Building'!$B$18+1,'1. The Building'!$B$7*(1-'1. The Building'!$B$12)*(1-'1. The Building'!$B$20),'1. The Building'!$B$7*(1-'1. The Building'!$B$12)+'1. The Building'!$B$7*'1. The Building'!$B$12*(1+'2. The Three Routes'!$C$7))))*(1-'1. The Building'!$B$8)</f>
        <v>230000</v>
      </c>
      <c r="F11" s="10" t="n">
        <f aca="false">IF(5='1. The Building'!$B$18+1,-'2. The Three Routes'!$C$5*(1+'1. The Building'!$B$19),0)</f>
        <v>-4320000</v>
      </c>
      <c r="G11" s="10" t="n">
        <f aca="false">E11+F11</f>
        <v>-4090000</v>
      </c>
      <c r="H11" s="10" t="n">
        <f aca="false">IF(5&gt;'1. The Building'!$B$14,0,IF(5&gt;'1. The Building'!$B$13,'1. The Building'!$B$7*(1-'1. The Building'!$B$12),'1. The Building'!$B$7))*(1-'1. The Building'!$B$8)</f>
        <v>460000</v>
      </c>
      <c r="I11" s="10" t="n">
        <v>0</v>
      </c>
      <c r="J11" s="10" t="n">
        <f aca="false">H11+I11</f>
        <v>460000</v>
      </c>
    </row>
    <row r="12" customFormat="false" ht="15" hidden="false" customHeight="false" outlineLevel="0" collapsed="false">
      <c r="A12" s="16" t="n">
        <v>6</v>
      </c>
      <c r="B12" s="10" t="n">
        <f aca="false">IF(6&lt;='1. The Building'!$B$13,'1. The Building'!$B$7,IF(6='1. The Building'!$B$13+1,'1. The Building'!$B$7*(1-'1. The Building'!$B$12),'1. The Building'!$B$7*(1-'1. The Building'!$B$12)+'1. The Building'!$B$7*'1. The Building'!$B$12*(1+'2. The Three Routes'!$C$7)))*(1-'1. The Building'!$B$8)</f>
        <v>1219000</v>
      </c>
      <c r="C12" s="10" t="n">
        <f aca="false">IF(6='1. The Building'!$B$13+1,-'2. The Three Routes'!$C$5,0)</f>
        <v>0</v>
      </c>
      <c r="D12" s="10" t="n">
        <f aca="false">B12+C12</f>
        <v>1219000</v>
      </c>
      <c r="E12" s="10" t="n">
        <f aca="false">IF(6&lt;='1. The Building'!$B$13,'1. The Building'!$B$7,IF(6='1. The Building'!$B$13+1,'1. The Building'!$B$7*(1-'1. The Building'!$B$12),IF(6='1. The Building'!$B$18+1,'1. The Building'!$B$7*(1-'1. The Building'!$B$12)*(1-'1. The Building'!$B$20),'1. The Building'!$B$7*(1-'1. The Building'!$B$12)+'1. The Building'!$B$7*'1. The Building'!$B$12*(1+'2. The Three Routes'!$C$7))))*(1-'1. The Building'!$B$8)</f>
        <v>1219000</v>
      </c>
      <c r="F12" s="10" t="n">
        <f aca="false">IF(6='1. The Building'!$B$18+1,-'2. The Three Routes'!$C$5*(1+'1. The Building'!$B$19),0)</f>
        <v>0</v>
      </c>
      <c r="G12" s="10" t="n">
        <f aca="false">E12+F12</f>
        <v>1219000</v>
      </c>
      <c r="H12" s="10" t="n">
        <f aca="false">IF(6&gt;'1. The Building'!$B$14,0,IF(6&gt;'1. The Building'!$B$13,'1. The Building'!$B$7*(1-'1. The Building'!$B$12),'1. The Building'!$B$7))*(1-'1. The Building'!$B$8)</f>
        <v>460000</v>
      </c>
      <c r="I12" s="10" t="n">
        <v>0</v>
      </c>
      <c r="J12" s="10" t="n">
        <f aca="false">H12+I12</f>
        <v>460000</v>
      </c>
    </row>
    <row r="13" customFormat="false" ht="15" hidden="false" customHeight="false" outlineLevel="0" collapsed="false">
      <c r="A13" s="16" t="n">
        <v>7</v>
      </c>
      <c r="B13" s="10" t="n">
        <f aca="false">IF(7&lt;='1. The Building'!$B$13,'1. The Building'!$B$7,IF(7='1. The Building'!$B$13+1,'1. The Building'!$B$7*(1-'1. The Building'!$B$12),'1. The Building'!$B$7*(1-'1. The Building'!$B$12)+'1. The Building'!$B$7*'1. The Building'!$B$12*(1+'2. The Three Routes'!$C$7)))*(1-'1. The Building'!$B$8)</f>
        <v>1219000</v>
      </c>
      <c r="C13" s="10" t="n">
        <f aca="false">IF(7='1. The Building'!$B$13+1,-'2. The Three Routes'!$C$5,0)</f>
        <v>0</v>
      </c>
      <c r="D13" s="10" t="n">
        <f aca="false">B13+C13</f>
        <v>1219000</v>
      </c>
      <c r="E13" s="10" t="n">
        <f aca="false">IF(7&lt;='1. The Building'!$B$13,'1. The Building'!$B$7,IF(7='1. The Building'!$B$13+1,'1. The Building'!$B$7*(1-'1. The Building'!$B$12),IF(7='1. The Building'!$B$18+1,'1. The Building'!$B$7*(1-'1. The Building'!$B$12)*(1-'1. The Building'!$B$20),'1. The Building'!$B$7*(1-'1. The Building'!$B$12)+'1. The Building'!$B$7*'1. The Building'!$B$12*(1+'2. The Three Routes'!$C$7))))*(1-'1. The Building'!$B$8)</f>
        <v>1219000</v>
      </c>
      <c r="F13" s="10" t="n">
        <f aca="false">IF(7='1. The Building'!$B$18+1,-'2. The Three Routes'!$C$5*(1+'1. The Building'!$B$19),0)</f>
        <v>0</v>
      </c>
      <c r="G13" s="10" t="n">
        <f aca="false">E13+F13</f>
        <v>1219000</v>
      </c>
      <c r="H13" s="10" t="n">
        <f aca="false">IF(7&gt;'1. The Building'!$B$14,0,IF(7&gt;'1. The Building'!$B$13,'1. The Building'!$B$7*(1-'1. The Building'!$B$12),'1. The Building'!$B$7))*(1-'1. The Building'!$B$8)</f>
        <v>460000</v>
      </c>
      <c r="I13" s="10" t="n">
        <v>0</v>
      </c>
      <c r="J13" s="10" t="n">
        <f aca="false">H13+I13</f>
        <v>460000</v>
      </c>
    </row>
    <row r="14" customFormat="false" ht="15" hidden="false" customHeight="false" outlineLevel="0" collapsed="false">
      <c r="A14" s="16" t="n">
        <v>8</v>
      </c>
      <c r="B14" s="10" t="n">
        <f aca="false">IF(8&lt;='1. The Building'!$B$13,'1. The Building'!$B$7,IF(8='1. The Building'!$B$13+1,'1. The Building'!$B$7*(1-'1. The Building'!$B$12),'1. The Building'!$B$7*(1-'1. The Building'!$B$12)+'1. The Building'!$B$7*'1. The Building'!$B$12*(1+'2. The Three Routes'!$C$7)))*(1-'1. The Building'!$B$8)</f>
        <v>1219000</v>
      </c>
      <c r="C14" s="10" t="n">
        <f aca="false">IF(8='1. The Building'!$B$13+1,-'2. The Three Routes'!$C$5,0)</f>
        <v>0</v>
      </c>
      <c r="D14" s="10" t="n">
        <f aca="false">B14+C14</f>
        <v>1219000</v>
      </c>
      <c r="E14" s="10" t="n">
        <f aca="false">IF(8&lt;='1. The Building'!$B$13,'1. The Building'!$B$7,IF(8='1. The Building'!$B$13+1,'1. The Building'!$B$7*(1-'1. The Building'!$B$12),IF(8='1. The Building'!$B$18+1,'1. The Building'!$B$7*(1-'1. The Building'!$B$12)*(1-'1. The Building'!$B$20),'1. The Building'!$B$7*(1-'1. The Building'!$B$12)+'1. The Building'!$B$7*'1. The Building'!$B$12*(1+'2. The Three Routes'!$C$7))))*(1-'1. The Building'!$B$8)</f>
        <v>1219000</v>
      </c>
      <c r="F14" s="10" t="n">
        <f aca="false">IF(8='1. The Building'!$B$18+1,-'2. The Three Routes'!$C$5*(1+'1. The Building'!$B$19),0)</f>
        <v>0</v>
      </c>
      <c r="G14" s="10" t="n">
        <f aca="false">E14+F14</f>
        <v>1219000</v>
      </c>
      <c r="H14" s="10" t="n">
        <f aca="false">IF(8&gt;'1. The Building'!$B$14,0,IF(8&gt;'1. The Building'!$B$13,'1. The Building'!$B$7*(1-'1. The Building'!$B$12),'1. The Building'!$B$7))*(1-'1. The Building'!$B$8)</f>
        <v>460000</v>
      </c>
      <c r="I14" s="10" t="n">
        <v>0</v>
      </c>
      <c r="J14" s="10" t="n">
        <f aca="false">H14+I14</f>
        <v>460000</v>
      </c>
    </row>
    <row r="15" customFormat="false" ht="15" hidden="false" customHeight="false" outlineLevel="0" collapsed="false">
      <c r="A15" s="16" t="n">
        <v>9</v>
      </c>
      <c r="B15" s="10" t="n">
        <f aca="false">IF(9&lt;='1. The Building'!$B$13,'1. The Building'!$B$7,IF(9='1. The Building'!$B$13+1,'1. The Building'!$B$7*(1-'1. The Building'!$B$12),'1. The Building'!$B$7*(1-'1. The Building'!$B$12)+'1. The Building'!$B$7*'1. The Building'!$B$12*(1+'2. The Three Routes'!$C$7)))*(1-'1. The Building'!$B$8)</f>
        <v>1219000</v>
      </c>
      <c r="C15" s="10" t="n">
        <f aca="false">IF(9='1. The Building'!$B$13+1,-'2. The Three Routes'!$C$5,0)</f>
        <v>0</v>
      </c>
      <c r="D15" s="10" t="n">
        <f aca="false">B15+C15</f>
        <v>1219000</v>
      </c>
      <c r="E15" s="10" t="n">
        <f aca="false">IF(9&lt;='1. The Building'!$B$13,'1. The Building'!$B$7,IF(9='1. The Building'!$B$13+1,'1. The Building'!$B$7*(1-'1. The Building'!$B$12),IF(9='1. The Building'!$B$18+1,'1. The Building'!$B$7*(1-'1. The Building'!$B$12)*(1-'1. The Building'!$B$20),'1. The Building'!$B$7*(1-'1. The Building'!$B$12)+'1. The Building'!$B$7*'1. The Building'!$B$12*(1+'2. The Three Routes'!$C$7))))*(1-'1. The Building'!$B$8)</f>
        <v>1219000</v>
      </c>
      <c r="F15" s="10" t="n">
        <f aca="false">IF(9='1. The Building'!$B$18+1,-'2. The Three Routes'!$C$5*(1+'1. The Building'!$B$19),0)</f>
        <v>0</v>
      </c>
      <c r="G15" s="10" t="n">
        <f aca="false">E15+F15</f>
        <v>1219000</v>
      </c>
      <c r="H15" s="10" t="n">
        <f aca="false">IF(9&gt;'1. The Building'!$B$14,0,IF(9&gt;'1. The Building'!$B$13,'1. The Building'!$B$7*(1-'1. The Building'!$B$12),'1. The Building'!$B$7))*(1-'1. The Building'!$B$8)</f>
        <v>0</v>
      </c>
      <c r="I15" s="10" t="n">
        <v>0</v>
      </c>
      <c r="J15" s="10" t="n">
        <f aca="false">H15+I15</f>
        <v>0</v>
      </c>
    </row>
    <row r="16" customFormat="false" ht="15" hidden="false" customHeight="false" outlineLevel="0" collapsed="false">
      <c r="A16" s="16" t="n">
        <v>10</v>
      </c>
      <c r="B16" s="10" t="n">
        <f aca="false">IF(10&lt;='1. The Building'!$B$13,'1. The Building'!$B$7,IF(10='1. The Building'!$B$13+1,'1. The Building'!$B$7*(1-'1. The Building'!$B$12),'1. The Building'!$B$7*(1-'1. The Building'!$B$12)+'1. The Building'!$B$7*'1. The Building'!$B$12*(1+'2. The Three Routes'!$C$7)))*(1-'1. The Building'!$B$8)</f>
        <v>1219000</v>
      </c>
      <c r="C16" s="10" t="n">
        <f aca="false">IF(10='1. The Building'!$B$13+1,-'2. The Three Routes'!$C$5,0)</f>
        <v>0</v>
      </c>
      <c r="D16" s="10" t="n">
        <f aca="false">B16+C16</f>
        <v>1219000</v>
      </c>
      <c r="E16" s="10" t="n">
        <f aca="false">IF(10&lt;='1. The Building'!$B$13,'1. The Building'!$B$7,IF(10='1. The Building'!$B$13+1,'1. The Building'!$B$7*(1-'1. The Building'!$B$12),IF(10='1. The Building'!$B$18+1,'1. The Building'!$B$7*(1-'1. The Building'!$B$12)*(1-'1. The Building'!$B$20),'1. The Building'!$B$7*(1-'1. The Building'!$B$12)+'1. The Building'!$B$7*'1. The Building'!$B$12*(1+'2. The Three Routes'!$C$7))))*(1-'1. The Building'!$B$8)</f>
        <v>1219000</v>
      </c>
      <c r="F16" s="10" t="n">
        <f aca="false">IF(10='1. The Building'!$B$18+1,-'2. The Three Routes'!$C$5*(1+'1. The Building'!$B$19),0)</f>
        <v>0</v>
      </c>
      <c r="G16" s="10" t="n">
        <f aca="false">E16+F16</f>
        <v>1219000</v>
      </c>
      <c r="H16" s="10" t="n">
        <f aca="false">IF(10&gt;'1. The Building'!$B$14,0,IF(10&gt;'1. The Building'!$B$13,'1. The Building'!$B$7*(1-'1. The Building'!$B$12),'1. The Building'!$B$7))*(1-'1. The Building'!$B$8)</f>
        <v>0</v>
      </c>
      <c r="I16" s="10" t="n">
        <v>0</v>
      </c>
      <c r="J16" s="10" t="n">
        <f aca="false">H16+I16</f>
        <v>0</v>
      </c>
    </row>
    <row r="17" customFormat="false" ht="15" hidden="false" customHeight="false" outlineLevel="0" collapsed="false">
      <c r="A17" s="17" t="s">
        <v>87</v>
      </c>
      <c r="B17" s="10"/>
      <c r="D17" s="18" t="n">
        <f aca="false">IFERROR(B16/'1. The Building'!B26-'2. The Three Routes'!C16,"")</f>
        <v>19504000</v>
      </c>
      <c r="G17" s="18" t="n">
        <f aca="false">IFERROR(E16/'1. The Building'!B26-'2. The Three Routes'!C16,"")</f>
        <v>19504000</v>
      </c>
      <c r="J17" s="18" t="n">
        <f aca="false">IFERROR('1. The Building'!B7*(1+'2. The Three Routes'!C7)*(1-'1. The Building'!B8)/'1. The Building'!B27*(1-'1. The Building'!B28)-'2. The Three Routes'!C5*(1+'1. The Building'!B19),"")</f>
        <v>11186451.6129032</v>
      </c>
    </row>
    <row r="18" customFormat="false" ht="15" hidden="false" customHeight="false" outlineLevel="0" collapsed="false">
      <c r="A18" s="17" t="s">
        <v>88</v>
      </c>
      <c r="D18" s="18" t="n">
        <f aca="false">D16+D17</f>
        <v>20723000</v>
      </c>
      <c r="G18" s="18" t="n">
        <f aca="false">G16+G17</f>
        <v>20723000</v>
      </c>
      <c r="J18" s="18" t="n">
        <f aca="false">J16+J17</f>
        <v>11186451.6129032</v>
      </c>
    </row>
    <row r="20" customFormat="false" ht="15" hidden="false" customHeight="false" outlineLevel="0" collapsed="false">
      <c r="A20" s="17" t="s">
        <v>89</v>
      </c>
    </row>
    <row r="21" customFormat="false" ht="18" hidden="false" customHeight="true" outlineLevel="0" collapsed="false">
      <c r="A21" s="13"/>
      <c r="B21" s="13" t="s">
        <v>90</v>
      </c>
      <c r="C21" s="13"/>
      <c r="D21" s="13" t="s">
        <v>91</v>
      </c>
      <c r="E21" s="13"/>
      <c r="F21" s="13" t="s">
        <v>92</v>
      </c>
    </row>
    <row r="22" customFormat="false" ht="15" hidden="false" customHeight="false" outlineLevel="0" collapsed="false">
      <c r="A22" s="17" t="s">
        <v>74</v>
      </c>
      <c r="B22" s="19" t="n">
        <f aca="false">IFERROR(NPV('1. The Building'!B25,D7:D15)+D18/(1+'1. The Building'!B25)^10,"")</f>
        <v>14686599.4894961</v>
      </c>
      <c r="D22" s="19" t="n">
        <f aca="false">IFERROR(NPV('1. The Building'!B25,G7:G15)+G18/(1+'1. The Building'!B25)^10,"")</f>
        <v>13384731.4056338</v>
      </c>
      <c r="F22" s="19" t="n">
        <f aca="false">IFERROR(NPV('1. The Building'!B25,J7:J15)+J18/(1+'1. The Building'!B25)^10,"")</f>
        <v>9916320.7975177</v>
      </c>
    </row>
    <row r="24" customFormat="false" ht="15" hidden="false" customHeight="false" outlineLevel="0" collapsed="false">
      <c r="A24" s="2" t="s">
        <v>93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4" min="2" style="0" width="17"/>
    <col collapsed="false" customWidth="true" hidden="false" outlineLevel="0" max="5" min="5" style="0" width="48"/>
  </cols>
  <sheetData>
    <row r="1" customFormat="false" ht="17.35" hidden="false" customHeight="false" outlineLevel="0" collapsed="false">
      <c r="A1" s="6" t="s">
        <v>94</v>
      </c>
    </row>
    <row r="3" customFormat="false" ht="15" hidden="false" customHeight="false" outlineLevel="0" collapsed="false">
      <c r="A3" s="4" t="s">
        <v>95</v>
      </c>
    </row>
    <row r="4" customFormat="false" ht="15" hidden="false" customHeight="false" outlineLevel="0" collapsed="false">
      <c r="A4" s="2" t="s">
        <v>96</v>
      </c>
    </row>
    <row r="5" customFormat="false" ht="30" hidden="false" customHeight="true" outlineLevel="0" collapsed="false">
      <c r="A5" s="13"/>
      <c r="B5" s="13" t="s">
        <v>97</v>
      </c>
      <c r="C5" s="13" t="s">
        <v>98</v>
      </c>
      <c r="D5" s="13"/>
      <c r="E5" s="13" t="s">
        <v>99</v>
      </c>
    </row>
    <row r="6" customFormat="false" ht="15" hidden="false" customHeight="false" outlineLevel="0" collapsed="false">
      <c r="A6" s="7" t="s">
        <v>100</v>
      </c>
      <c r="B6" s="10" t="n">
        <f aca="false">'3. Timing'!B22</f>
        <v>14686599.4894961</v>
      </c>
    </row>
    <row r="7" customFormat="false" ht="15" hidden="false" customHeight="false" outlineLevel="0" collapsed="false">
      <c r="A7" s="7" t="s">
        <v>101</v>
      </c>
      <c r="B7" s="10" t="n">
        <f aca="false">'3. Timing'!D22</f>
        <v>13384731.4056338</v>
      </c>
    </row>
    <row r="8" customFormat="false" ht="15" hidden="false" customHeight="false" outlineLevel="0" collapsed="false">
      <c r="A8" s="17" t="s">
        <v>95</v>
      </c>
      <c r="B8" s="19" t="n">
        <f aca="false">IFERROR(B6-B7,"")</f>
        <v>1301868.08386237</v>
      </c>
    </row>
    <row r="10" customFormat="false" ht="15" hidden="false" customHeight="false" outlineLevel="0" collapsed="false">
      <c r="A10" s="17" t="s">
        <v>102</v>
      </c>
    </row>
    <row r="11" customFormat="false" ht="15" hidden="false" customHeight="false" outlineLevel="0" collapsed="false">
      <c r="A11" s="7" t="s">
        <v>103</v>
      </c>
      <c r="B11" s="10" t="n">
        <f aca="false">IFERROR('2. The Three Routes'!C5*(1+'1. The Building'!B19)/(1+'1. The Building'!B25)^('1. The Building'!B18+1)-'2. The Three Routes'!C5/(1+'1. The Building'!B25)^('1. The Building'!B13+1),"")</f>
        <v>612971.596468103</v>
      </c>
      <c r="C11" s="15" t="n">
        <f aca="false">IFERROR(B11/$B$8,"")</f>
        <v>0.470840021401819</v>
      </c>
      <c r="E11" s="14" t="s">
        <v>104</v>
      </c>
    </row>
    <row r="12" customFormat="false" ht="15" hidden="false" customHeight="false" outlineLevel="0" collapsed="false">
      <c r="A12" s="7" t="s">
        <v>105</v>
      </c>
      <c r="B12" s="10" t="n">
        <f aca="false">IFERROR(B8-B11,"")</f>
        <v>688896.487394265</v>
      </c>
      <c r="C12" s="15" t="n">
        <f aca="false">IFERROR(B12/$B$8,"")</f>
        <v>0.529159978598181</v>
      </c>
      <c r="E12" s="14" t="s">
        <v>106</v>
      </c>
    </row>
    <row r="13" customFormat="false" ht="15" hidden="false" customHeight="false" outlineLevel="0" collapsed="false">
      <c r="A13" s="17" t="s">
        <v>107</v>
      </c>
      <c r="B13" s="18" t="n">
        <f aca="false">B11+B12</f>
        <v>1301868.08386237</v>
      </c>
      <c r="C13" s="15" t="n">
        <f aca="false">IFERROR(B13/B8,"")</f>
        <v>1</v>
      </c>
      <c r="E13" s="14" t="str">
        <f aca="false">IF(B13="","",IF(ABS(B13-B8)&lt;1,"ties to the value of the void","CHECK"))</f>
        <v>ties to the value of the void</v>
      </c>
    </row>
    <row r="15" customFormat="false" ht="48" hidden="false" customHeight="true" outlineLevel="0" collapsed="false">
      <c r="A15" s="20" t="s">
        <v>108</v>
      </c>
      <c r="B15" s="20"/>
      <c r="C15" s="20"/>
      <c r="D15" s="20"/>
      <c r="E15" s="20"/>
    </row>
    <row r="17" customFormat="false" ht="15" hidden="false" customHeight="false" outlineLevel="0" collapsed="false">
      <c r="A17" s="4" t="s">
        <v>109</v>
      </c>
    </row>
    <row r="18" customFormat="false" ht="15" hidden="false" customHeight="false" outlineLevel="0" collapsed="false">
      <c r="A18" s="2" t="s">
        <v>110</v>
      </c>
    </row>
    <row r="19" customFormat="false" ht="30" hidden="false" customHeight="true" outlineLevel="0" collapsed="false">
      <c r="A19" s="13"/>
      <c r="B19" s="13" t="s">
        <v>97</v>
      </c>
      <c r="C19" s="13" t="s">
        <v>98</v>
      </c>
      <c r="D19" s="13"/>
      <c r="E19" s="13" t="s">
        <v>99</v>
      </c>
    </row>
    <row r="20" customFormat="false" ht="15" hidden="false" customHeight="false" outlineLevel="0" collapsed="false">
      <c r="A20" s="7" t="s">
        <v>111</v>
      </c>
      <c r="B20" s="10" t="n">
        <f aca="false">'3. Timing'!B22</f>
        <v>14686599.4894961</v>
      </c>
    </row>
    <row r="21" customFormat="false" ht="15" hidden="false" customHeight="false" outlineLevel="0" collapsed="false">
      <c r="A21" s="7" t="s">
        <v>112</v>
      </c>
      <c r="B21" s="10" t="n">
        <f aca="false">'3. Timing'!F22</f>
        <v>9916320.7975177</v>
      </c>
    </row>
    <row r="22" customFormat="false" ht="15" hidden="false" customHeight="false" outlineLevel="0" collapsed="false">
      <c r="A22" s="17" t="s">
        <v>109</v>
      </c>
      <c r="B22" s="19" t="n">
        <f aca="false">IFERROR(B20-B21,"")</f>
        <v>4770278.69197844</v>
      </c>
    </row>
    <row r="23" customFormat="false" ht="15" hidden="false" customHeight="false" outlineLevel="0" collapsed="false">
      <c r="A23" s="17" t="s">
        <v>113</v>
      </c>
      <c r="B23" s="21" t="n">
        <f aca="false">IFERROR(B22/'2. The Three Routes'!C5,"")</f>
        <v>1.49071209124326</v>
      </c>
      <c r="E23" s="14" t="s">
        <v>114</v>
      </c>
    </row>
    <row r="25" customFormat="false" ht="15" hidden="false" customHeight="false" outlineLevel="0" collapsed="false">
      <c r="A25" s="17" t="s">
        <v>102</v>
      </c>
    </row>
    <row r="26" customFormat="false" ht="15" hidden="false" customHeight="false" outlineLevel="0" collapsed="false">
      <c r="A26" s="7" t="s">
        <v>115</v>
      </c>
      <c r="B26" s="10" t="n">
        <f aca="false">IFERROR(NPV('1. The Building'!B25,'3. Timing'!B7:B16)-NPV('1. The Building'!B25,'3. Timing'!H7:H16),"")</f>
        <v>3130816.41148984</v>
      </c>
      <c r="C26" s="15" t="n">
        <f aca="false">IFERROR(B26/$B$22,"")</f>
        <v>0.656317295833163</v>
      </c>
      <c r="E26" s="14" t="s">
        <v>116</v>
      </c>
    </row>
    <row r="27" customFormat="false" ht="15" hidden="false" customHeight="false" outlineLevel="0" collapsed="false">
      <c r="A27" s="7" t="s">
        <v>117</v>
      </c>
      <c r="B27" s="10" t="n">
        <f aca="false">IFERROR(('3. Timing'!D17-'3. Timing'!J17)/(1+'1. The Building'!B25)^'1. The Building'!B29,"")</f>
        <v>4035623.97577299</v>
      </c>
      <c r="C27" s="15" t="n">
        <f aca="false">IFERROR(B27/$B$22,"")</f>
        <v>0.845993334217387</v>
      </c>
      <c r="E27" s="14" t="s">
        <v>118</v>
      </c>
    </row>
    <row r="28" customFormat="false" ht="15" hidden="false" customHeight="false" outlineLevel="0" collapsed="false">
      <c r="A28" s="7" t="s">
        <v>119</v>
      </c>
      <c r="B28" s="10" t="n">
        <f aca="false">IFERROR(-'2. The Three Routes'!C5/(1+'1. The Building'!B25)^('1. The Building'!B13+1),"")</f>
        <v>-2396161.6952844</v>
      </c>
      <c r="C28" s="15" t="n">
        <f aca="false">IFERROR(B28/$B$22,"")</f>
        <v>-0.502310630050549</v>
      </c>
      <c r="E28" s="14" t="s">
        <v>120</v>
      </c>
    </row>
    <row r="29" customFormat="false" ht="15" hidden="false" customHeight="false" outlineLevel="0" collapsed="false">
      <c r="A29" s="17" t="s">
        <v>107</v>
      </c>
      <c r="B29" s="18" t="n">
        <f aca="false">SUM(B26:B28)</f>
        <v>4770278.69197844</v>
      </c>
      <c r="C29" s="15" t="n">
        <f aca="false">IFERROR(B29/B22,"")</f>
        <v>1</v>
      </c>
      <c r="E29" s="14" t="str">
        <f aca="false">IF(B29="","",IF(ABS(B29-B22)&lt;1,"ties to the cost of doing nothing","CHECK"))</f>
        <v>ties to the cost of doing nothing</v>
      </c>
    </row>
    <row r="31" customFormat="false" ht="48" hidden="false" customHeight="true" outlineLevel="0" collapsed="false">
      <c r="A31" s="20" t="s">
        <v>121</v>
      </c>
      <c r="B31" s="20"/>
      <c r="C31" s="20"/>
      <c r="D31" s="20"/>
      <c r="E31" s="20"/>
    </row>
  </sheetData>
  <mergeCells count="2">
    <mergeCell ref="A15:E15"/>
    <mergeCell ref="A31:E3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4" min="2" style="0" width="17"/>
    <col collapsed="false" customWidth="true" hidden="false" outlineLevel="0" max="5" min="5" style="0" width="46"/>
  </cols>
  <sheetData>
    <row r="1" customFormat="false" ht="17.35" hidden="false" customHeight="false" outlineLevel="0" collapsed="false">
      <c r="A1" s="6" t="s">
        <v>122</v>
      </c>
    </row>
    <row r="2" customFormat="false" ht="15" hidden="false" customHeight="false" outlineLevel="0" collapsed="false">
      <c r="A2" s="2" t="s">
        <v>123</v>
      </c>
    </row>
    <row r="4" customFormat="false" ht="30" hidden="false" customHeight="true" outlineLevel="0" collapsed="false">
      <c r="A4" s="13"/>
      <c r="B4" s="13" t="s">
        <v>97</v>
      </c>
      <c r="C4" s="13"/>
      <c r="D4" s="13"/>
      <c r="E4" s="13" t="s">
        <v>99</v>
      </c>
    </row>
    <row r="5" customFormat="false" ht="15" hidden="false" customHeight="false" outlineLevel="0" collapsed="false">
      <c r="A5" s="7" t="s">
        <v>124</v>
      </c>
      <c r="B5" s="10" t="n">
        <f aca="false">'3. Timing'!D17</f>
        <v>19504000</v>
      </c>
    </row>
    <row r="6" customFormat="false" ht="15" hidden="false" customHeight="false" outlineLevel="0" collapsed="false">
      <c r="A6" s="7" t="s">
        <v>125</v>
      </c>
      <c r="B6" s="10" t="n">
        <f aca="false">'3. Timing'!J17</f>
        <v>11186451.6129032</v>
      </c>
    </row>
    <row r="7" customFormat="false" ht="15" hidden="false" customHeight="false" outlineLevel="0" collapsed="false">
      <c r="A7" s="17" t="s">
        <v>126</v>
      </c>
      <c r="B7" s="19" t="n">
        <f aca="false">IFERROR(B5-B6,"")</f>
        <v>8317548.38709678</v>
      </c>
    </row>
    <row r="8" customFormat="false" ht="15" hidden="false" customHeight="false" outlineLevel="0" collapsed="false">
      <c r="A8" s="7" t="s">
        <v>127</v>
      </c>
      <c r="B8" s="10" t="n">
        <f aca="false">'2. The Three Routes'!C5</f>
        <v>3200000</v>
      </c>
    </row>
    <row r="9" customFormat="false" ht="15" hidden="false" customHeight="false" outlineLevel="0" collapsed="false">
      <c r="A9" s="17" t="s">
        <v>128</v>
      </c>
      <c r="B9" s="21" t="n">
        <f aca="false">IFERROR(B7/B8,"")</f>
        <v>2.59923387096774</v>
      </c>
      <c r="E9" s="14" t="str">
        <f aca="false">IF(B9="","",IF(B9&gt;1,"The chapter's claim holds","The chapter's claim fails at these inputs"))</f>
        <v>The chapter's claim holds</v>
      </c>
    </row>
    <row r="11" customFormat="false" ht="15" hidden="false" customHeight="false" outlineLevel="0" collapsed="false">
      <c r="A11" s="17" t="s">
        <v>129</v>
      </c>
    </row>
    <row r="12" customFormat="false" ht="30" hidden="false" customHeight="true" outlineLevel="0" collapsed="false">
      <c r="A12" s="13" t="s">
        <v>130</v>
      </c>
      <c r="B12" s="13" t="s">
        <v>97</v>
      </c>
      <c r="C12" s="13" t="s">
        <v>131</v>
      </c>
      <c r="D12" s="13"/>
      <c r="E12" s="13" t="s">
        <v>132</v>
      </c>
    </row>
    <row r="13" customFormat="false" ht="15" hidden="false" customHeight="false" outlineLevel="0" collapsed="false">
      <c r="A13" s="14" t="s">
        <v>133</v>
      </c>
      <c r="B13" s="10" t="n">
        <f aca="false">IFERROR('3. Timing'!B16/'1. The Building'!B26-'3. Timing'!B16/'1. The Building'!B27,"")</f>
        <v>3774967.74193548</v>
      </c>
      <c r="C13" s="15" t="n">
        <f aca="false">IFERROR(B13/$B$7,"")</f>
        <v>0.453855819798017</v>
      </c>
      <c r="E13" s="14" t="s">
        <v>134</v>
      </c>
    </row>
    <row r="14" customFormat="false" ht="15" hidden="false" customHeight="false" outlineLevel="0" collapsed="false">
      <c r="A14" s="14" t="s">
        <v>135</v>
      </c>
      <c r="B14" s="10" t="n">
        <f aca="false">IFERROR(('3. Timing'!B16-'1. The Building'!B7*(1+'2. The Three Routes'!C7)*(1-'1. The Building'!B8))/'1. The Building'!B27,"")</f>
        <v>-593548.387096774</v>
      </c>
      <c r="C14" s="15" t="n">
        <f aca="false">IFERROR(B14/$B$7,"")</f>
        <v>-0.0713609779556631</v>
      </c>
      <c r="E14" s="14" t="s">
        <v>136</v>
      </c>
    </row>
    <row r="15" customFormat="false" ht="15" hidden="false" customHeight="false" outlineLevel="0" collapsed="false">
      <c r="A15" s="14" t="s">
        <v>137</v>
      </c>
      <c r="B15" s="10" t="n">
        <f aca="false">IFERROR('2. The Three Routes'!C5*(1+'1. The Building'!B19),"")</f>
        <v>4320000</v>
      </c>
      <c r="C15" s="15" t="n">
        <f aca="false">IFERROR(B15/$B$7,"")</f>
        <v>0.519383813468609</v>
      </c>
      <c r="E15" s="14" t="s">
        <v>138</v>
      </c>
    </row>
    <row r="16" customFormat="false" ht="15" hidden="false" customHeight="false" outlineLevel="0" collapsed="false">
      <c r="A16" s="22" t="s">
        <v>139</v>
      </c>
      <c r="B16" s="10" t="n">
        <f aca="false">IFERROR('1. The Building'!B7*(1+'2. The Three Routes'!C7)*(1-'1. The Building'!B8)/'1. The Building'!B27*'1. The Building'!B28,"")</f>
        <v>816129.032258065</v>
      </c>
      <c r="C16" s="23" t="n">
        <f aca="false">IFERROR(B16/$B$7,"")</f>
        <v>0.0981213446890368</v>
      </c>
      <c r="E16" s="14" t="s">
        <v>140</v>
      </c>
    </row>
    <row r="17" customFormat="false" ht="15" hidden="false" customHeight="false" outlineLevel="0" collapsed="false">
      <c r="A17" s="17" t="s">
        <v>141</v>
      </c>
      <c r="B17" s="18" t="n">
        <f aca="false">SUM(B13:B16)</f>
        <v>8317548.38709678</v>
      </c>
      <c r="C17" s="23" t="n">
        <f aca="false">IFERROR(B17/B7,"")</f>
        <v>1</v>
      </c>
      <c r="E17" s="14" t="str">
        <f aca="false">IF(B17="","",IF(ABS(B17-B7)&lt;1,"ties to the discount","CHECK"))</f>
        <v>ties to the discount</v>
      </c>
    </row>
    <row r="18" customFormat="false" ht="51.75" hidden="false" customHeight="true" outlineLevel="0" collapsed="false">
      <c r="A18" s="20" t="s">
        <v>142</v>
      </c>
      <c r="B18" s="20"/>
      <c r="C18" s="20"/>
      <c r="D18" s="20"/>
      <c r="E18" s="20"/>
    </row>
  </sheetData>
  <mergeCells count="1">
    <mergeCell ref="A18:E1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8" min="2" style="0" width="15"/>
  </cols>
  <sheetData>
    <row r="1" customFormat="false" ht="17.35" hidden="false" customHeight="false" outlineLevel="0" collapsed="false">
      <c r="A1" s="6" t="s">
        <v>143</v>
      </c>
    </row>
    <row r="2" customFormat="false" ht="15" hidden="false" customHeight="false" outlineLevel="0" collapsed="false">
      <c r="A2" s="2" t="s">
        <v>144</v>
      </c>
    </row>
    <row r="4" customFormat="false" ht="15" hidden="false" customHeight="false" outlineLevel="0" collapsed="false">
      <c r="A4" s="4" t="s">
        <v>145</v>
      </c>
    </row>
    <row r="5" customFormat="false" ht="30" hidden="false" customHeight="true" outlineLevel="0" collapsed="false">
      <c r="A5" s="13" t="s">
        <v>146</v>
      </c>
      <c r="B5" s="13" t="s">
        <v>147</v>
      </c>
      <c r="C5" s="13" t="s">
        <v>148</v>
      </c>
      <c r="D5" s="13"/>
      <c r="E5" s="13" t="s">
        <v>149</v>
      </c>
    </row>
    <row r="6" customFormat="false" ht="15" hidden="false" customHeight="false" outlineLevel="0" collapsed="false">
      <c r="A6" s="11" t="n">
        <v>0.065</v>
      </c>
      <c r="B6" s="10" t="n">
        <f aca="false">IFERROR('3. Timing'!B22-(NPV('1. The Building'!B25,'3. Timing'!J7:J15)+('3. Timing'!J16+'1. The Building'!B7*(1+'2. The Three Routes'!C7)*(1-'1. The Building'!B8)/A6*(1-'1. The Building'!B28)-'2. The Three Routes'!C5*(1+'1. The Building'!B19))/(1+'1. The Building'!B25)^10),"")</f>
        <v>3323425.58196284</v>
      </c>
      <c r="C6" s="24" t="n">
        <f aca="false">IFERROR(B6/'2. The Three Routes'!C5,"")</f>
        <v>1.03857049436339</v>
      </c>
      <c r="E6" s="14" t="str">
        <f aca="false">IF(B6="","",IF(C6&gt;1,"the work still pays for itself","the work no longer pays for itself"))</f>
        <v>the work still pays for itself</v>
      </c>
    </row>
    <row r="7" customFormat="false" ht="15" hidden="false" customHeight="false" outlineLevel="0" collapsed="false">
      <c r="A7" s="11" t="n">
        <v>0.07</v>
      </c>
      <c r="B7" s="10" t="n">
        <f aca="false">IFERROR('3. Timing'!B22-(NPV('1. The Building'!B25,'3. Timing'!J7:J15)+('3. Timing'!J16+'1. The Building'!B7*(1+'2. The Three Routes'!C7)*(1-'1. The Building'!B8)/A7*(1-'1. The Building'!B28)-'2. The Three Routes'!C5*(1+'1. The Building'!B19))/(1+'1. The Building'!B25)^10),"")</f>
        <v>3964174.81639832</v>
      </c>
      <c r="C7" s="24" t="n">
        <f aca="false">IFERROR(B7/'2. The Three Routes'!C5,"")</f>
        <v>1.23880463012448</v>
      </c>
      <c r="E7" s="14" t="str">
        <f aca="false">IF(B7="","",IF(C7&gt;1,"the work still pays for itself","the work no longer pays for itself"))</f>
        <v>the work still pays for itself</v>
      </c>
    </row>
    <row r="8" customFormat="false" ht="15" hidden="false" customHeight="false" outlineLevel="0" collapsed="false">
      <c r="A8" s="11" t="n">
        <v>0.0775</v>
      </c>
      <c r="B8" s="10" t="n">
        <f aca="false">IFERROR('3. Timing'!B22-(NPV('1. The Building'!B25,'3. Timing'!J7:J15)+('3. Timing'!J16+'1. The Building'!B7*(1+'2. The Three Routes'!C7)*(1-'1. The Building'!B8)/A8*(1-'1. The Building'!B28)-'2. The Three Routes'!C5*(1+'1. The Building'!B19))/(1+'1. The Building'!B25)^10),"")</f>
        <v>4770278.69197844</v>
      </c>
      <c r="C8" s="24" t="n">
        <f aca="false">IFERROR(B8/'2. The Three Routes'!C5,"")</f>
        <v>1.49071209124326</v>
      </c>
      <c r="E8" s="14" t="str">
        <f aca="false">IF(B8="","",IF(C8&gt;1,"the work still pays for itself","the work no longer pays for itself"))</f>
        <v>the work still pays for itself</v>
      </c>
    </row>
    <row r="9" customFormat="false" ht="15" hidden="false" customHeight="false" outlineLevel="0" collapsed="false">
      <c r="A9" s="11" t="n">
        <v>0.085</v>
      </c>
      <c r="B9" s="10" t="n">
        <f aca="false">IFERROR('3. Timing'!B22-(NPV('1. The Building'!B25,'3. Timing'!J7:J15)+('3. Timing'!J16+'1. The Building'!B7*(1+'2. The Three Routes'!C7)*(1-'1. The Building'!B8)/A9*(1-'1. The Building'!B28)-'2. The Three Routes'!C5*(1+'1. The Building'!B19))/(1+'1. The Building'!B25)^10),"")</f>
        <v>5434128.94245618</v>
      </c>
      <c r="C9" s="24" t="n">
        <f aca="false">IFERROR(B9/'2. The Three Routes'!C5,"")</f>
        <v>1.69816529451756</v>
      </c>
      <c r="E9" s="14" t="str">
        <f aca="false">IF(B9="","",IF(C9&gt;1,"the work still pays for itself","the work no longer pays for itself"))</f>
        <v>the work still pays for itself</v>
      </c>
    </row>
    <row r="10" customFormat="false" ht="15" hidden="false" customHeight="false" outlineLevel="0" collapsed="false">
      <c r="A10" s="11" t="n">
        <v>0.0925</v>
      </c>
      <c r="B10" s="10" t="n">
        <f aca="false">IFERROR('3. Timing'!B22-(NPV('1. The Building'!B25,'3. Timing'!J7:J15)+('3. Timing'!J16+'1. The Building'!B7*(1+'2. The Three Routes'!C7)*(1-'1. The Building'!B8)/A10*(1-'1. The Building'!B28)-'2. The Three Routes'!C5*(1+'1. The Building'!B19))/(1+'1. The Building'!B25)^10),"")</f>
        <v>5990327.80096456</v>
      </c>
      <c r="C10" s="24" t="n">
        <f aca="false">IFERROR(B10/'2. The Three Routes'!C5,"")</f>
        <v>1.87197743780143</v>
      </c>
      <c r="E10" s="14" t="str">
        <f aca="false">IF(B10="","",IF(C10&gt;1,"the work still pays for itself","the work no longer pays for itself"))</f>
        <v>the work still pays for itself</v>
      </c>
    </row>
    <row r="12" customFormat="false" ht="15" hidden="false" customHeight="false" outlineLevel="0" collapsed="false">
      <c r="A12" s="4" t="s">
        <v>150</v>
      </c>
    </row>
    <row r="13" customFormat="false" ht="30" hidden="false" customHeight="true" outlineLevel="0" collapsed="false">
      <c r="A13" s="13" t="s">
        <v>151</v>
      </c>
      <c r="B13" s="13" t="s">
        <v>152</v>
      </c>
      <c r="C13" s="13" t="s">
        <v>153</v>
      </c>
      <c r="D13" s="13"/>
      <c r="E13" s="13" t="s">
        <v>149</v>
      </c>
    </row>
    <row r="14" customFormat="false" ht="15" hidden="false" customHeight="false" outlineLevel="0" collapsed="false">
      <c r="A14" s="11" t="n">
        <v>0.15</v>
      </c>
      <c r="B14" s="10" t="n">
        <f aca="false">IFERROR('4. The Two Numbers'!B12+'2. The Three Routes'!C5*(1+A14)/(1+'1. The Building'!B25)^('1. The Building'!B18+1)-'2. The Three Routes'!C5/(1+'1. The Building'!B25)^('1. The Building'!B13+1),"")</f>
        <v>856070.559158293</v>
      </c>
      <c r="C14" s="15" t="n">
        <f aca="false">IFERROR('4. The Two Numbers'!B12/B14,"")</f>
        <v>0.804719283970708</v>
      </c>
      <c r="E14" s="14" t="str">
        <f aca="false">IF(B14="","",IF(C14&gt;0.5,"still mostly income","now mostly the contract price"))</f>
        <v>still mostly income</v>
      </c>
    </row>
    <row r="15" customFormat="false" ht="15" hidden="false" customHeight="false" outlineLevel="0" collapsed="false">
      <c r="A15" s="11" t="n">
        <v>0.25</v>
      </c>
      <c r="B15" s="10" t="n">
        <f aca="false">IFERROR('4. The Two Numbers'!B12+'2. The Three Routes'!C5*(1+A15)/(1+'1. The Building'!B25)^('1. The Building'!B18+1)-'2. The Three Routes'!C5/(1+'1. The Building'!B25)^('1. The Building'!B13+1),"")</f>
        <v>1078969.32151033</v>
      </c>
      <c r="C15" s="15" t="n">
        <f aca="false">IFERROR('4. The Two Numbers'!B12/B15,"")</f>
        <v>0.638476436410587</v>
      </c>
      <c r="E15" s="14" t="str">
        <f aca="false">IF(B15="","",IF(C15&gt;0.5,"still mostly income","now mostly the contract price"))</f>
        <v>still mostly income</v>
      </c>
    </row>
    <row r="16" customFormat="false" ht="15" hidden="false" customHeight="false" outlineLevel="0" collapsed="false">
      <c r="A16" s="11" t="n">
        <v>0.35</v>
      </c>
      <c r="B16" s="10" t="n">
        <f aca="false">IFERROR('4. The Two Numbers'!B12+'2. The Three Routes'!C5*(1+A16)/(1+'1. The Building'!B25)^('1. The Building'!B18+1)-'2. The Three Routes'!C5/(1+'1. The Building'!B25)^('1. The Building'!B13+1),"")</f>
        <v>1301868.08386237</v>
      </c>
      <c r="C16" s="15" t="n">
        <f aca="false">IFERROR('4. The Two Numbers'!B12/B16,"")</f>
        <v>0.529159978598181</v>
      </c>
      <c r="E16" s="14" t="str">
        <f aca="false">IF(B16="","",IF(C16&gt;0.5,"still mostly income","now mostly the contract price"))</f>
        <v>still mostly income</v>
      </c>
    </row>
    <row r="17" customFormat="false" ht="15" hidden="false" customHeight="false" outlineLevel="0" collapsed="false">
      <c r="A17" s="11" t="n">
        <v>0.45</v>
      </c>
      <c r="B17" s="10" t="n">
        <f aca="false">IFERROR('4. The Two Numbers'!B12+'2. The Three Routes'!C5*(1+A17)/(1+'1. The Building'!B25)^('1. The Building'!B18+1)-'2. The Three Routes'!C5/(1+'1. The Building'!B25)^('1. The Building'!B13+1),"")</f>
        <v>1524766.84621441</v>
      </c>
      <c r="C17" s="15" t="n">
        <f aca="false">IFERROR('4. The Two Numbers'!B12/B17,"")</f>
        <v>0.451804476930105</v>
      </c>
      <c r="E17" s="14" t="str">
        <f aca="false">IF(B17="","",IF(C17&gt;0.5,"still mostly income","now mostly the contract price"))</f>
        <v>now mostly the contract price</v>
      </c>
    </row>
    <row r="18" customFormat="false" ht="15" hidden="false" customHeight="false" outlineLevel="0" collapsed="false">
      <c r="A18" s="11" t="n">
        <v>0.55</v>
      </c>
      <c r="B18" s="10" t="n">
        <f aca="false">IFERROR('4. The Two Numbers'!B12+'2. The Three Routes'!C5*(1+A18)/(1+'1. The Building'!B25)^('1. The Building'!B18+1)-'2. The Three Routes'!C5/(1+'1. The Building'!B25)^('1. The Building'!B13+1),"")</f>
        <v>1747665.60856644</v>
      </c>
      <c r="C18" s="15" t="n">
        <f aca="false">IFERROR('4. The Two Numbers'!B12/B18,"")</f>
        <v>0.394180948585094</v>
      </c>
      <c r="E18" s="14" t="str">
        <f aca="false">IF(B18="","",IF(C18&gt;0.5,"still mostly income","now mostly the contract price"))</f>
        <v>now mostly the contract price</v>
      </c>
    </row>
    <row r="20" customFormat="false" ht="48" hidden="false" customHeight="true" outlineLevel="0" collapsed="false">
      <c r="A20" s="20" t="s">
        <v>154</v>
      </c>
      <c r="B20" s="20"/>
      <c r="C20" s="20"/>
      <c r="D20" s="20"/>
      <c r="E20" s="20"/>
      <c r="F20" s="20"/>
    </row>
  </sheetData>
  <mergeCells count="1">
    <mergeCell ref="A20:F2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4"/>
    <col collapsed="false" customWidth="true" hidden="false" outlineLevel="0" max="4" min="2" style="0" width="17"/>
    <col collapsed="false" customWidth="true" hidden="false" outlineLevel="0" max="5" min="5" style="0" width="26"/>
  </cols>
  <sheetData>
    <row r="1" customFormat="false" ht="17.35" hidden="false" customHeight="false" outlineLevel="0" collapsed="false">
      <c r="A1" s="6" t="s">
        <v>155</v>
      </c>
    </row>
    <row r="2" customFormat="false" ht="15" hidden="false" customHeight="false" outlineLevel="0" collapsed="false">
      <c r="A2" s="2" t="s">
        <v>156</v>
      </c>
    </row>
    <row r="4" customFormat="false" ht="30" hidden="false" customHeight="true" outlineLevel="0" collapsed="false">
      <c r="A4" s="13" t="s">
        <v>157</v>
      </c>
      <c r="B4" s="13" t="s">
        <v>158</v>
      </c>
      <c r="C4" s="13" t="s">
        <v>159</v>
      </c>
      <c r="D4" s="13" t="s">
        <v>160</v>
      </c>
      <c r="E4" s="13" t="s">
        <v>132</v>
      </c>
    </row>
    <row r="5" customFormat="false" ht="15" hidden="false" customHeight="false" outlineLevel="0" collapsed="false">
      <c r="A5" s="14" t="s">
        <v>161</v>
      </c>
      <c r="B5" s="10" t="n">
        <v>1250000</v>
      </c>
      <c r="C5" s="10" t="n">
        <f aca="false">'1. The Building'!B7</f>
        <v>1250000</v>
      </c>
      <c r="D5" s="25" t="str">
        <f aca="false">IF(C5="","",IF(ABS(C5-B5)&lt;=1,"OK","CHECK"))</f>
        <v>OK</v>
      </c>
      <c r="E5" s="14" t="s">
        <v>162</v>
      </c>
    </row>
    <row r="6" customFormat="false" ht="15" hidden="false" customHeight="false" outlineLevel="0" collapsed="false">
      <c r="A6" s="14" t="s">
        <v>163</v>
      </c>
      <c r="B6" s="10" t="n">
        <v>14686599</v>
      </c>
      <c r="C6" s="10" t="n">
        <f aca="false">'3. Timing'!B22</f>
        <v>14686599.4894961</v>
      </c>
      <c r="D6" s="25" t="str">
        <f aca="false">IF(C6="","",IF(ABS(C6-B6)&lt;=2000,"OK","CHECK"))</f>
        <v>OK</v>
      </c>
      <c r="E6" s="14" t="s">
        <v>164</v>
      </c>
    </row>
    <row r="7" customFormat="false" ht="15" hidden="false" customHeight="false" outlineLevel="0" collapsed="false">
      <c r="A7" s="14" t="s">
        <v>165</v>
      </c>
      <c r="B7" s="10" t="n">
        <v>13384731</v>
      </c>
      <c r="C7" s="10" t="n">
        <f aca="false">'3. Timing'!D22</f>
        <v>13384731.4056338</v>
      </c>
      <c r="D7" s="25" t="str">
        <f aca="false">IF(C7="","",IF(ABS(C7-B7)&lt;=2000,"OK","CHECK"))</f>
        <v>OK</v>
      </c>
      <c r="E7" s="14" t="s">
        <v>164</v>
      </c>
    </row>
    <row r="8" customFormat="false" ht="15" hidden="false" customHeight="false" outlineLevel="0" collapsed="false">
      <c r="A8" s="14" t="s">
        <v>166</v>
      </c>
      <c r="B8" s="10" t="n">
        <v>9916321</v>
      </c>
      <c r="C8" s="10" t="n">
        <f aca="false">'3. Timing'!F22</f>
        <v>9916320.7975177</v>
      </c>
      <c r="D8" s="25" t="str">
        <f aca="false">IF(C8="","",IF(ABS(C8-B8)&lt;=2000,"OK","CHECK"))</f>
        <v>OK</v>
      </c>
      <c r="E8" s="14" t="s">
        <v>164</v>
      </c>
    </row>
    <row r="9" customFormat="false" ht="15" hidden="false" customHeight="false" outlineLevel="0" collapsed="false">
      <c r="A9" s="14" t="s">
        <v>95</v>
      </c>
      <c r="B9" s="10" t="n">
        <v>1301868</v>
      </c>
      <c r="C9" s="10" t="n">
        <f aca="false">'4. The Two Numbers'!B8</f>
        <v>1301868.08386237</v>
      </c>
      <c r="D9" s="25" t="str">
        <f aca="false">IF(C9="","",IF(ABS(C9-B9)&lt;=2000,"OK","CHECK"))</f>
        <v>OK</v>
      </c>
      <c r="E9" s="14" t="s">
        <v>164</v>
      </c>
    </row>
    <row r="10" customFormat="false" ht="15" hidden="false" customHeight="false" outlineLevel="0" collapsed="false">
      <c r="A10" s="14" t="s">
        <v>167</v>
      </c>
      <c r="B10" s="10" t="n">
        <v>612972</v>
      </c>
      <c r="C10" s="10" t="n">
        <f aca="false">'4. The Two Numbers'!B11</f>
        <v>612971.596468103</v>
      </c>
      <c r="D10" s="25" t="str">
        <f aca="false">IF(C10="","",IF(ABS(C10-B10)&lt;=2000,"OK","CHECK"))</f>
        <v>OK</v>
      </c>
      <c r="E10" s="14" t="s">
        <v>164</v>
      </c>
    </row>
    <row r="11" customFormat="false" ht="15" hidden="false" customHeight="false" outlineLevel="0" collapsed="false">
      <c r="A11" s="14" t="s">
        <v>168</v>
      </c>
      <c r="B11" s="10" t="n">
        <v>688896</v>
      </c>
      <c r="C11" s="10" t="n">
        <f aca="false">'4. The Two Numbers'!B12</f>
        <v>688896.487394265</v>
      </c>
      <c r="D11" s="25" t="str">
        <f aca="false">IF(C11="","",IF(ABS(C11-B11)&lt;=2000,"OK","CHECK"))</f>
        <v>OK</v>
      </c>
      <c r="E11" s="14" t="s">
        <v>164</v>
      </c>
    </row>
    <row r="12" customFormat="false" ht="15" hidden="false" customHeight="false" outlineLevel="0" collapsed="false">
      <c r="A12" s="14" t="s">
        <v>109</v>
      </c>
      <c r="B12" s="10" t="n">
        <v>4770279</v>
      </c>
      <c r="C12" s="10" t="n">
        <f aca="false">'4. The Two Numbers'!B22</f>
        <v>4770278.69197844</v>
      </c>
      <c r="D12" s="25" t="str">
        <f aca="false">IF(C12="","",IF(ABS(C12-B12)&lt;=2000,"OK","CHECK"))</f>
        <v>OK</v>
      </c>
      <c r="E12" s="14" t="s">
        <v>164</v>
      </c>
    </row>
    <row r="13" customFormat="false" ht="15" hidden="false" customHeight="false" outlineLevel="0" collapsed="false">
      <c r="A13" s="14" t="s">
        <v>169</v>
      </c>
      <c r="B13" s="24" t="n">
        <v>1.49</v>
      </c>
      <c r="C13" s="24" t="n">
        <f aca="false">'4. The Two Numbers'!B23</f>
        <v>1.49071209124326</v>
      </c>
      <c r="D13" s="25" t="str">
        <f aca="false">IF(C13="","",IF(ABS(C13-B13)&lt;=0.01,"OK","CHECK"))</f>
        <v>OK</v>
      </c>
      <c r="E13" s="14" t="s">
        <v>170</v>
      </c>
    </row>
    <row r="14" customFormat="false" ht="15" hidden="false" customHeight="false" outlineLevel="0" collapsed="false">
      <c r="A14" s="14" t="s">
        <v>171</v>
      </c>
      <c r="B14" s="10" t="n">
        <v>3130816</v>
      </c>
      <c r="C14" s="10" t="n">
        <f aca="false">'4. The Two Numbers'!B26</f>
        <v>3130816.41148984</v>
      </c>
      <c r="D14" s="25" t="str">
        <f aca="false">IF(C14="","",IF(ABS(C14-B14)&lt;=2000,"OK","CHECK"))</f>
        <v>OK</v>
      </c>
      <c r="E14" s="14" t="s">
        <v>164</v>
      </c>
    </row>
    <row r="15" customFormat="false" ht="15" hidden="false" customHeight="false" outlineLevel="0" collapsed="false">
      <c r="A15" s="14" t="s">
        <v>172</v>
      </c>
      <c r="B15" s="10" t="n">
        <v>4035624</v>
      </c>
      <c r="C15" s="10" t="n">
        <f aca="false">'4. The Two Numbers'!B27</f>
        <v>4035623.97577299</v>
      </c>
      <c r="D15" s="25" t="str">
        <f aca="false">IF(C15="","",IF(ABS(C15-B15)&lt;=2000,"OK","CHECK"))</f>
        <v>OK</v>
      </c>
      <c r="E15" s="14" t="s">
        <v>164</v>
      </c>
    </row>
    <row r="16" customFormat="false" ht="15" hidden="false" customHeight="false" outlineLevel="0" collapsed="false">
      <c r="A16" s="14" t="s">
        <v>173</v>
      </c>
      <c r="B16" s="10" t="n">
        <v>-2396162</v>
      </c>
      <c r="C16" s="10" t="n">
        <f aca="false">'4. The Two Numbers'!B28</f>
        <v>-2396161.6952844</v>
      </c>
      <c r="D16" s="25" t="str">
        <f aca="false">IF(C16="","",IF(ABS(C16-B16)&lt;=2000,"OK","CHECK"))</f>
        <v>OK</v>
      </c>
      <c r="E16" s="14" t="s">
        <v>164</v>
      </c>
    </row>
    <row r="17" customFormat="false" ht="15" hidden="false" customHeight="false" outlineLevel="0" collapsed="false">
      <c r="A17" s="14" t="s">
        <v>174</v>
      </c>
      <c r="B17" s="10" t="n">
        <v>1479189</v>
      </c>
      <c r="C17" s="10" t="n">
        <f aca="false">'2. The Three Routes'!B16</f>
        <v>1479189.38217445</v>
      </c>
      <c r="D17" s="25" t="str">
        <f aca="false">IF(C17="","",IF(ABS(C17-B17)&lt;=2000,"OK","CHECK"))</f>
        <v>OK</v>
      </c>
      <c r="E17" s="14" t="s">
        <v>175</v>
      </c>
    </row>
    <row r="18" customFormat="false" ht="15" hidden="false" customHeight="false" outlineLevel="0" collapsed="false">
      <c r="A18" s="14" t="s">
        <v>176</v>
      </c>
      <c r="B18" s="10" t="n">
        <v>447545</v>
      </c>
      <c r="C18" s="10" t="n">
        <f aca="false">'2. The Three Routes'!C32</f>
        <v>447545.13555385</v>
      </c>
      <c r="D18" s="25" t="str">
        <f aca="false">IF(C18="","",IF(ABS(C18-B18)&lt;=2000,"OK","CHECK"))</f>
        <v>OK</v>
      </c>
      <c r="E18" s="14" t="s">
        <v>177</v>
      </c>
    </row>
    <row r="19" customFormat="false" ht="15" hidden="false" customHeight="false" outlineLevel="0" collapsed="false">
      <c r="A19" s="14" t="s">
        <v>178</v>
      </c>
      <c r="B19" s="10" t="n">
        <v>8317548</v>
      </c>
      <c r="C19" s="10" t="n">
        <f aca="false">'5. Buyer''s Discount'!B7</f>
        <v>8317548.38709678</v>
      </c>
      <c r="D19" s="25" t="str">
        <f aca="false">IF(C19="","",IF(ABS(C19-B19)&lt;=2000,"OK","CHECK"))</f>
        <v>OK</v>
      </c>
      <c r="E19" s="14" t="s">
        <v>164</v>
      </c>
    </row>
    <row r="20" customFormat="false" ht="15" hidden="false" customHeight="false" outlineLevel="0" collapsed="false">
      <c r="A20" s="14" t="s">
        <v>169</v>
      </c>
      <c r="B20" s="24" t="n">
        <v>2.6</v>
      </c>
      <c r="C20" s="24" t="n">
        <f aca="false">'5. Buyer''s Discount'!B9</f>
        <v>2.59923387096774</v>
      </c>
      <c r="D20" s="25" t="str">
        <f aca="false">IF(C20="","",IF(ABS(C20-B20)&lt;=0.01,"OK","CHECK"))</f>
        <v>OK</v>
      </c>
      <c r="E20" s="14" t="s">
        <v>170</v>
      </c>
    </row>
    <row r="21" customFormat="false" ht="15" hidden="false" customHeight="false" outlineLevel="0" collapsed="false">
      <c r="A21" s="14" t="s">
        <v>179</v>
      </c>
      <c r="B21" s="10" t="n">
        <v>1570279</v>
      </c>
      <c r="C21" s="10" t="n">
        <f aca="false">'4. The Two Numbers'!B22-'2. The Three Routes'!C5</f>
        <v>1570278.69197844</v>
      </c>
      <c r="D21" s="25" t="str">
        <f aca="false">IF(C21="","",IF(ABS(C21-B21)&lt;=2000,"OK","CHECK"))</f>
        <v>OK</v>
      </c>
      <c r="E21" s="14" t="s">
        <v>164</v>
      </c>
    </row>
    <row r="22" customFormat="false" ht="15" hidden="false" customHeight="false" outlineLevel="0" collapsed="false">
      <c r="A22" s="14" t="s">
        <v>180</v>
      </c>
      <c r="B22" s="10" t="n">
        <v>1120000</v>
      </c>
      <c r="C22" s="10" t="n">
        <f aca="false">'2. The Three Routes'!C5*'1. The Building'!B19</f>
        <v>1120000</v>
      </c>
      <c r="D22" s="25" t="str">
        <f aca="false">IF(C22="","",IF(ABS(C22-B22)&lt;=1,"OK","CHECK"))</f>
        <v>OK</v>
      </c>
      <c r="E22" s="14" t="s">
        <v>162</v>
      </c>
    </row>
    <row r="23" customFormat="false" ht="15" hidden="false" customHeight="false" outlineLevel="0" collapsed="false">
      <c r="A23" s="14" t="s">
        <v>181</v>
      </c>
      <c r="B23" s="16" t="n">
        <v>6</v>
      </c>
      <c r="C23" s="16" t="n">
        <f aca="false">'2. The Three Routes'!B14</f>
        <v>6</v>
      </c>
      <c r="D23" s="25" t="str">
        <f aca="false">IF(C23="","",IF(ABS(C23-B23)&lt;=0,"OK","CHECK"))</f>
        <v>OK</v>
      </c>
      <c r="E23" s="14" t="s">
        <v>182</v>
      </c>
    </row>
    <row r="24" customFormat="false" ht="15" hidden="false" customHeight="false" outlineLevel="0" collapsed="false">
      <c r="A24" s="14" t="s">
        <v>183</v>
      </c>
      <c r="B24" s="10" t="n">
        <v>3323426</v>
      </c>
      <c r="C24" s="10" t="n">
        <f aca="false">'6. Sensitivity'!B6</f>
        <v>3323425.58196284</v>
      </c>
      <c r="D24" s="25" t="str">
        <f aca="false">IF(C24="","",IF(ABS(C24-B24)&lt;=2000,"OK","CHECK"))</f>
        <v>OK</v>
      </c>
      <c r="E24" s="14" t="s">
        <v>184</v>
      </c>
    </row>
    <row r="25" customFormat="false" ht="15" hidden="false" customHeight="false" outlineLevel="0" collapsed="false">
      <c r="A25" s="14" t="s">
        <v>185</v>
      </c>
      <c r="B25" s="10" t="n">
        <v>5990328</v>
      </c>
      <c r="C25" s="10" t="n">
        <f aca="false">'6. Sensitivity'!B10</f>
        <v>5990327.80096456</v>
      </c>
      <c r="D25" s="25" t="str">
        <f aca="false">IF(C25="","",IF(ABS(C25-B25)&lt;=2000,"OK","CHECK"))</f>
        <v>OK</v>
      </c>
      <c r="E25" s="14" t="s">
        <v>186</v>
      </c>
    </row>
    <row r="26" customFormat="false" ht="15" hidden="false" customHeight="false" outlineLevel="0" collapsed="false">
      <c r="A26" s="14" t="s">
        <v>187</v>
      </c>
      <c r="B26" s="10" t="n">
        <v>856071</v>
      </c>
      <c r="C26" s="10" t="n">
        <f aca="false">'6. Sensitivity'!B14</f>
        <v>856070.559158293</v>
      </c>
      <c r="D26" s="25" t="str">
        <f aca="false">IF(C26="","",IF(ABS(C26-B26)&lt;=2000,"OK","CHECK"))</f>
        <v>OK</v>
      </c>
      <c r="E26" s="14" t="s">
        <v>164</v>
      </c>
    </row>
    <row r="27" customFormat="false" ht="15" hidden="false" customHeight="false" outlineLevel="0" collapsed="false">
      <c r="A27" s="14" t="s">
        <v>188</v>
      </c>
      <c r="B27" s="10" t="n">
        <v>1747666</v>
      </c>
      <c r="C27" s="10" t="n">
        <f aca="false">'6. Sensitivity'!B18</f>
        <v>1747665.60856644</v>
      </c>
      <c r="D27" s="25" t="str">
        <f aca="false">IF(C27="","",IF(ABS(C27-B27)&lt;=2000,"OK","CHECK"))</f>
        <v>OK</v>
      </c>
      <c r="E27" s="14" t="s">
        <v>164</v>
      </c>
    </row>
    <row r="28" customFormat="false" ht="15" hidden="false" customHeight="false" outlineLevel="0" collapsed="false">
      <c r="A28" s="14" t="s">
        <v>189</v>
      </c>
      <c r="B28" s="10" t="n">
        <v>5117548</v>
      </c>
      <c r="C28" s="10" t="n">
        <f aca="false">'5. Buyer''s Discount'!B7-'2. The Three Routes'!C5</f>
        <v>5117548.38709678</v>
      </c>
      <c r="D28" s="25" t="str">
        <f aca="false">IF(C28="","",IF(ABS(C28-B28)&lt;=2000,"OK","CHECK"))</f>
        <v>OK</v>
      </c>
      <c r="E28" s="14" t="s">
        <v>190</v>
      </c>
    </row>
    <row r="29" customFormat="false" ht="15" hidden="false" customHeight="false" outlineLevel="0" collapsed="false">
      <c r="A29" s="14" t="s">
        <v>191</v>
      </c>
      <c r="B29" s="10" t="n">
        <v>0</v>
      </c>
      <c r="C29" s="10" t="n">
        <f aca="false">'5. Buyer''s Discount'!B17-'5. Buyer''s Discount'!B7</f>
        <v>0</v>
      </c>
      <c r="D29" s="25" t="str">
        <f aca="false">IF(C29="","",IF(ABS(C29-B29)&lt;=1,"OK","CHECK"))</f>
        <v>OK</v>
      </c>
      <c r="E29" s="14" t="s">
        <v>192</v>
      </c>
    </row>
    <row r="31" customFormat="false" ht="15" hidden="false" customHeight="false" outlineLevel="0" collapsed="false">
      <c r="A31" s="26" t="s">
        <v>193</v>
      </c>
      <c r="B31" s="16" t="n">
        <f aca="false">COUNTIF(D5:D29,"OK")</f>
        <v>25</v>
      </c>
      <c r="C31" s="16" t="n">
        <f aca="false">COUNTA(D5:D29)</f>
        <v>25</v>
      </c>
      <c r="D31" s="25" t="str">
        <f aca="false">IF(B31=C31,"ALL OK","SOME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2026-08-22T06:35:18Z</dcterms:created>
  <dc:creator>openpyxl</dc:creator>
  <dc:description/>
  <dc:language>en-US</dc:language>
  <cp:lastModifiedBy/>
  <dcterms:modified xsi:type="dcterms:W3CDTF">2026-09-23T21:27:12Z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