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ree Models" sheetId="3" state="visible" r:id="rId5"/>
    <sheet name="The Input" sheetId="4" state="visible" r:id="rId6"/>
    <sheet name="Checks" sheetId="5" state="visible" r:id="rId7"/>
  </sheets>
  <definedNames>
    <definedName function="false" hidden="false" name="D1" vbProcedure="false">Inputs!$B$17</definedName>
    <definedName function="false" hidden="false" name="D2" vbProcedure="false">Inputs!$B$18</definedName>
    <definedName function="false" hidden="false" name="DENSD1" vbProcedure="false">Inputs!$B$21</definedName>
    <definedName function="false" hidden="false" name="DIV" vbProcedure="false">Inputs!$B$11</definedName>
    <definedName function="false" hidden="false" name="K" vbProcedure="false">Inputs!$B$8</definedName>
    <definedName function="false" hidden="false" name="LOT" vbProcedure="false">Inputs!$B$13</definedName>
    <definedName function="false" hidden="false" name="ND1" vbProcedure="false">Inputs!$B$19</definedName>
    <definedName function="false" hidden="false" name="ND2" vbProcedure="false">Inputs!$B$20</definedName>
    <definedName function="false" hidden="false" name="PRICE" vbProcedure="false">Inputs!$B$23</definedName>
    <definedName function="false" hidden="false" name="RF" vbProcedure="false">Inputs!$B$10</definedName>
    <definedName function="false" hidden="false" name="S" vbProcedure="false">Inputs!$B$7</definedName>
    <definedName function="false" hidden="false" name="SIG" vbProcedure="false">Inputs!$B$12</definedName>
    <definedName function="false" hidden="false" name="SPREAD" vbProcedure="false">'Three Models'!$B$36</definedName>
    <definedName function="false" hidden="false" name="T" vbProcedure="false">Inputs!$B$9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<sst xmlns="http://schemas.openxmlformats.org/spreadsheetml/2006/main" count="147" uniqueCount="113">
  <si>
    <t xml:space="preserve">Workbook 1 - Kestrel 100: Three Models</t>
  </si>
  <si>
    <t xml:space="preserve">Companion to Quantitative Finance by Julian R. Sterling</t>
  </si>
  <si>
    <t xml:space="preserve">What this workbook does</t>
  </si>
  <si>
    <t xml:space="preserve">It prices Kestrel 100 three ways from one set of inputs and then measures the two things the book compares: how far apart the models are, and how far apart the input can put them.</t>
  </si>
  <si>
    <t xml:space="preserve">The lattice, without a tree</t>
  </si>
  <si>
    <t xml:space="preserve">A European option on a binomial tree has a closed form in the binomial distribution, so the price at any number of steps is a single formula rather than a grid. Change the step count in the yellow cells and the convergence table recomputes - including at a thousand steps, which no spreadsheet could lay out node by node.</t>
  </si>
  <si>
    <t xml:space="preserve">The honest limitation</t>
  </si>
  <si>
    <t xml:space="preserve">A million simulated paths cannot live in a spreadsheet. Those prices are entered as the run reported in the book; what is computed live beside them is the standard error, which is the quantity that decides whether the number can be trusted.</t>
  </si>
  <si>
    <t xml:space="preserve">The book</t>
  </si>
  <si>
    <t xml:space="preserve">Quantitative Finance, by Julian R. Sterling. All four workbooks: julianrsterling.com/quant</t>
  </si>
  <si>
    <t xml:space="preserve">Revised 24 September 2026</t>
  </si>
  <si>
    <t xml:space="preserve">Seven checks added, twenty-seven in all. The lattice table now carries the column the page described: the error at N steps over the error at N/2, which reads 0.50 from 100 steps on. The put by parity, the zero-volatility floor and the break-even daily move now sit beside the price, as the page said they did. The dispersion of the payoffs behind each simulated price is a blue input rather than a constant buried in a formula, and each run is shown in standard errors from the closed form: all four land below it, the million-path run by 1.71.</t>
  </si>
  <si>
    <t xml:space="preserve">Inputs</t>
  </si>
  <si>
    <t xml:space="preserve">Yellow cells only. Everything else is a formula.</t>
  </si>
  <si>
    <t xml:space="preserve">Kestrel 100</t>
  </si>
  <si>
    <t xml:space="preserve">Spot</t>
  </si>
  <si>
    <t xml:space="preserve">The observable one.</t>
  </si>
  <si>
    <t xml:space="preserve">Strike</t>
  </si>
  <si>
    <t xml:space="preserve">In the contract.</t>
  </si>
  <si>
    <t xml:space="preserve">Maturity, years</t>
  </si>
  <si>
    <t xml:space="preserve">A calendar.</t>
  </si>
  <si>
    <t xml:space="preserve">Risk-free rate</t>
  </si>
  <si>
    <t xml:space="preserve">A market quote.</t>
  </si>
  <si>
    <t xml:space="preserve">Dividend yield</t>
  </si>
  <si>
    <t xml:space="preserve">A forecast, and a small one here.</t>
  </si>
  <si>
    <t xml:space="preserve">Implied volatility</t>
  </si>
  <si>
    <t xml:space="preserve">The only input nobody can observe.</t>
  </si>
  <si>
    <t xml:space="preserve">Contracts</t>
  </si>
  <si>
    <t xml:space="preserve">Intermediate quantities</t>
  </si>
  <si>
    <t xml:space="preserve">d1</t>
  </si>
  <si>
    <t xml:space="preserve">d2</t>
  </si>
  <si>
    <t xml:space="preserve">N(d1)</t>
  </si>
  <si>
    <t xml:space="preserve">N(d2)</t>
  </si>
  <si>
    <t xml:space="preserve">n(d1), the density</t>
  </si>
  <si>
    <t xml:space="preserve">Closed-form price</t>
  </si>
  <si>
    <t xml:space="preserve">Value of the lot</t>
  </si>
  <si>
    <t xml:space="preserve">One option, three models</t>
  </si>
  <si>
    <t xml:space="preserve">Chapters 2, 4, 5 and 7. The lattice is computed in closed form, so every step count is live.</t>
  </si>
  <si>
    <t xml:space="preserve">The closed form</t>
  </si>
  <si>
    <t xml:space="preserve">Price</t>
  </si>
  <si>
    <t xml:space="preserve">The lattice, at any number of steps</t>
  </si>
  <si>
    <t xml:space="preserve">u = exp(sigma x sqrt(dt)), d = 1/u, p = (exp((r-q) dt) - d)/(u - d). The European price has a closed form in the binomial distribution, so no tree needs to be laid out.</t>
  </si>
  <si>
    <t xml:space="preserve">Steps</t>
  </si>
  <si>
    <t xml:space="preserve">Difference from closed form</t>
  </si>
  <si>
    <t xml:space="preserve">Error against half the steps</t>
  </si>
  <si>
    <t xml:space="preserve">Column D is the error at N steps over the error at N/2. Past the oscillation it reads 0.50: each doubling halves the error.</t>
  </si>
  <si>
    <t xml:space="preserve">Simulation</t>
  </si>
  <si>
    <t xml:space="preserve">A million paths cannot live in a spreadsheet. The prices and the dispersion of the discounted payoffs are the runs reported in the book, typed in blue; the standard error and the distance from the closed form in standard errors are computed live.</t>
  </si>
  <si>
    <t xml:space="preserve">Paths</t>
  </si>
  <si>
    <t xml:space="preserve">Payoff standard deviation</t>
  </si>
  <si>
    <t xml:space="preserve">Standard error</t>
  </si>
  <si>
    <t xml:space="preserve">Difference</t>
  </si>
  <si>
    <t xml:space="preserve">In standard errors</t>
  </si>
  <si>
    <t xml:space="preserve">All four runs land below the closed form, the largest by 1.99 standard errors. The spread below is therefore mostly the noise of one run; case one takes that apart.</t>
  </si>
  <si>
    <t xml:space="preserve">The spread across the three</t>
  </si>
  <si>
    <t xml:space="preserve">Highest of the three</t>
  </si>
  <si>
    <t xml:space="preserve">Lowest of the three</t>
  </si>
  <si>
    <t xml:space="preserve">The spread</t>
  </si>
  <si>
    <t xml:space="preserve">  as a share of the price</t>
  </si>
  <si>
    <t xml:space="preserve">Identities that must hold beside the price</t>
  </si>
  <si>
    <t xml:space="preserve">The put, by parity</t>
  </si>
  <si>
    <t xml:space="preserve">C - S exp(-qT) + K exp(-rT)</t>
  </si>
  <si>
    <t xml:space="preserve">The put, from its own formula</t>
  </si>
  <si>
    <t xml:space="preserve">K exp(-rT) N(-d2) - S exp(-qT) N(-d1)</t>
  </si>
  <si>
    <t xml:space="preserve">  the two differ by</t>
  </si>
  <si>
    <t xml:space="preserve">Nought, to machine precision.</t>
  </si>
  <si>
    <t xml:space="preserve">Zero-volatility floor</t>
  </si>
  <si>
    <t xml:space="preserve">The discounted intrinsic value: no option can be worth less.</t>
  </si>
  <si>
    <t xml:space="preserve">  the price stands above it by</t>
  </si>
  <si>
    <t xml:space="preserve">What the optionality is worth. Here it is the put, because the floor is in the money.</t>
  </si>
  <si>
    <t xml:space="preserve">Break-even daily move</t>
  </si>
  <si>
    <t xml:space="preserve">The daily move the volatility implies; chapter 15.</t>
  </si>
  <si>
    <t xml:space="preserve">And the input they all share</t>
  </si>
  <si>
    <t xml:space="preserve">Chapters 7 and 9. The model is not the risk. The input is.</t>
  </si>
  <si>
    <t xml:space="preserve">Volatility</t>
  </si>
  <si>
    <t xml:space="preserve">Difference from 24 per cent</t>
  </si>
  <si>
    <t xml:space="preserve">Eight points of volatility move</t>
  </si>
  <si>
    <t xml:space="preserve">The model spread, for comparison</t>
  </si>
  <si>
    <t xml:space="preserve">The ratio</t>
  </si>
  <si>
    <t xml:space="preserve">The quantitative industry argues about models because a model can be argued about rigorously. The number that decides the price arrives in the same cell every morning and is never defended.</t>
  </si>
  <si>
    <t xml:space="preserve">Checks against the printed book</t>
  </si>
  <si>
    <t xml:space="preserve">Every line reproduces a figure printed in Quantitative Finance, or an identity that must hold.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</si>
  <si>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</si>
  <si>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</si>
  <si>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</si>
  <si>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</si>
  <si>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Result</t>
  </si>
  <si>
    <t xml:space="preserve">2</t>
  </si>
  <si>
    <t xml:space="preserve">Value of the lot of 10,000</t>
  </si>
  <si>
    <t xml:space="preserve">4</t>
  </si>
  <si>
    <t xml:space="preserve">Lattice, 10 steps</t>
  </si>
  <si>
    <t xml:space="preserve">Lattice, 25 steps</t>
  </si>
  <si>
    <t xml:space="preserve">Lattice, 50 steps</t>
  </si>
  <si>
    <t xml:space="preserve">Lattice, 100 steps</t>
  </si>
  <si>
    <t xml:space="preserve">Lattice, 250 steps</t>
  </si>
  <si>
    <t xml:space="preserve">Lattice, 500 steps</t>
  </si>
  <si>
    <t xml:space="preserve">Lattice, 1,000 steps</t>
  </si>
  <si>
    <t xml:space="preserve">Doubling the steps halves the error: 500 to 1,000</t>
  </si>
  <si>
    <t xml:space="preserve">5</t>
  </si>
  <si>
    <t xml:space="preserve">Standard error at 1,000,000 paths</t>
  </si>
  <si>
    <t xml:space="preserve">The 1,000,000-path run lies within two standard errors (1 = yes)</t>
  </si>
  <si>
    <t xml:space="preserve">7</t>
  </si>
  <si>
    <t xml:space="preserve">The spread across the three models</t>
  </si>
  <si>
    <t xml:space="preserve">9</t>
  </si>
  <si>
    <t xml:space="preserve">Price at 20 per cent volatility</t>
  </si>
  <si>
    <t xml:space="preserve">Price at 28 per cent volatility</t>
  </si>
  <si>
    <t xml:space="preserve">Eight points of volatility</t>
  </si>
  <si>
    <t xml:space="preserve">The ratio, input to model</t>
  </si>
  <si>
    <t xml:space="preserve">15</t>
  </si>
  <si>
    <t xml:space="preserve">Break-even daily move at 24 per cent</t>
  </si>
  <si>
    <t xml:space="preserve">17</t>
  </si>
  <si>
    <t xml:space="preserve">Parity: by parity less by formula</t>
  </si>
  <si>
    <t xml:space="preserve">Checks passing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</si>
</sst>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.00;\-#,##0.00"/>
    <numFmt numFmtId="166" formatCode="0.0000"/>
    <numFmt numFmtId="167" formatCode="0.00%;\-0.00%"/>
    <numFmt numFmtId="168" formatCode="#,##0"/>
    <numFmt numFmtId="169" formatCode="0.000000"/>
    <numFmt numFmtId="170" formatCode="0.000"/>
    <numFmt numFmtId="171" formatCode="0.00"/>
    <numFmt numFmtId="172" formatCode="0.0000%"/>
    <numFmt numFmtId="173" formatCode="0.000000000"/>
    <numFmt numFmtId="174" formatCode="0.0%;\-0.0%"/>
    <numFmt numFmtId="175" formatCode="#,##0\x"/>
    <numFmt numFmtId="176" formatCode="#,##0.00"/>
    <numFmt numFmtId="177" formatCode="0"/>
    <numFmt numFmtId="178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i val="true"/>
      <sz val="9"/>
      <color rgb="FF5A6A70"/>
      <name val="Cambria"/>
      <family val="0"/>
      <charset val="1"/>
    </font>
    <font>
      <b val="true"/>
      <sz val="11"/>
      <color rgb="FF1A1A1A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E7A3C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B42318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30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60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45" hidden="false" customHeight="true" outlineLevel="0" collapsed="false">
      <c r="A15" s="5" t="s">
        <v>7</v>
      </c>
    </row>
    <row r="17" customFormat="false" ht="15" hidden="false" customHeight="false" outlineLevel="0" collapsed="false">
      <c r="A17" s="4" t="s">
        <v>8</v>
      </c>
    </row>
    <row r="19" customFormat="false" ht="15" hidden="false" customHeight="true" outlineLevel="0" collapsed="false">
      <c r="A19" s="5" t="s">
        <v>9</v>
      </c>
    </row>
    <row r="21" customFormat="false" ht="15" hidden="false" customHeight="false" outlineLevel="0" collapsed="false">
      <c r="A21" s="6" t="s">
        <v>10</v>
      </c>
    </row>
    <row r="23" customFormat="false" ht="68.65" hidden="false" customHeight="false" outlineLevel="0" collapsed="false">
      <c r="A23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56"/>
  </cols>
  <sheetData>
    <row r="1" customFormat="false" ht="24" hidden="false" customHeight="tru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14</v>
      </c>
      <c r="B5" s="7"/>
      <c r="C5" s="7"/>
      <c r="D5" s="7"/>
    </row>
    <row r="7" customFormat="false" ht="15" hidden="false" customHeight="false" outlineLevel="0" collapsed="false">
      <c r="A7" s="8" t="s">
        <v>15</v>
      </c>
      <c r="B7" s="9" t="n">
        <v>100</v>
      </c>
      <c r="D7" s="10" t="s">
        <v>16</v>
      </c>
    </row>
    <row r="8" customFormat="false" ht="15" hidden="false" customHeight="false" outlineLevel="0" collapsed="false">
      <c r="A8" s="8" t="s">
        <v>17</v>
      </c>
      <c r="B8" s="9" t="n">
        <v>100</v>
      </c>
      <c r="D8" s="10" t="s">
        <v>18</v>
      </c>
    </row>
    <row r="9" customFormat="false" ht="15" hidden="false" customHeight="false" outlineLevel="0" collapsed="false">
      <c r="A9" s="8" t="s">
        <v>19</v>
      </c>
      <c r="B9" s="11" t="n">
        <v>1</v>
      </c>
      <c r="D9" s="10" t="s">
        <v>20</v>
      </c>
    </row>
    <row r="10" customFormat="false" ht="15" hidden="false" customHeight="false" outlineLevel="0" collapsed="false">
      <c r="A10" s="8" t="s">
        <v>21</v>
      </c>
      <c r="B10" s="12" t="n">
        <v>0.04</v>
      </c>
      <c r="D10" s="10" t="s">
        <v>22</v>
      </c>
    </row>
    <row r="11" customFormat="false" ht="15" hidden="false" customHeight="false" outlineLevel="0" collapsed="false">
      <c r="A11" s="8" t="s">
        <v>23</v>
      </c>
      <c r="B11" s="12" t="n">
        <v>0</v>
      </c>
      <c r="D11" s="10" t="s">
        <v>24</v>
      </c>
    </row>
    <row r="12" customFormat="false" ht="15" hidden="false" customHeight="false" outlineLevel="0" collapsed="false">
      <c r="A12" s="8" t="s">
        <v>25</v>
      </c>
      <c r="B12" s="12" t="n">
        <v>0.24</v>
      </c>
      <c r="D12" s="10" t="s">
        <v>26</v>
      </c>
    </row>
    <row r="13" customFormat="false" ht="15" hidden="false" customHeight="false" outlineLevel="0" collapsed="false">
      <c r="A13" s="8" t="s">
        <v>27</v>
      </c>
      <c r="B13" s="13" t="n">
        <v>10000</v>
      </c>
    </row>
    <row r="15" customFormat="false" ht="15" hidden="false" customHeight="false" outlineLevel="0" collapsed="false">
      <c r="A15" s="4" t="s">
        <v>28</v>
      </c>
      <c r="B15" s="7"/>
      <c r="C15" s="7"/>
      <c r="D15" s="7"/>
    </row>
    <row r="17" customFormat="false" ht="15" hidden="false" customHeight="false" outlineLevel="0" collapsed="false">
      <c r="A17" s="8" t="s">
        <v>29</v>
      </c>
      <c r="B17" s="14" t="n">
        <f aca="false">(LN(S/K)+(RF-DIV+SIG^2/2)*T)/(SIG*SQRT(T))</f>
        <v>0.286666666666667</v>
      </c>
    </row>
    <row r="18" customFormat="false" ht="15" hidden="false" customHeight="false" outlineLevel="0" collapsed="false">
      <c r="A18" s="8" t="s">
        <v>30</v>
      </c>
      <c r="B18" s="14" t="n">
        <f aca="false">D1-SIG*SQRT(T)</f>
        <v>0.0466666666666667</v>
      </c>
    </row>
    <row r="19" customFormat="false" ht="15" hidden="false" customHeight="false" outlineLevel="0" collapsed="false">
      <c r="A19" s="8" t="s">
        <v>31</v>
      </c>
      <c r="B19" s="14" t="n">
        <f aca="false">NORMSDIST(D1)</f>
        <v>0.612816218520811</v>
      </c>
    </row>
    <row r="20" customFormat="false" ht="15" hidden="false" customHeight="false" outlineLevel="0" collapsed="false">
      <c r="A20" s="8" t="s">
        <v>32</v>
      </c>
      <c r="B20" s="14" t="n">
        <f aca="false">NORMSDIST(D2)</f>
        <v>0.518610551232876</v>
      </c>
    </row>
    <row r="21" customFormat="false" ht="15" hidden="false" customHeight="false" outlineLevel="0" collapsed="false">
      <c r="A21" s="8" t="s">
        <v>33</v>
      </c>
      <c r="B21" s="14" t="n">
        <f aca="false">EXP(-(D1^2)/2)/SQRT(2*PI())</f>
        <v>0.38288238639453</v>
      </c>
    </row>
    <row r="23" customFormat="false" ht="15" hidden="false" customHeight="false" outlineLevel="0" collapsed="false">
      <c r="A23" s="15" t="s">
        <v>34</v>
      </c>
      <c r="B23" s="16" t="n">
        <f aca="false">S*EXP(-DIV*T)*ND1-K*EXP(-RF*T)*ND2</f>
        <v>11.4540677863298</v>
      </c>
    </row>
    <row r="24" customFormat="false" ht="15" hidden="false" customHeight="false" outlineLevel="0" collapsed="false">
      <c r="A24" s="8" t="s">
        <v>35</v>
      </c>
      <c r="B24" s="17" t="n">
        <f aca="false">PRICE*LOT</f>
        <v>114540.677863298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7"/>
  </cols>
  <sheetData>
    <row r="1" customFormat="false" ht="24" hidden="false" customHeight="tru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38</v>
      </c>
      <c r="B5" s="7"/>
      <c r="C5" s="7"/>
      <c r="D5" s="7"/>
    </row>
    <row r="7" customFormat="false" ht="15" hidden="false" customHeight="false" outlineLevel="0" collapsed="false">
      <c r="A7" s="8" t="s">
        <v>39</v>
      </c>
      <c r="B7" s="14" t="n">
        <f aca="false">PRICE</f>
        <v>11.4540677863298</v>
      </c>
    </row>
    <row r="9" customFormat="false" ht="15" hidden="false" customHeight="false" outlineLevel="0" collapsed="false">
      <c r="A9" s="4" t="s">
        <v>40</v>
      </c>
      <c r="B9" s="7"/>
      <c r="C9" s="7"/>
      <c r="D9" s="7"/>
    </row>
    <row r="11" customFormat="false" ht="15" hidden="false" customHeight="false" outlineLevel="0" collapsed="false">
      <c r="A11" s="18" t="s">
        <v>41</v>
      </c>
    </row>
    <row r="13" customFormat="false" ht="30" hidden="false" customHeight="true" outlineLevel="0" collapsed="false">
      <c r="A13" s="19" t="s">
        <v>42</v>
      </c>
      <c r="B13" s="19" t="s">
        <v>39</v>
      </c>
      <c r="C13" s="19" t="s">
        <v>43</v>
      </c>
      <c r="D13" s="19" t="s">
        <v>44</v>
      </c>
    </row>
    <row r="14" customFormat="false" ht="15" hidden="false" customHeight="false" outlineLevel="0" collapsed="false">
      <c r="A14" s="20" t="n">
        <v>10</v>
      </c>
      <c r="B14" s="21" t="n">
        <f aca="false">S*EXP(-DIV*T)*(1-BINOMDIST(CEILING(LN(K/(S*(1/EXP(SIG*SQRT(T/A14)))^A14))/LN(EXP(SIG*SQRT(T/A14))/(1/EXP(SIG*SQRT(T/A14)))),1)-1,A14,((EXP((RF-DIV)*T/A14)-(1/EXP(SIG*SQRT(T/A14))))/(EXP(SIG*SQRT(T/A14))-(1/EXP(SIG*SQRT(T/A14)))))*EXP(SIG*SQRT(T/A14))*EXP(-(RF-DIV)*T/A14),TRUE()))-K*EXP(-RF*T)*(1-BINOMDIST(CEILING(LN(K/(S*(1/EXP(SIG*SQRT(T/A14)))^A14))/LN(EXP(SIG*SQRT(T/A14))/(1/EXP(SIG*SQRT(T/A14)))),1)-1,A14,(EXP((RF-DIV)*T/A14)-(1/EXP(SIG*SQRT(T/A14))))/(EXP(SIG*SQRT(T/A14))-(1/EXP(SIG*SQRT(T/A14)))),TRUE()))</f>
        <v>11.220174728175</v>
      </c>
      <c r="C14" s="21" t="n">
        <f aca="false">B14-PRICE</f>
        <v>-0.233893058154848</v>
      </c>
    </row>
    <row r="15" customFormat="false" ht="15" hidden="false" customHeight="false" outlineLevel="0" collapsed="false">
      <c r="A15" s="13" t="n">
        <v>25</v>
      </c>
      <c r="B15" s="14" t="n">
        <f aca="false">S*EXP(-DIV*T)*(1-BINOMDIST(CEILING(LN(K/(S*(1/EXP(SIG*SQRT(T/A15)))^A15))/LN(EXP(SIG*SQRT(T/A15))/(1/EXP(SIG*SQRT(T/A15)))),1)-1,A15,((EXP((RF-DIV)*T/A15)-(1/EXP(SIG*SQRT(T/A15))))/(EXP(SIG*SQRT(T/A15))-(1/EXP(SIG*SQRT(T/A15)))))*EXP(SIG*SQRT(T/A15))*EXP(-(RF-DIV)*T/A15),TRUE()))-K*EXP(-RF*T)*(1-BINOMDIST(CEILING(LN(K/(S*(1/EXP(SIG*SQRT(T/A15)))^A15))/LN(EXP(SIG*SQRT(T/A15))/(1/EXP(SIG*SQRT(T/A15)))),1)-1,A15,(EXP((RF-DIV)*T/A15)-(1/EXP(SIG*SQRT(T/A15))))/(EXP(SIG*SQRT(T/A15))-(1/EXP(SIG*SQRT(T/A15)))),TRUE()))</f>
        <v>11.5433552115227</v>
      </c>
      <c r="C15" s="14" t="n">
        <f aca="false">B15-PRICE</f>
        <v>0.0892874251928504</v>
      </c>
    </row>
    <row r="16" customFormat="false" ht="15" hidden="false" customHeight="false" outlineLevel="0" collapsed="false">
      <c r="A16" s="20" t="n">
        <v>50</v>
      </c>
      <c r="B16" s="21" t="n">
        <f aca="false">S*EXP(-DIV*T)*(1-BINOMDIST(CEILING(LN(K/(S*(1/EXP(SIG*SQRT(T/A16)))^A16))/LN(EXP(SIG*SQRT(T/A16))/(1/EXP(SIG*SQRT(T/A16)))),1)-1,A16,((EXP((RF-DIV)*T/A16)-(1/EXP(SIG*SQRT(T/A16))))/(EXP(SIG*SQRT(T/A16))-(1/EXP(SIG*SQRT(T/A16)))))*EXP(SIG*SQRT(T/A16))*EXP(-(RF-DIV)*T/A16),TRUE()))-K*EXP(-RF*T)*(1-BINOMDIST(CEILING(LN(K/(S*(1/EXP(SIG*SQRT(T/A16)))^A16))/LN(EXP(SIG*SQRT(T/A16))/(1/EXP(SIG*SQRT(T/A16)))),1)-1,A16,(EXP((RF-DIV)*T/A16)-(1/EXP(SIG*SQRT(T/A16))))/(EXP(SIG*SQRT(T/A16))-(1/EXP(SIG*SQRT(T/A16)))),TRUE()))</f>
        <v>11.4067465817039</v>
      </c>
      <c r="C16" s="21" t="n">
        <f aca="false">B16-PRICE</f>
        <v>-0.0473212046259448</v>
      </c>
      <c r="D16" s="22" t="n">
        <f aca="false">C16/C15</f>
        <v>-0.52998733610849</v>
      </c>
    </row>
    <row r="17" customFormat="false" ht="15" hidden="false" customHeight="false" outlineLevel="0" collapsed="false">
      <c r="A17" s="13" t="n">
        <v>100</v>
      </c>
      <c r="B17" s="14" t="n">
        <f aca="false">S*EXP(-DIV*T)*(1-BINOMDIST(CEILING(LN(K/(S*(1/EXP(SIG*SQRT(T/A17)))^A17))/LN(EXP(SIG*SQRT(T/A17))/(1/EXP(SIG*SQRT(T/A17)))),1)-1,A17,((EXP((RF-DIV)*T/A17)-(1/EXP(SIG*SQRT(T/A17))))/(EXP(SIG*SQRT(T/A17))-(1/EXP(SIG*SQRT(T/A17)))))*EXP(SIG*SQRT(T/A17))*EXP(-(RF-DIV)*T/A17),TRUE()))-K*EXP(-RF*T)*(1-BINOMDIST(CEILING(LN(K/(S*(1/EXP(SIG*SQRT(T/A17)))^A17))/LN(EXP(SIG*SQRT(T/A17))/(1/EXP(SIG*SQRT(T/A17)))),1)-1,A17,(EXP((RF-DIV)*T/A17)-(1/EXP(SIG*SQRT(T/A17))))/(EXP(SIG*SQRT(T/A17))-(1/EXP(SIG*SQRT(T/A17)))),TRUE()))</f>
        <v>11.4303764422237</v>
      </c>
      <c r="C17" s="14" t="n">
        <f aca="false">B17-PRICE</f>
        <v>-0.0236913441061191</v>
      </c>
      <c r="D17" s="23" t="n">
        <f aca="false">C17/C16</f>
        <v>0.500649640967293</v>
      </c>
    </row>
    <row r="18" customFormat="false" ht="15" hidden="false" customHeight="false" outlineLevel="0" collapsed="false">
      <c r="A18" s="20" t="n">
        <v>250</v>
      </c>
      <c r="B18" s="21" t="n">
        <f aca="false">S*EXP(-DIV*T)*(1-BINOMDIST(CEILING(LN(K/(S*(1/EXP(SIG*SQRT(T/A18)))^A18))/LN(EXP(SIG*SQRT(T/A18))/(1/EXP(SIG*SQRT(T/A18)))),1)-1,A18,((EXP((RF-DIV)*T/A18)-(1/EXP(SIG*SQRT(T/A18))))/(EXP(SIG*SQRT(T/A18))-(1/EXP(SIG*SQRT(T/A18)))))*EXP(SIG*SQRT(T/A18))*EXP(-(RF-DIV)*T/A18),TRUE()))-K*EXP(-RF*T)*(1-BINOMDIST(CEILING(LN(K/(S*(1/EXP(SIG*SQRT(T/A18)))^A18))/LN(EXP(SIG*SQRT(T/A18))/(1/EXP(SIG*SQRT(T/A18)))),1)-1,A18,(EXP((RF-DIV)*T/A18)-(1/EXP(SIG*SQRT(T/A18))))/(EXP(SIG*SQRT(T/A18))-(1/EXP(SIG*SQRT(T/A18)))),TRUE()))</f>
        <v>11.444584011657</v>
      </c>
      <c r="C18" s="21" t="n">
        <f aca="false">B18-PRICE</f>
        <v>-0.00948377467285155</v>
      </c>
    </row>
    <row r="19" customFormat="false" ht="15" hidden="false" customHeight="false" outlineLevel="0" collapsed="false">
      <c r="A19" s="13" t="n">
        <v>500</v>
      </c>
      <c r="B19" s="14" t="n">
        <f aca="false">S*EXP(-DIV*T)*(1-BINOMDIST(CEILING(LN(K/(S*(1/EXP(SIG*SQRT(T/A19)))^A19))/LN(EXP(SIG*SQRT(T/A19))/(1/EXP(SIG*SQRT(T/A19)))),1)-1,A19,((EXP((RF-DIV)*T/A19)-(1/EXP(SIG*SQRT(T/A19))))/(EXP(SIG*SQRT(T/A19))-(1/EXP(SIG*SQRT(T/A19)))))*EXP(SIG*SQRT(T/A19))*EXP(-(RF-DIV)*T/A19),TRUE()))-K*EXP(-RF*T)*(1-BINOMDIST(CEILING(LN(K/(S*(1/EXP(SIG*SQRT(T/A19)))^A19))/LN(EXP(SIG*SQRT(T/A19))/(1/EXP(SIG*SQRT(T/A19)))),1)-1,A19,(EXP((RF-DIV)*T/A19)-(1/EXP(SIG*SQRT(T/A19))))/(EXP(SIG*SQRT(T/A19))-(1/EXP(SIG*SQRT(T/A19)))),TRUE()))</f>
        <v>11.4493247046373</v>
      </c>
      <c r="C19" s="14" t="n">
        <f aca="false">B19-PRICE</f>
        <v>-0.00474308169250293</v>
      </c>
      <c r="D19" s="23" t="n">
        <f aca="false">C19/C18</f>
        <v>0.500125936783438</v>
      </c>
    </row>
    <row r="20" customFormat="false" ht="15" hidden="false" customHeight="false" outlineLevel="0" collapsed="false">
      <c r="A20" s="13" t="n">
        <v>1000</v>
      </c>
      <c r="B20" s="14" t="n">
        <f aca="false">S*EXP(-DIV*T)*(1-BINOMDIST(CEILING(LN(K/(S*(1/EXP(SIG*SQRT(T/A20)))^A20))/LN(EXP(SIG*SQRT(T/A20))/(1/EXP(SIG*SQRT(T/A20)))),1)-1,A20,((EXP((RF-DIV)*T/A20)-(1/EXP(SIG*SQRT(T/A20))))/(EXP(SIG*SQRT(T/A20))-(1/EXP(SIG*SQRT(T/A20)))))*EXP(SIG*SQRT(T/A20))*EXP(-(RF-DIV)*T/A20),TRUE()))-K*EXP(-RF*T)*(1-BINOMDIST(CEILING(LN(K/(S*(1/EXP(SIG*SQRT(T/A20)))^A20))/LN(EXP(SIG*SQRT(T/A20))/(1/EXP(SIG*SQRT(T/A20)))),1)-1,A20,(EXP((RF-DIV)*T/A20)-(1/EXP(SIG*SQRT(T/A20))))/(EXP(SIG*SQRT(T/A20))-(1/EXP(SIG*SQRT(T/A20)))),TRUE()))</f>
        <v>11.4516959480053</v>
      </c>
      <c r="C20" s="14" t="n">
        <f aca="false">B20-PRICE</f>
        <v>-0.00237183832449261</v>
      </c>
      <c r="D20" s="23" t="n">
        <f aca="false">C20/C19</f>
        <v>0.500062718346518</v>
      </c>
    </row>
    <row r="21" customFormat="false" ht="15" hidden="false" customHeight="false" outlineLevel="0" collapsed="false">
      <c r="A21" s="24" t="s">
        <v>45</v>
      </c>
    </row>
    <row r="22" customFormat="false" ht="15" hidden="false" customHeight="false" outlineLevel="0" collapsed="false">
      <c r="A22" s="4" t="s">
        <v>46</v>
      </c>
      <c r="B22" s="7"/>
      <c r="C22" s="7"/>
      <c r="D22" s="7"/>
    </row>
    <row r="24" customFormat="false" ht="15" hidden="false" customHeight="false" outlineLevel="0" collapsed="false">
      <c r="A24" s="18" t="s">
        <v>47</v>
      </c>
    </row>
    <row r="26" customFormat="false" ht="30" hidden="false" customHeight="true" outlineLevel="0" collapsed="false">
      <c r="A26" s="19" t="s">
        <v>48</v>
      </c>
      <c r="B26" s="19" t="s">
        <v>39</v>
      </c>
      <c r="C26" s="19" t="s">
        <v>49</v>
      </c>
      <c r="D26" s="19" t="s">
        <v>50</v>
      </c>
      <c r="E26" s="25" t="s">
        <v>51</v>
      </c>
      <c r="F26" s="25" t="s">
        <v>52</v>
      </c>
    </row>
    <row r="27" customFormat="false" ht="15" hidden="false" customHeight="false" outlineLevel="0" collapsed="false">
      <c r="A27" s="13" t="n">
        <v>1000</v>
      </c>
      <c r="B27" s="26" t="n">
        <v>10.45226</v>
      </c>
      <c r="C27" s="27" t="n">
        <v>16.702</v>
      </c>
      <c r="D27" s="14" t="n">
        <f aca="false">C27/SQRT(A27)</f>
        <v>0.528163614801323</v>
      </c>
      <c r="E27" s="14" t="n">
        <f aca="false">B27-PRICE</f>
        <v>-1.00180778632984</v>
      </c>
      <c r="F27" s="28" t="n">
        <f aca="false">E27/D27</f>
        <v>-1.89677546550927</v>
      </c>
    </row>
    <row r="28" customFormat="false" ht="15" hidden="false" customHeight="false" outlineLevel="0" collapsed="false">
      <c r="A28" s="13" t="n">
        <v>10000</v>
      </c>
      <c r="B28" s="26" t="n">
        <v>11.284141</v>
      </c>
      <c r="C28" s="27" t="n">
        <v>17.286</v>
      </c>
      <c r="D28" s="14" t="n">
        <f aca="false">C28/SQRT(A28)</f>
        <v>0.17286</v>
      </c>
      <c r="E28" s="14" t="n">
        <f aca="false">B28-PRICE</f>
        <v>-0.169926786329837</v>
      </c>
      <c r="F28" s="28" t="n">
        <f aca="false">E28/D28</f>
        <v>-0.983031275771359</v>
      </c>
    </row>
    <row r="29" customFormat="false" ht="15" hidden="false" customHeight="false" outlineLevel="0" collapsed="false">
      <c r="A29" s="13" t="n">
        <v>100000</v>
      </c>
      <c r="B29" s="26" t="n">
        <v>11.344755</v>
      </c>
      <c r="C29" s="27" t="n">
        <v>17.388</v>
      </c>
      <c r="D29" s="14" t="n">
        <f aca="false">C29/SQRT(A29)</f>
        <v>0.0549856839550078</v>
      </c>
      <c r="E29" s="14" t="n">
        <f aca="false">B29-PRICE</f>
        <v>-0.109312786329838</v>
      </c>
      <c r="F29" s="28" t="n">
        <f aca="false">E29/D29</f>
        <v>-1.98802267185188</v>
      </c>
    </row>
    <row r="30" customFormat="false" ht="15" hidden="false" customHeight="false" outlineLevel="0" collapsed="false">
      <c r="A30" s="13" t="n">
        <v>1000000</v>
      </c>
      <c r="B30" s="26" t="n">
        <v>11.424367</v>
      </c>
      <c r="C30" s="27" t="n">
        <v>17.408</v>
      </c>
      <c r="D30" s="14" t="n">
        <f aca="false">C30/SQRT(A30)</f>
        <v>0.017408</v>
      </c>
      <c r="E30" s="14" t="n">
        <f aca="false">B30-PRICE</f>
        <v>-0.0297007863298369</v>
      </c>
      <c r="F30" s="28" t="n">
        <f aca="false">E30/D30</f>
        <v>-1.70615730295478</v>
      </c>
    </row>
    <row r="31" customFormat="false" ht="15" hidden="false" customHeight="false" outlineLevel="0" collapsed="false">
      <c r="A31" s="24" t="s">
        <v>53</v>
      </c>
    </row>
    <row r="32" customFormat="false" ht="15" hidden="false" customHeight="false" outlineLevel="0" collapsed="false">
      <c r="A32" s="4" t="s">
        <v>54</v>
      </c>
      <c r="B32" s="7"/>
      <c r="C32" s="7"/>
      <c r="D32" s="7"/>
    </row>
    <row r="34" customFormat="false" ht="15" hidden="false" customHeight="false" outlineLevel="0" collapsed="false">
      <c r="A34" s="15" t="s">
        <v>55</v>
      </c>
      <c r="B34" s="16" t="n">
        <f aca="false">MAX(PRICE,B20,B30)</f>
        <v>11.4540677863298</v>
      </c>
    </row>
    <row r="35" customFormat="false" ht="15" hidden="false" customHeight="false" outlineLevel="0" collapsed="false">
      <c r="A35" s="15" t="s">
        <v>56</v>
      </c>
      <c r="B35" s="16" t="n">
        <f aca="false">MIN(PRICE,B20,B30)</f>
        <v>11.424367</v>
      </c>
    </row>
    <row r="36" customFormat="false" ht="15" hidden="false" customHeight="false" outlineLevel="0" collapsed="false">
      <c r="A36" s="15" t="s">
        <v>57</v>
      </c>
      <c r="B36" s="16" t="n">
        <f aca="false">B34-B35</f>
        <v>0.0297007863298369</v>
      </c>
    </row>
    <row r="37" customFormat="false" ht="15" hidden="false" customHeight="false" outlineLevel="0" collapsed="false">
      <c r="A37" s="15" t="s">
        <v>58</v>
      </c>
      <c r="B37" s="29" t="n">
        <f aca="false">B36/PRICE</f>
        <v>0.00259303392330924</v>
      </c>
    </row>
    <row r="39" customFormat="false" ht="15" hidden="false" customHeight="false" outlineLevel="0" collapsed="false">
      <c r="A39" s="6" t="s">
        <v>59</v>
      </c>
    </row>
    <row r="41" customFormat="false" ht="15" hidden="false" customHeight="false" outlineLevel="0" collapsed="false">
      <c r="A41" s="8" t="s">
        <v>60</v>
      </c>
      <c r="B41" s="16" t="n">
        <f aca="false">PRICE-S*EXP(-DIV*T)+K*EXP(-RF*T)</f>
        <v>7.53301170156215</v>
      </c>
      <c r="C41" s="24" t="s">
        <v>61</v>
      </c>
    </row>
    <row r="42" customFormat="false" ht="15" hidden="false" customHeight="false" outlineLevel="0" collapsed="false">
      <c r="A42" s="8" t="s">
        <v>62</v>
      </c>
      <c r="B42" s="14" t="n">
        <f aca="false">K*EXP(-RF*T)*NORMSDIST(-D2)-S*EXP(-DIV*T)*NORMSDIST(-D1)</f>
        <v>7.53301170156215</v>
      </c>
      <c r="C42" s="24" t="s">
        <v>63</v>
      </c>
    </row>
    <row r="43" customFormat="false" ht="15" hidden="false" customHeight="false" outlineLevel="0" collapsed="false">
      <c r="A43" s="8" t="s">
        <v>64</v>
      </c>
      <c r="B43" s="30" t="n">
        <f aca="false">B41-B42</f>
        <v>0</v>
      </c>
      <c r="C43" s="24" t="s">
        <v>65</v>
      </c>
    </row>
    <row r="44" customFormat="false" ht="15" hidden="false" customHeight="false" outlineLevel="0" collapsed="false">
      <c r="A44" s="8" t="s">
        <v>66</v>
      </c>
      <c r="B44" s="16" t="n">
        <f aca="false">MAX(S*EXP(-DIV*T)-K*EXP(-RF*T),0)</f>
        <v>3.92105608476768</v>
      </c>
      <c r="C44" s="24" t="s">
        <v>67</v>
      </c>
    </row>
    <row r="45" customFormat="false" ht="15" hidden="false" customHeight="false" outlineLevel="0" collapsed="false">
      <c r="A45" s="8" t="s">
        <v>68</v>
      </c>
      <c r="B45" s="14" t="n">
        <f aca="false">PRICE-B44</f>
        <v>7.53301170156215</v>
      </c>
      <c r="C45" s="24" t="s">
        <v>69</v>
      </c>
    </row>
    <row r="46" customFormat="false" ht="15" hidden="false" customHeight="false" outlineLevel="0" collapsed="false">
      <c r="A46" s="8" t="s">
        <v>70</v>
      </c>
      <c r="B46" s="31" t="n">
        <f aca="false">SIG*S/SQRT(365)</f>
        <v>1.25621741421651</v>
      </c>
      <c r="C46" s="24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50"/>
  </cols>
  <sheetData>
    <row r="1" customFormat="false" ht="24" hidden="false" customHeight="tru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30" hidden="false" customHeight="true" outlineLevel="0" collapsed="false">
      <c r="A5" s="32" t="s">
        <v>74</v>
      </c>
      <c r="B5" s="33" t="s">
        <v>39</v>
      </c>
      <c r="C5" s="33" t="s">
        <v>75</v>
      </c>
      <c r="D5" s="33"/>
    </row>
    <row r="6" customFormat="false" ht="15" hidden="false" customHeight="false" outlineLevel="0" collapsed="false">
      <c r="A6" s="12" t="n">
        <v>0.2</v>
      </c>
      <c r="B6" s="14" t="n">
        <f aca="false">S*EXP(-DIV*T)*NORMSDIST((LN(S/K)+(RF-DIV+A6^2/2)*T)/(A6*SQRT(T)))-K*EXP(-RF*T)*NORMSDIST((LN(S/K)+(RF-DIV+A6^2/2)*T)/(A6*SQRT(T))-A6*SQRT(T))</f>
        <v>9.92505371727444</v>
      </c>
      <c r="C6" s="14" t="n">
        <f aca="false">B6-PRICE</f>
        <v>-1.52901406905539</v>
      </c>
    </row>
    <row r="7" customFormat="false" ht="15" hidden="false" customHeight="false" outlineLevel="0" collapsed="false">
      <c r="A7" s="12" t="n">
        <v>0.22</v>
      </c>
      <c r="B7" s="14" t="n">
        <f aca="false">S*EXP(-DIV*T)*NORMSDIST((LN(S/K)+(RF-DIV+A7^2/2)*T)/(A7*SQRT(T)))-K*EXP(-RF*T)*NORMSDIST((LN(S/K)+(RF-DIV+A7^2/2)*T)/(A7*SQRT(T))-A7*SQRT(T))</f>
        <v>10.6888229447584</v>
      </c>
      <c r="C7" s="14" t="n">
        <f aca="false">B7-PRICE</f>
        <v>-0.765244841571395</v>
      </c>
    </row>
    <row r="8" customFormat="false" ht="15" hidden="false" customHeight="false" outlineLevel="0" collapsed="false">
      <c r="A8" s="34" t="n">
        <v>0.24</v>
      </c>
      <c r="B8" s="21" t="n">
        <f aca="false">S*EXP(-DIV*T)*NORMSDIST((LN(S/K)+(RF-DIV+A8^2/2)*T)/(A8*SQRT(T)))-K*EXP(-RF*T)*NORMSDIST((LN(S/K)+(RF-DIV+A8^2/2)*T)/(A8*SQRT(T))-A8*SQRT(T))</f>
        <v>11.4540677863298</v>
      </c>
      <c r="C8" s="21" t="n">
        <f aca="false">B8-PRICE</f>
        <v>0</v>
      </c>
    </row>
    <row r="9" customFormat="false" ht="15" hidden="false" customHeight="false" outlineLevel="0" collapsed="false">
      <c r="A9" s="12" t="n">
        <v>0.26</v>
      </c>
      <c r="B9" s="14" t="n">
        <f aca="false">S*EXP(-DIV*T)*NORMSDIST((LN(S/K)+(RF-DIV+A9^2/2)*T)/(A9*SQRT(T)))-K*EXP(-RF*T)*NORMSDIST((LN(S/K)+(RF-DIV+A9^2/2)*T)/(A9*SQRT(T))-A9*SQRT(T))</f>
        <v>12.2201785611172</v>
      </c>
      <c r="C9" s="14" t="n">
        <f aca="false">B9-PRICE</f>
        <v>0.76611077478735</v>
      </c>
    </row>
    <row r="10" customFormat="false" ht="15" hidden="false" customHeight="false" outlineLevel="0" collapsed="false">
      <c r="A10" s="12" t="n">
        <v>0.28</v>
      </c>
      <c r="B10" s="14" t="n">
        <f aca="false">S*EXP(-DIV*T)*NORMSDIST((LN(S/K)+(RF-DIV+A10^2/2)*T)/(A10*SQRT(T)))-K*EXP(-RF*T)*NORMSDIST((LN(S/K)+(RF-DIV+A10^2/2)*T)/(A10*SQRT(T))-A10*SQRT(T))</f>
        <v>12.9866966152782</v>
      </c>
      <c r="C10" s="14" t="n">
        <f aca="false">B10-PRICE</f>
        <v>1.53262882894833</v>
      </c>
    </row>
    <row r="12" customFormat="false" ht="15" hidden="false" customHeight="false" outlineLevel="0" collapsed="false">
      <c r="A12" s="15" t="s">
        <v>76</v>
      </c>
      <c r="B12" s="16" t="n">
        <f aca="false">B10-B6</f>
        <v>3.06164289800372</v>
      </c>
    </row>
    <row r="13" customFormat="false" ht="15" hidden="false" customHeight="false" outlineLevel="0" collapsed="false">
      <c r="A13" s="15" t="s">
        <v>58</v>
      </c>
      <c r="B13" s="35" t="n">
        <f aca="false">B12/PRICE</f>
        <v>0.267297431368244</v>
      </c>
    </row>
    <row r="14" customFormat="false" ht="15" hidden="false" customHeight="false" outlineLevel="0" collapsed="false">
      <c r="A14" s="8" t="s">
        <v>77</v>
      </c>
      <c r="B14" s="14" t="n">
        <f aca="false">SPREAD</f>
        <v>0.0297007863298369</v>
      </c>
    </row>
    <row r="15" customFormat="false" ht="15" hidden="false" customHeight="false" outlineLevel="0" collapsed="false">
      <c r="A15" s="15" t="s">
        <v>78</v>
      </c>
      <c r="B15" s="36" t="n">
        <f aca="false">B12/SPREAD</f>
        <v>103.082890264358</v>
      </c>
    </row>
    <row r="17" customFormat="false" ht="15" hidden="false" customHeight="false" outlineLevel="0" collapsed="false">
      <c r="A17" s="18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8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</cols>
  <sheetData>
    <row r="1" customFormat="false" ht="24" hidden="false" customHeight="tru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9" t="s">
        <v>82</v>
      </c>
      <c r="B5" s="19" t="s">
        <v>83</v>
      </c>
      <c r="C5" s="19" t="s">
        <v>84</v>
      </c>
      <c r="D5" s="19" t="s">
        <v>85</v>
      </c>
      <c r="E5" s="19" t="s">
        <v>51</v>
      </c>
      <c r="F5" s="19" t="s">
        <v>86</v>
      </c>
    </row>
    <row r="6" customFormat="false" ht="15" hidden="false" customHeight="false" outlineLevel="0" collapsed="false">
      <c r="A6" s="8" t="s">
        <v>87</v>
      </c>
      <c r="B6" s="8" t="s">
        <v>34</v>
      </c>
      <c r="C6" s="14" t="n">
        <v>11.454068</v>
      </c>
      <c r="D6" s="14" t="n">
        <f aca="false">ROUND(PRICE,6)</f>
        <v>11.454068</v>
      </c>
      <c r="E6" s="14" t="n">
        <f aca="false">D6-C6</f>
        <v>0</v>
      </c>
      <c r="F6" s="37" t="str">
        <f aca="false">IF(ABS(D6-C6)&lt;=0.0000005,"PASS","FAIL")</f>
        <v>PASS</v>
      </c>
    </row>
    <row r="7" customFormat="false" ht="15" hidden="false" customHeight="false" outlineLevel="0" collapsed="false">
      <c r="A7" s="38" t="s">
        <v>87</v>
      </c>
      <c r="B7" s="38" t="s">
        <v>29</v>
      </c>
      <c r="C7" s="21" t="n">
        <v>0.286667</v>
      </c>
      <c r="D7" s="21" t="n">
        <f aca="false">ROUND(D1,6)</f>
        <v>0.286667</v>
      </c>
      <c r="E7" s="21" t="n">
        <f aca="false">D7-C7</f>
        <v>0</v>
      </c>
      <c r="F7" s="39" t="str">
        <f aca="false">IF(ABS(D7-C7)&lt;=0.0000005,"PASS","FAIL")</f>
        <v>PASS</v>
      </c>
    </row>
    <row r="8" customFormat="false" ht="15" hidden="false" customHeight="false" outlineLevel="0" collapsed="false">
      <c r="A8" s="8" t="s">
        <v>87</v>
      </c>
      <c r="B8" s="8" t="s">
        <v>30</v>
      </c>
      <c r="C8" s="14" t="n">
        <v>0.046667</v>
      </c>
      <c r="D8" s="14" t="n">
        <f aca="false">ROUND(D2,6)</f>
        <v>0.046667</v>
      </c>
      <c r="E8" s="14" t="n">
        <f aca="false">D8-C8</f>
        <v>0</v>
      </c>
      <c r="F8" s="37" t="str">
        <f aca="false">IF(ABS(D8-C8)&lt;=0.0000005,"PASS","FAIL")</f>
        <v>PASS</v>
      </c>
    </row>
    <row r="9" customFormat="false" ht="15" hidden="false" customHeight="false" outlineLevel="0" collapsed="false">
      <c r="A9" s="38" t="s">
        <v>87</v>
      </c>
      <c r="B9" s="38" t="s">
        <v>31</v>
      </c>
      <c r="C9" s="21" t="n">
        <v>0.612816</v>
      </c>
      <c r="D9" s="21" t="n">
        <f aca="false">ROUND(ND1,6)</f>
        <v>0.612816</v>
      </c>
      <c r="E9" s="21" t="n">
        <f aca="false">D9-C9</f>
        <v>0</v>
      </c>
      <c r="F9" s="39" t="str">
        <f aca="false">IF(ABS(D9-C9)&lt;=0.0000005,"PASS","FAIL")</f>
        <v>PASS</v>
      </c>
    </row>
    <row r="10" customFormat="false" ht="15" hidden="false" customHeight="false" outlineLevel="0" collapsed="false">
      <c r="A10" s="8" t="s">
        <v>87</v>
      </c>
      <c r="B10" s="8" t="s">
        <v>32</v>
      </c>
      <c r="C10" s="14" t="n">
        <v>0.518611</v>
      </c>
      <c r="D10" s="14" t="n">
        <f aca="false">ROUND(ND2,6)</f>
        <v>0.518611</v>
      </c>
      <c r="E10" s="14" t="n">
        <f aca="false">D10-C10</f>
        <v>0</v>
      </c>
      <c r="F10" s="37" t="str">
        <f aca="false">IF(ABS(D10-C10)&lt;=0.0000005,"PASS","FAIL")</f>
        <v>PASS</v>
      </c>
    </row>
    <row r="11" customFormat="false" ht="15" hidden="false" customHeight="false" outlineLevel="0" collapsed="false">
      <c r="A11" s="38" t="s">
        <v>87</v>
      </c>
      <c r="B11" s="38" t="s">
        <v>88</v>
      </c>
      <c r="C11" s="40" t="n">
        <v>114540.68</v>
      </c>
      <c r="D11" s="40" t="n">
        <f aca="false">ROUND(Inputs!B24,2)</f>
        <v>114540.68</v>
      </c>
      <c r="E11" s="40" t="n">
        <f aca="false">D11-C11</f>
        <v>0</v>
      </c>
      <c r="F11" s="39" t="str">
        <f aca="false">IF(ABS(D11-C11)&lt;=0.005,"PASS","FAIL")</f>
        <v>PASS</v>
      </c>
    </row>
    <row r="12" customFormat="false" ht="15" hidden="false" customHeight="false" outlineLevel="0" collapsed="false">
      <c r="A12" s="8" t="s">
        <v>89</v>
      </c>
      <c r="B12" s="8" t="s">
        <v>90</v>
      </c>
      <c r="C12" s="14" t="n">
        <v>11.220175</v>
      </c>
      <c r="D12" s="14" t="n">
        <f aca="false">ROUND('Three Models'!B14,6)</f>
        <v>11.220175</v>
      </c>
      <c r="E12" s="14" t="n">
        <f aca="false">D12-C12</f>
        <v>0</v>
      </c>
      <c r="F12" s="37" t="str">
        <f aca="false">IF(ABS(D12-C12)&lt;=0.0000005,"PASS","FAIL")</f>
        <v>PASS</v>
      </c>
    </row>
    <row r="13" customFormat="false" ht="15" hidden="false" customHeight="false" outlineLevel="0" collapsed="false">
      <c r="A13" s="38" t="s">
        <v>89</v>
      </c>
      <c r="B13" s="38" t="s">
        <v>91</v>
      </c>
      <c r="C13" s="21" t="n">
        <v>11.543355</v>
      </c>
      <c r="D13" s="21" t="n">
        <f aca="false">ROUND('Three Models'!B15,6)</f>
        <v>11.543355</v>
      </c>
      <c r="E13" s="21" t="n">
        <f aca="false">D13-C13</f>
        <v>0</v>
      </c>
      <c r="F13" s="39" t="str">
        <f aca="false">IF(ABS(D13-C13)&lt;=0.0000005,"PASS","FAIL")</f>
        <v>PASS</v>
      </c>
    </row>
    <row r="14" customFormat="false" ht="15" hidden="false" customHeight="false" outlineLevel="0" collapsed="false">
      <c r="A14" s="8" t="s">
        <v>89</v>
      </c>
      <c r="B14" s="8" t="s">
        <v>92</v>
      </c>
      <c r="C14" s="14" t="n">
        <v>11.406747</v>
      </c>
      <c r="D14" s="14" t="n">
        <f aca="false">ROUND('Three Models'!B16,6)</f>
        <v>11.406747</v>
      </c>
      <c r="E14" s="14" t="n">
        <f aca="false">D14-C14</f>
        <v>0</v>
      </c>
      <c r="F14" s="37" t="str">
        <f aca="false">IF(ABS(D14-C14)&lt;=0.0000005,"PASS","FAIL")</f>
        <v>PASS</v>
      </c>
    </row>
    <row r="15" customFormat="false" ht="15" hidden="false" customHeight="false" outlineLevel="0" collapsed="false">
      <c r="A15" s="38" t="s">
        <v>89</v>
      </c>
      <c r="B15" s="38" t="s">
        <v>93</v>
      </c>
      <c r="C15" s="21" t="n">
        <v>11.430376</v>
      </c>
      <c r="D15" s="21" t="n">
        <f aca="false">ROUND('Three Models'!B17,6)</f>
        <v>11.430376</v>
      </c>
      <c r="E15" s="21" t="n">
        <f aca="false">D15-C15</f>
        <v>0</v>
      </c>
      <c r="F15" s="39" t="str">
        <f aca="false">IF(ABS(D15-C15)&lt;=0.0000005,"PASS","FAIL")</f>
        <v>PASS</v>
      </c>
    </row>
    <row r="16" customFormat="false" ht="15" hidden="false" customHeight="false" outlineLevel="0" collapsed="false">
      <c r="A16" s="8" t="s">
        <v>89</v>
      </c>
      <c r="B16" s="8" t="s">
        <v>94</v>
      </c>
      <c r="C16" s="14" t="n">
        <v>11.444584</v>
      </c>
      <c r="D16" s="14" t="n">
        <f aca="false">ROUND('Three Models'!B18,6)</f>
        <v>11.444584</v>
      </c>
      <c r="E16" s="14" t="n">
        <f aca="false">D16-C16</f>
        <v>0</v>
      </c>
      <c r="F16" s="37" t="str">
        <f aca="false">IF(ABS(D16-C16)&lt;=0.0000005,"PASS","FAIL")</f>
        <v>PASS</v>
      </c>
    </row>
    <row r="17" customFormat="false" ht="15" hidden="false" customHeight="false" outlineLevel="0" collapsed="false">
      <c r="A17" s="38" t="s">
        <v>89</v>
      </c>
      <c r="B17" s="38" t="s">
        <v>95</v>
      </c>
      <c r="C17" s="21" t="n">
        <v>11.449325</v>
      </c>
      <c r="D17" s="21" t="n">
        <f aca="false">ROUND('Three Models'!B19,6)</f>
        <v>11.449325</v>
      </c>
      <c r="E17" s="21" t="n">
        <f aca="false">D17-C17</f>
        <v>0</v>
      </c>
      <c r="F17" s="39" t="str">
        <f aca="false">IF(ABS(D17-C17)&lt;=0.0000005,"PASS","FAIL")</f>
        <v>PASS</v>
      </c>
    </row>
    <row r="18" customFormat="false" ht="15" hidden="false" customHeight="false" outlineLevel="0" collapsed="false">
      <c r="A18" s="8" t="s">
        <v>89</v>
      </c>
      <c r="B18" s="8" t="s">
        <v>96</v>
      </c>
      <c r="C18" s="14" t="n">
        <v>11.451696</v>
      </c>
      <c r="D18" s="14" t="n">
        <f aca="false">ROUND('Three Models'!B20,6)</f>
        <v>11.451696</v>
      </c>
      <c r="E18" s="14" t="n">
        <f aca="false">D18-C18</f>
        <v>0</v>
      </c>
      <c r="F18" s="37" t="str">
        <f aca="false">IF(ABS(D18-C18)&lt;=0.0000005,"PASS","FAIL")</f>
        <v>PASS</v>
      </c>
    </row>
    <row r="19" customFormat="false" ht="15" hidden="false" customHeight="false" outlineLevel="0" collapsed="false">
      <c r="A19" s="38" t="s">
        <v>89</v>
      </c>
      <c r="B19" s="38" t="s">
        <v>97</v>
      </c>
      <c r="C19" s="41" t="n">
        <v>0.5</v>
      </c>
      <c r="D19" s="41" t="n">
        <f aca="false">ROUND('Three Models'!D20,2)</f>
        <v>0.5</v>
      </c>
      <c r="E19" s="41" t="n">
        <f aca="false">D19-C19</f>
        <v>0</v>
      </c>
      <c r="F19" s="39" t="str">
        <f aca="false">IF(ABS(D19-C19)&lt;=0.005,"PASS","FAIL")</f>
        <v>PASS</v>
      </c>
    </row>
    <row r="20" customFormat="false" ht="15" hidden="false" customHeight="false" outlineLevel="0" collapsed="false">
      <c r="A20" s="8" t="s">
        <v>98</v>
      </c>
      <c r="B20" s="8" t="s">
        <v>99</v>
      </c>
      <c r="C20" s="14" t="n">
        <v>0.017408</v>
      </c>
      <c r="D20" s="14" t="n">
        <f aca="false">ROUND('Three Models'!D30,6)</f>
        <v>0.017408</v>
      </c>
      <c r="E20" s="14" t="n">
        <f aca="false">D20-C20</f>
        <v>0</v>
      </c>
      <c r="F20" s="37" t="str">
        <f aca="false">IF(ABS(D20-C20)&lt;=0.0000005,"PASS","FAIL")</f>
        <v>PASS</v>
      </c>
    </row>
    <row r="21" customFormat="false" ht="15" hidden="false" customHeight="false" outlineLevel="0" collapsed="false">
      <c r="A21" s="38" t="s">
        <v>98</v>
      </c>
      <c r="B21" s="38" t="s">
        <v>100</v>
      </c>
      <c r="C21" s="42" t="n">
        <v>1</v>
      </c>
      <c r="D21" s="42" t="n">
        <f aca="false">IF(ABS('Three Models'!F30)&lt;2,1,0)</f>
        <v>1</v>
      </c>
      <c r="E21" s="42" t="n">
        <f aca="false">D21-C21</f>
        <v>0</v>
      </c>
      <c r="F21" s="39" t="str">
        <f aca="false">IF(ABS(D21-C21)&lt;=0,"PASS","FAIL")</f>
        <v>PASS</v>
      </c>
    </row>
    <row r="22" customFormat="false" ht="15" hidden="false" customHeight="false" outlineLevel="0" collapsed="false">
      <c r="A22" s="8" t="s">
        <v>101</v>
      </c>
      <c r="B22" s="8" t="s">
        <v>102</v>
      </c>
      <c r="C22" s="14" t="n">
        <v>0.029701</v>
      </c>
      <c r="D22" s="14" t="n">
        <f aca="false">ROUND(SPREAD,6)</f>
        <v>0.029701</v>
      </c>
      <c r="E22" s="14" t="n">
        <f aca="false">D22-C22</f>
        <v>0</v>
      </c>
      <c r="F22" s="37" t="str">
        <f aca="false">IF(ABS(D22-C22)&lt;=0.0000005,"PASS","FAIL")</f>
        <v>PASS</v>
      </c>
    </row>
    <row r="23" customFormat="false" ht="15" hidden="false" customHeight="false" outlineLevel="0" collapsed="false">
      <c r="A23" s="38" t="s">
        <v>101</v>
      </c>
      <c r="B23" s="38" t="s">
        <v>58</v>
      </c>
      <c r="C23" s="21" t="n">
        <v>0.002593</v>
      </c>
      <c r="D23" s="21" t="n">
        <f aca="false">ROUND('Three Models'!B37,6)</f>
        <v>0.002593</v>
      </c>
      <c r="E23" s="21" t="n">
        <f aca="false">D23-C23</f>
        <v>0</v>
      </c>
      <c r="F23" s="39" t="str">
        <f aca="false">IF(ABS(D23-C23)&lt;=0.0000005,"PASS","FAIL")</f>
        <v>PASS</v>
      </c>
    </row>
    <row r="24" customFormat="false" ht="15" hidden="false" customHeight="false" outlineLevel="0" collapsed="false">
      <c r="A24" s="8" t="s">
        <v>103</v>
      </c>
      <c r="B24" s="8" t="s">
        <v>104</v>
      </c>
      <c r="C24" s="14" t="n">
        <v>9.925054</v>
      </c>
      <c r="D24" s="14" t="n">
        <f aca="false">ROUND('The Input'!B6,6)</f>
        <v>9.925054</v>
      </c>
      <c r="E24" s="14" t="n">
        <f aca="false">D24-C24</f>
        <v>0</v>
      </c>
      <c r="F24" s="37" t="str">
        <f aca="false">IF(ABS(D24-C24)&lt;=0.0000005,"PASS","FAIL")</f>
        <v>PASS</v>
      </c>
    </row>
    <row r="25" customFormat="false" ht="15" hidden="false" customHeight="false" outlineLevel="0" collapsed="false">
      <c r="A25" s="38" t="s">
        <v>103</v>
      </c>
      <c r="B25" s="38" t="s">
        <v>105</v>
      </c>
      <c r="C25" s="21" t="n">
        <v>12.986697</v>
      </c>
      <c r="D25" s="21" t="n">
        <f aca="false">ROUND('The Input'!B10,6)</f>
        <v>12.986697</v>
      </c>
      <c r="E25" s="21" t="n">
        <f aca="false">D25-C25</f>
        <v>0</v>
      </c>
      <c r="F25" s="39" t="str">
        <f aca="false">IF(ABS(D25-C25)&lt;=0.0000005,"PASS","FAIL")</f>
        <v>PASS</v>
      </c>
    </row>
    <row r="26" customFormat="false" ht="15" hidden="false" customHeight="false" outlineLevel="0" collapsed="false">
      <c r="A26" s="8" t="s">
        <v>103</v>
      </c>
      <c r="B26" s="8" t="s">
        <v>106</v>
      </c>
      <c r="C26" s="14" t="n">
        <v>3.061643</v>
      </c>
      <c r="D26" s="14" t="n">
        <f aca="false">ROUND('The Input'!B12,6)</f>
        <v>3.061643</v>
      </c>
      <c r="E26" s="14" t="n">
        <f aca="false">D26-C26</f>
        <v>0</v>
      </c>
      <c r="F26" s="43" t="str">
        <f aca="false">IF(ABS(D26-C26)&lt;=0.0000005,"PASS","FAIL")</f>
        <v>PASS</v>
      </c>
    </row>
    <row r="27" customFormat="false" ht="15" hidden="false" customHeight="false" outlineLevel="0" collapsed="false">
      <c r="A27" s="38" t="s">
        <v>103</v>
      </c>
      <c r="B27" s="38" t="s">
        <v>58</v>
      </c>
      <c r="C27" s="44" t="n">
        <v>0.267</v>
      </c>
      <c r="D27" s="45" t="n">
        <f aca="false">ROUND('The Input'!B13,3)</f>
        <v>0.267</v>
      </c>
      <c r="E27" s="44" t="n">
        <f aca="false">D27-C27</f>
        <v>0</v>
      </c>
      <c r="F27" s="46" t="str">
        <f aca="false">IF(ABS(D27-C27)&lt;=0.0005,"PASS","FAIL")</f>
        <v>PASS</v>
      </c>
    </row>
    <row r="28" customFormat="false" ht="15" hidden="false" customHeight="false" outlineLevel="0" collapsed="false">
      <c r="A28" s="8" t="s">
        <v>101</v>
      </c>
      <c r="B28" s="8" t="s">
        <v>107</v>
      </c>
      <c r="C28" s="47" t="n">
        <v>103</v>
      </c>
      <c r="D28" s="47" t="n">
        <f aca="false">ROUND('The Input'!B15,0)</f>
        <v>103</v>
      </c>
      <c r="E28" s="47" t="n">
        <f aca="false">D28-C28</f>
        <v>0</v>
      </c>
      <c r="F28" s="43" t="str">
        <f aca="false">IF(ABS(D28-C28)&lt;=0,"PASS","FAIL")</f>
        <v>PASS</v>
      </c>
    </row>
    <row r="29" customFormat="false" ht="15" hidden="false" customHeight="false" outlineLevel="0" collapsed="false">
      <c r="A29" s="38" t="s">
        <v>108</v>
      </c>
      <c r="B29" s="38" t="s">
        <v>109</v>
      </c>
      <c r="C29" s="22" t="n">
        <v>1.2562</v>
      </c>
      <c r="D29" s="22" t="n">
        <f aca="false">ROUND('Three Models'!B46,4)</f>
        <v>1.2562</v>
      </c>
      <c r="E29" s="22" t="n">
        <f aca="false">D29-C29</f>
        <v>0</v>
      </c>
      <c r="F29" s="46" t="str">
        <f aca="false">IF(ABS(D29-C29)&lt;=0.00005,"PASS","FAIL")</f>
        <v>PASS</v>
      </c>
    </row>
    <row r="30" customFormat="false" ht="15" hidden="false" customHeight="false" outlineLevel="0" collapsed="false">
      <c r="A30" s="8" t="s">
        <v>110</v>
      </c>
      <c r="B30" s="8" t="s">
        <v>60</v>
      </c>
      <c r="C30" s="14" t="n">
        <v>7.533012</v>
      </c>
      <c r="D30" s="14" t="n">
        <f aca="false">ROUND('Three Models'!B41,6)</f>
        <v>7.533012</v>
      </c>
      <c r="E30" s="14" t="n">
        <f aca="false">D30-C30</f>
        <v>0</v>
      </c>
      <c r="F30" s="43" t="str">
        <f aca="false">IF(ABS(D30-C30)&lt;=0.0000005,"PASS","FAIL")</f>
        <v>PASS</v>
      </c>
    </row>
    <row r="31" customFormat="false" ht="15" hidden="false" customHeight="false" outlineLevel="0" collapsed="false">
      <c r="A31" s="38" t="s">
        <v>110</v>
      </c>
      <c r="B31" s="38" t="s">
        <v>111</v>
      </c>
      <c r="C31" s="48" t="n">
        <v>0</v>
      </c>
      <c r="D31" s="48" t="n">
        <f aca="false">ROUND('Three Models'!B43,9)</f>
        <v>0</v>
      </c>
      <c r="E31" s="48" t="n">
        <f aca="false">D31-C31</f>
        <v>0</v>
      </c>
      <c r="F31" s="46" t="str">
        <f aca="false">IF(ABS(D31-C31)&lt;=0.000000001,"PASS","FAIL")</f>
        <v>PASS</v>
      </c>
    </row>
    <row r="32" customFormat="false" ht="15" hidden="false" customHeight="false" outlineLevel="0" collapsed="false">
      <c r="A32" s="8" t="s">
        <v>110</v>
      </c>
      <c r="B32" s="8" t="s">
        <v>66</v>
      </c>
      <c r="C32" s="14" t="n">
        <v>3.921056</v>
      </c>
      <c r="D32" s="14" t="n">
        <f aca="false">ROUND('Three Models'!B44,6)</f>
        <v>3.921056</v>
      </c>
      <c r="E32" s="14" t="n">
        <f aca="false">D32-C32</f>
        <v>0</v>
      </c>
      <c r="F32" s="43" t="str">
        <f aca="false">IF(ABS(D32-C32)&lt;=0.0000005,"PASS","FAIL")</f>
        <v>PASS</v>
      </c>
    </row>
    <row r="34" customFormat="false" ht="15" hidden="false" customHeight="false" outlineLevel="0" collapsed="false">
      <c r="B34" s="15" t="s">
        <v>112</v>
      </c>
      <c r="D34" s="49" t="str">
        <f aca="false">COUNTIF(F6:F32,"PASS")&amp;" of "&amp;27</f>
        <v>27 of 27</v>
      </c>
    </row>
  </sheetData>
  <conditionalFormatting sqref="F6:F32">
    <cfRule type="cellIs" priority="2" operator="equal" aboveAverage="0" equalAverage="0" bottom="0" percent="0" rank="0" text="" dxfId="0">
      <formula>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2026-08-28T18:31:04Z</dcterms:created>
  <dc:creator>openpyxl</dc:creator>
  <dc:description/>
  <dc:language>en-US</dc:language>
  <cp:lastModifiedBy/>
  <dcterms:modified xsi:type="dcterms:W3CDTF">2026-09-24T19:44:41Z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