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Checks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RentRoll" sheetId="4" state="visible" r:id="rId4"/>
    <sheet xmlns:r="http://schemas.openxmlformats.org/officeDocument/2006/relationships" name="Timeline" sheetId="5" state="visible" r:id="rId5"/>
    <sheet xmlns:r="http://schemas.openxmlformats.org/officeDocument/2006/relationships" name="AtRisk" sheetId="6" state="visible" r:id="rId6"/>
    <sheet xmlns:r="http://schemas.openxmlformats.org/officeDocument/2006/relationships" name="ReTrade" sheetId="7" state="visible" r:id="rId7"/>
    <sheet xmlns:r="http://schemas.openxmlformats.org/officeDocument/2006/relationships" name="Claim" sheetId="8" state="visible" r:id="rId8"/>
    <sheet xmlns:r="http://schemas.openxmlformats.org/officeDocument/2006/relationships" name="Prorations" sheetId="9" state="visible" r:id="rId9"/>
    <sheet xmlns:r="http://schemas.openxmlformats.org/officeDocument/2006/relationships" name="Closing" sheetId="10" state="visible" r:id="rId10"/>
    <sheet xmlns:r="http://schemas.openxmlformats.org/officeDocument/2006/relationships" name="Casualty_Remedies" sheetId="11" state="visible" r:id="rId11"/>
    <sheet xmlns:r="http://schemas.openxmlformats.org/officeDocument/2006/relationships" name="Exchange_Tax" sheetId="12" state="visible" r:id="rId12"/>
    <sheet xmlns:r="http://schemas.openxmlformats.org/officeDocument/2006/relationships" name="Cases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#,##0;(#,##0);&quot;-&quot;"/>
    <numFmt numFmtId="165" formatCode="#,##0.00;(#,##0.00);&quot;-&quot;"/>
    <numFmt numFmtId="166" formatCode="yyyy-mm-dd"/>
    <numFmt numFmtId="167" formatCode="dddd d mmmm yyyy"/>
    <numFmt numFmtId="168" formatCode="d mmm yyyy"/>
    <numFmt numFmtId="169" formatCode="0.0%"/>
    <numFmt numFmtId="170" formatCode="0.0"/>
  </numFmts>
  <fonts count="5">
    <font>
      <name val="Calibri"/>
      <family val="2"/>
      <color theme="1"/>
      <sz val="11"/>
      <scheme val="minor"/>
    </font>
    <font>
      <name val="Calibri"/>
      <b val="1"/>
      <color rgb="001F2933"/>
      <sz val="13"/>
    </font>
    <font>
      <name val="Calibri"/>
      <sz val="10"/>
    </font>
    <font>
      <name val="Calibri"/>
      <color rgb="001F4E9E"/>
      <sz val="10"/>
    </font>
    <font>
      <name val="Calibri"/>
      <b val="1"/>
      <sz val="10"/>
    </font>
  </fonts>
  <fills count="4">
    <fill>
      <patternFill/>
    </fill>
    <fill>
      <patternFill patternType="gray125"/>
    </fill>
    <fill>
      <patternFill patternType="solid">
        <fgColor rgb="00FFF7DC"/>
      </patternFill>
    </fill>
    <fill>
      <patternFill patternType="solid">
        <fgColor rgb="00DDE3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3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4" fillId="0" borderId="0" pivotButton="0" quotePrefix="0" xfId="0"/>
    <xf numFmtId="164" fontId="3" fillId="2" borderId="0" pivotButton="0" quotePrefix="0" xfId="0"/>
    <xf numFmtId="165" fontId="3" fillId="2" borderId="0" pivotButton="0" quotePrefix="0" xfId="0"/>
    <xf numFmtId="167" fontId="3" fillId="2" borderId="0" pivotButton="0" quotePrefix="0" xfId="0"/>
    <xf numFmtId="10" fontId="3" fillId="2" borderId="0" pivotButton="0" quotePrefix="0" xfId="0"/>
    <xf numFmtId="1" fontId="3" fillId="2" borderId="0" pivotButton="0" quotePrefix="0" xfId="0"/>
    <xf numFmtId="164" fontId="0" fillId="0" borderId="0" pivotButton="0" quotePrefix="0" xfId="0"/>
    <xf numFmtId="168" fontId="3" fillId="0" borderId="0" pivotButton="0" quotePrefix="0" xfId="0"/>
    <xf numFmtId="0" fontId="3" fillId="2" borderId="0" pivotButton="0" quotePrefix="0" xfId="0"/>
    <xf numFmtId="164" fontId="2" fillId="0" borderId="0" pivotButton="0" quotePrefix="0" xfId="0"/>
    <xf numFmtId="169" fontId="2" fillId="0" borderId="0" pivotButton="0" quotePrefix="0" xfId="0"/>
    <xf numFmtId="164" fontId="4" fillId="0" borderId="0" pivotButton="0" quotePrefix="0" xfId="0"/>
    <xf numFmtId="10" fontId="2" fillId="0" borderId="0" pivotButton="0" quotePrefix="0" xfId="0"/>
    <xf numFmtId="165" fontId="2" fillId="0" borderId="0" pivotButton="0" quotePrefix="0" xfId="0"/>
    <xf numFmtId="167" fontId="2" fillId="0" borderId="0" pivotButton="0" quotePrefix="0" xfId="0"/>
    <xf numFmtId="167" fontId="4" fillId="0" borderId="0" pivotButton="0" quotePrefix="0" xfId="0"/>
    <xf numFmtId="170" fontId="3" fillId="2" borderId="0" pivotButton="0" quotePrefix="0" xfId="0"/>
    <xf numFmtId="165" fontId="4" fillId="0" borderId="0" pivotButton="0" quotePrefix="0" xfId="0"/>
    <xf numFmtId="1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2">
      <c r="B2" s="1" t="inlineStr">
        <is>
          <t>How to Read a Real Estate Purchase Agreement: companion workbook</t>
        </is>
      </c>
    </row>
    <row r="3">
      <c r="B3" s="2" t="inlineStr">
        <is>
          <t>Larkspur Commerce Center, the fictional case that runs through the book. Every figure is illustrative.</t>
        </is>
      </c>
    </row>
    <row r="4">
      <c r="B4" s="2" t="inlineStr">
        <is>
          <t>Blue cells on the Inputs sheet are assumptions. Everything else is a formula. Change an input and every dependent figure moves.</t>
        </is>
      </c>
    </row>
    <row r="5">
      <c r="B5" s="2" t="inlineStr">
        <is>
          <t>Sheets: Inputs; RentRoll (chapter 1, 6); Timeline (chapter 2, 16); AtRisk (chapters 3, 4); ReTrade (chapter 7); Claim (chapter 9);</t>
        </is>
      </c>
    </row>
    <row r="6">
      <c r="B6" s="2" t="inlineStr">
        <is>
          <t>Prorations (chapter 12); Closing (chapter 13); Casualty_Remedies (chapters 14, 15); Exchange_Tax (chapter 16); Cases (appendix C); Checks.</t>
        </is>
      </c>
    </row>
    <row r="7">
      <c r="B7" s="2" t="inlineStr">
        <is>
          <t>The Checks sheet compares the figures printed in the book with the formulas. It should read ALL CHECKS OK on the inputs as shipped.</t>
        </is>
      </c>
    </row>
    <row r="8">
      <c r="B8" s="2" t="inlineStr">
        <is>
          <t>No macro, no circular reference, no external link. Not legal, tax or investment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10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0" customWidth="1" min="2" max="2"/>
    <col width="18" customWidth="1" min="3" max="3"/>
    <col width="18" customWidth="1" min="4" max="4"/>
    <col width="10" customWidth="1" min="5" max="5"/>
  </cols>
  <sheetData>
    <row r="2">
      <c r="B2" s="1" t="inlineStr">
        <is>
          <t>Checks: figures printed in the book against the formulas</t>
        </is>
      </c>
    </row>
    <row r="4">
      <c r="B4" s="3" t="inlineStr">
        <is>
          <t>Figure (fact key)</t>
        </is>
      </c>
      <c r="C4" s="3" t="inlineStr">
        <is>
          <t>Book</t>
        </is>
      </c>
      <c r="D4" s="3" t="inlineStr">
        <is>
          <t>Workbook</t>
        </is>
      </c>
      <c r="E4" s="3" t="inlineStr">
        <is>
          <t>OK</t>
        </is>
      </c>
    </row>
    <row r="5">
      <c r="B5" t="inlineStr">
        <is>
          <t>noi</t>
        </is>
      </c>
      <c r="C5" s="4" t="n">
        <v>3372900</v>
      </c>
      <c r="D5" s="4">
        <f>'RentRoll'!$C$19*1</f>
        <v/>
      </c>
      <c r="E5">
        <f>IF(ABS(C5-D5)&lt;=0.01+0.041*(1&gt;1),"OK","KO")</f>
        <v/>
      </c>
    </row>
    <row r="6">
      <c r="B6" t="inlineStr">
        <is>
          <t>base_rent</t>
        </is>
      </c>
      <c r="C6" s="4" t="n">
        <v>3532100</v>
      </c>
      <c r="D6" s="4">
        <f>RentRoll!$E$14*1</f>
        <v/>
      </c>
      <c r="E6">
        <f>IF(ABS(C6-D6)&lt;=0.01+0.041*(1&gt;1),"OK","KO")</f>
        <v/>
      </c>
    </row>
    <row r="7">
      <c r="B7" t="inlineStr">
        <is>
          <t>leased_sf</t>
        </is>
      </c>
      <c r="C7" s="4" t="n">
        <v>380000</v>
      </c>
      <c r="D7" s="4">
        <f>RentRoll!$C$14*1</f>
        <v/>
      </c>
      <c r="E7">
        <f>IF(ABS(C7-D7)&lt;=0.01+0.041*(1&gt;1),"OK","KO")</f>
        <v/>
      </c>
    </row>
    <row r="8">
      <c r="B8" t="inlineStr">
        <is>
          <t>price</t>
        </is>
      </c>
      <c r="C8" s="4" t="n">
        <v>55600000</v>
      </c>
      <c r="D8" s="4">
        <f>'RentRoll'!$C$20*1</f>
        <v/>
      </c>
      <c r="E8">
        <f>IF(ABS(C8-D8)&lt;=0.01+0.041*(1&gt;1),"OK","KO")</f>
        <v/>
      </c>
    </row>
    <row r="9">
      <c r="B9" t="inlineStr">
        <is>
          <t>loi_cap_pct</t>
        </is>
      </c>
      <c r="C9" s="4" t="n">
        <v>6.02</v>
      </c>
      <c r="D9" s="4">
        <f>'RentRoll'!$C$21*100</f>
        <v/>
      </c>
      <c r="E9">
        <f>IF(ABS(C9-D9)&lt;=0.01+0.041*(100&gt;1),"OK","KO")</f>
        <v/>
      </c>
    </row>
    <row r="10">
      <c r="B10" t="inlineStr">
        <is>
          <t>cap_rate_pct</t>
        </is>
      </c>
      <c r="C10" s="4" t="n">
        <v>6.07</v>
      </c>
      <c r="D10" s="4">
        <f>'RentRoll'!$C$22*100</f>
        <v/>
      </c>
      <c r="E10">
        <f>IF(ABS(C10-D10)&lt;=0.01+0.041*(100&gt;1),"OK","KO")</f>
        <v/>
      </c>
    </row>
    <row r="11">
      <c r="B11" t="inlineStr">
        <is>
          <t>loi_price_psf</t>
        </is>
      </c>
      <c r="C11" s="4" t="n">
        <v>135.92</v>
      </c>
      <c r="D11" s="4">
        <f>'RentRoll'!$C$23*1</f>
        <v/>
      </c>
      <c r="E11">
        <f>IF(ABS(C11-D11)&lt;=0.01+0.041*(1&gt;1),"OK","KO")</f>
        <v/>
      </c>
    </row>
    <row r="12">
      <c r="B12" t="inlineStr">
        <is>
          <t>dd_cost_total</t>
        </is>
      </c>
      <c r="C12" s="4" t="n">
        <v>381800</v>
      </c>
      <c r="D12" s="4">
        <f>'AtRisk'!$C$15*1</f>
        <v/>
      </c>
      <c r="E12">
        <f>IF(ABS(C12-D12)&lt;=0.01+0.041*(1&gt;1),"OK","KO")</f>
        <v/>
      </c>
    </row>
    <row r="13">
      <c r="B13" t="inlineStr">
        <is>
          <t>at_risk_after_hard</t>
        </is>
      </c>
      <c r="C13" s="4" t="n">
        <v>1881800</v>
      </c>
      <c r="D13" s="4">
        <f>'AtRisk'!$C$20*1</f>
        <v/>
      </c>
      <c r="E13">
        <f>IF(ABS(C13-D13)&lt;=0.01+0.041*(1&gt;1),"OK","KO")</f>
        <v/>
      </c>
    </row>
    <row r="14">
      <c r="B14" t="inlineStr">
        <is>
          <t>at_risk_after_extension</t>
        </is>
      </c>
      <c r="C14" s="4" t="n">
        <v>2131800</v>
      </c>
      <c r="D14" s="4">
        <f>'AtRisk'!$C$21*1</f>
        <v/>
      </c>
      <c r="E14">
        <f>IF(ABS(C14-D14)&lt;=0.01+0.041*(1&gt;1),"OK","KO")</f>
        <v/>
      </c>
    </row>
    <row r="15">
      <c r="B15" t="inlineStr">
        <is>
          <t>dd_cost_pct_deposit</t>
        </is>
      </c>
      <c r="C15" s="4" t="n">
        <v>25.5</v>
      </c>
      <c r="D15" s="4">
        <f>'AtRisk'!$C$18*100</f>
        <v/>
      </c>
      <c r="E15">
        <f>IF(ABS(C15-D15)&lt;=0.01+0.041*(100&gt;1),"OK","KO")</f>
        <v/>
      </c>
    </row>
    <row r="16">
      <c r="B16" t="inlineStr">
        <is>
          <t>deposit_pct</t>
        </is>
      </c>
      <c r="C16" s="4" t="n">
        <v>2.7</v>
      </c>
      <c r="D16" s="4">
        <f>'AtRisk'!$C$23*100</f>
        <v/>
      </c>
      <c r="E16">
        <f>IF(ABS(C16-D16)&lt;=0.01+0.041*(100&gt;1),"OK","KO")</f>
        <v/>
      </c>
    </row>
    <row r="17">
      <c r="B17" t="inlineStr">
        <is>
          <t>remediation_mid</t>
        </is>
      </c>
      <c r="C17" s="4" t="n">
        <v>415000</v>
      </c>
      <c r="D17" s="4">
        <f>'ReTrade'!$C$4*1</f>
        <v/>
      </c>
      <c r="E17">
        <f>IF(ABS(C17-D17)&lt;=0.01+0.041*(1&gt;1),"OK","KO")</f>
        <v/>
      </c>
    </row>
    <row r="18">
      <c r="B18" t="inlineStr">
        <is>
          <t>escrow_alt</t>
        </is>
      </c>
      <c r="C18" s="4" t="n">
        <v>650000</v>
      </c>
      <c r="D18" s="4">
        <f>'ReTrade'!$C$5*1</f>
        <v/>
      </c>
      <c r="E18">
        <f>IF(ABS(C18-D18)&lt;=0.01+0.041*(1&gt;1),"OK","KO")</f>
        <v/>
      </c>
    </row>
    <row r="19">
      <c r="B19" t="inlineStr">
        <is>
          <t>price_cut_pct</t>
        </is>
      </c>
      <c r="C19" s="4" t="n">
        <v>0.71</v>
      </c>
      <c r="D19" s="4">
        <f>'ReTrade'!$C$7*100</f>
        <v/>
      </c>
      <c r="E19">
        <f>IF(ABS(C19-D19)&lt;=0.01+0.041*(100&gt;1),"OK","KO")</f>
        <v/>
      </c>
    </row>
    <row r="20">
      <c r="B20" t="inlineStr">
        <is>
          <t>corvid_shortfall_annual</t>
        </is>
      </c>
      <c r="C20" s="4" t="n">
        <v>32300</v>
      </c>
      <c r="D20" s="4">
        <f>'Claim'!$C$7*1</f>
        <v/>
      </c>
      <c r="E20">
        <f>IF(ABS(C20-D20)&lt;=0.01+0.041*(1&gt;1),"OK","KO")</f>
        <v/>
      </c>
    </row>
    <row r="21">
      <c r="B21" t="inlineStr">
        <is>
          <t>corvid_shortfall_term</t>
        </is>
      </c>
      <c r="C21" s="4" t="n">
        <v>208604</v>
      </c>
      <c r="D21" s="4">
        <f>'Claim'!$C$10*1</f>
        <v/>
      </c>
      <c r="E21">
        <f>IF(ABS(C21-D21)&lt;=0.01+0.041*(1&gt;1),"OK","KO")</f>
        <v/>
      </c>
    </row>
    <row r="22">
      <c r="B22" t="inlineStr">
        <is>
          <t>corvid_value_loss</t>
        </is>
      </c>
      <c r="C22" s="4" t="n">
        <v>538333</v>
      </c>
      <c r="D22" s="4">
        <f>'Claim'!$C$12*1</f>
        <v/>
      </c>
      <c r="E22">
        <f>IF(ABS(C22-D22)&lt;=0.01+0.041*(1&gt;1),"OK","KO")</f>
        <v/>
      </c>
    </row>
    <row r="23">
      <c r="B23" t="inlineStr">
        <is>
          <t>rep_cap</t>
        </is>
      </c>
      <c r="C23" s="4" t="n">
        <v>1112000</v>
      </c>
      <c r="D23" s="4">
        <f>'Claim'!$C$13*1</f>
        <v/>
      </c>
      <c r="E23">
        <f>IF(ABS(C23-D23)&lt;=0.01+0.041*(1&gt;1),"OK","KO")</f>
        <v/>
      </c>
    </row>
    <row r="24">
      <c r="B24" t="inlineStr">
        <is>
          <t>claim_rent_deductible</t>
        </is>
      </c>
      <c r="C24" s="4" t="n">
        <v>133604</v>
      </c>
      <c r="D24" s="4">
        <f>'Claim'!$C$15*1</f>
        <v/>
      </c>
      <c r="E24">
        <f>IF(ABS(C24-D24)&lt;=0.01+0.041*(1&gt;1),"OK","KO")</f>
        <v/>
      </c>
    </row>
    <row r="25">
      <c r="B25" t="inlineStr">
        <is>
          <t>claim_value_deductible</t>
        </is>
      </c>
      <c r="C25" s="4" t="n">
        <v>463333</v>
      </c>
      <c r="D25" s="4">
        <f>'Claim'!$C$19*1</f>
        <v/>
      </c>
      <c r="E25">
        <f>IF(ABS(C25-D25)&lt;=0.01+0.041*(1&gt;1),"OK","KO")</f>
        <v/>
      </c>
    </row>
    <row r="26">
      <c r="B26" t="inlineStr">
        <is>
          <t>claim_value_tipping</t>
        </is>
      </c>
      <c r="C26" s="4" t="n">
        <v>538333</v>
      </c>
      <c r="D26" s="4">
        <f>'Claim'!$C$20*1</f>
        <v/>
      </c>
      <c r="E26">
        <f>IF(ABS(C26-D26)&lt;=0.01+0.041*(1&gt;1),"OK","KO")</f>
        <v/>
      </c>
    </row>
    <row r="27">
      <c r="B27" t="inlineStr">
        <is>
          <t>arden_1usd_value</t>
        </is>
      </c>
      <c r="C27" s="4" t="n">
        <v>1600000</v>
      </c>
      <c r="D27" s="4">
        <f>'Claim'!$C$27*1</f>
        <v/>
      </c>
      <c r="E27">
        <f>IF(ABS(C27-D27)&lt;=0.01+0.041*(1&gt;1),"OK","KO")</f>
        <v/>
      </c>
    </row>
    <row r="28">
      <c r="B28" t="inlineStr">
        <is>
          <t>corvid_pv_term</t>
        </is>
      </c>
      <c r="C28" s="4" t="n">
        <v>172586</v>
      </c>
      <c r="D28" s="4">
        <f>'Claim'!$C$11*1</f>
        <v/>
      </c>
      <c r="E28">
        <f>IF(ABS(C28-D28)&lt;=0.01+0.041*(1&gt;1),"OK","KO")</f>
        <v/>
      </c>
    </row>
    <row r="29">
      <c r="B29" t="inlineStr">
        <is>
          <t>claim_rent_tipping</t>
        </is>
      </c>
      <c r="C29" s="4" t="n">
        <v>208604</v>
      </c>
      <c r="D29" s="4">
        <f>'Claim'!$C$16*1</f>
        <v/>
      </c>
      <c r="E29">
        <f>IF(ABS(C29-D29)&lt;=0.01+0.041*(1&gt;1),"OK","KO")</f>
        <v/>
      </c>
    </row>
    <row r="30">
      <c r="B30" t="inlineStr">
        <is>
          <t>claim_pv_deductible</t>
        </is>
      </c>
      <c r="C30" s="4" t="n">
        <v>97586</v>
      </c>
      <c r="D30" s="4">
        <f>'Claim'!$C$17*1</f>
        <v/>
      </c>
      <c r="E30">
        <f>IF(ABS(C30-D30)&lt;=0.01+0.041*(1&gt;1),"OK","KO")</f>
        <v/>
      </c>
    </row>
    <row r="31">
      <c r="B31" t="inlineStr">
        <is>
          <t>claim_pv_tipping</t>
        </is>
      </c>
      <c r="C31" s="4" t="n">
        <v>172586</v>
      </c>
      <c r="D31" s="4">
        <f>'Claim'!$C$18*1</f>
        <v/>
      </c>
      <c r="E31">
        <f>IF(ABS(C31-D31)&lt;=0.01+0.041*(1&gt;1),"OK","KO")</f>
        <v/>
      </c>
    </row>
    <row r="32">
      <c r="B32" t="inlineStr">
        <is>
          <t>arden_1usd_pv</t>
        </is>
      </c>
      <c r="C32" s="4" t="n">
        <v>491044</v>
      </c>
      <c r="D32" s="4">
        <f>'Claim'!$C$26*1</f>
        <v/>
      </c>
      <c r="E32">
        <f>IF(ABS(C32-D32)&lt;=0.01+0.041*(1&gt;1),"OK","KO")</f>
        <v/>
      </c>
    </row>
    <row r="33">
      <c r="B33" t="inlineStr">
        <is>
          <t>corvid_monthly_gap</t>
        </is>
      </c>
      <c r="C33" s="4" t="n">
        <v>2691.67</v>
      </c>
      <c r="D33" s="4">
        <f>'Claim'!$C$8*1</f>
        <v/>
      </c>
      <c r="E33">
        <f>IF(ABS(C33-D33)&lt;=0.01+0.041*(1&gt;1),"OK","KO")</f>
        <v/>
      </c>
    </row>
    <row r="34">
      <c r="B34" t="inlineStr">
        <is>
          <t>mesa_buyer_may</t>
        </is>
      </c>
      <c r="C34" s="4" t="n">
        <v>9314.52</v>
      </c>
      <c r="D34" s="4">
        <f>'Prorations'!$C$26*1</f>
        <v/>
      </c>
      <c r="E34">
        <f>IF(ABS(C34-D34)&lt;=0.01+0.041*(1&gt;1),"OK","KO")</f>
        <v/>
      </c>
    </row>
    <row r="35">
      <c r="B35" t="inlineStr">
        <is>
          <t>mesa_seller_arrears</t>
        </is>
      </c>
      <c r="C35" s="4" t="n">
        <v>48435.48</v>
      </c>
      <c r="D35" s="4">
        <f>'Prorations'!$C$27*1</f>
        <v/>
      </c>
      <c r="E35">
        <f>IF(ABS(C35-D35)&lt;=0.01+0.041*(1&gt;1),"OK","KO")</f>
        <v/>
      </c>
    </row>
    <row r="36">
      <c r="B36" t="inlineStr">
        <is>
          <t>c3_pv</t>
        </is>
      </c>
      <c r="C36" s="4" t="n">
        <v>56121</v>
      </c>
      <c r="D36" s="4">
        <f>'Cases'!$C$31*1</f>
        <v/>
      </c>
      <c r="E36">
        <f>IF(ABS(C36-D36)&lt;=0.01+0.041*(1&gt;1),"OK","KO")</f>
        <v/>
      </c>
    </row>
    <row r="37">
      <c r="B37" t="inlineStr">
        <is>
          <t>buyer_days</t>
        </is>
      </c>
      <c r="C37" s="4" t="n">
        <v>15</v>
      </c>
      <c r="D37" s="4">
        <f>'Prorations'!$C$5*1</f>
        <v/>
      </c>
      <c r="E37">
        <f>IF(ABS(C37-D37)&lt;=0.01+0.041*(1&gt;1),"OK","KO")</f>
        <v/>
      </c>
    </row>
    <row r="38">
      <c r="B38" t="inlineStr">
        <is>
          <t>seller_days</t>
        </is>
      </c>
      <c r="C38" s="4" t="n">
        <v>16</v>
      </c>
      <c r="D38" s="4">
        <f>'Prorations'!$C$6*1</f>
        <v/>
      </c>
      <c r="E38">
        <f>IF(ABS(C38-D38)&lt;=0.01+0.041*(1&gt;1),"OK","KO")</f>
        <v/>
      </c>
    </row>
    <row r="39">
      <c r="B39" t="inlineStr">
        <is>
          <t>seller_days_2027</t>
        </is>
      </c>
      <c r="C39" s="4" t="n">
        <v>136</v>
      </c>
      <c r="D39" s="4">
        <f>'Prorations'!$C$7*1</f>
        <v/>
      </c>
      <c r="E39">
        <f>IF(ABS(C39-D39)&lt;=0.01+0.041*(1&gt;1),"OK","KO")</f>
        <v/>
      </c>
    </row>
    <row r="40">
      <c r="B40" t="inlineStr">
        <is>
          <t>may_rent_collected</t>
        </is>
      </c>
      <c r="C40" s="4" t="n">
        <v>239600</v>
      </c>
      <c r="D40" s="4">
        <f>'Prorations'!$C$9*1</f>
        <v/>
      </c>
      <c r="E40">
        <f>IF(ABS(C40-D40)&lt;=0.01+0.041*(1&gt;1),"OK","KO")</f>
        <v/>
      </c>
    </row>
    <row r="41">
      <c r="B41" t="inlineStr">
        <is>
          <t>one_day_rent</t>
        </is>
      </c>
      <c r="C41" s="4" t="n">
        <v>7729.03</v>
      </c>
      <c r="D41" s="4">
        <f>'Prorations'!$C$10*1</f>
        <v/>
      </c>
      <c r="E41">
        <f>IF(ABS(C41-D41)&lt;=0.01+0.041*(1&gt;1),"OK","KO")</f>
        <v/>
      </c>
    </row>
    <row r="42">
      <c r="B42" t="inlineStr">
        <is>
          <t>rent_proration_credit</t>
        </is>
      </c>
      <c r="C42" s="4" t="n">
        <v>115935.48</v>
      </c>
      <c r="D42" s="4">
        <f>'Prorations'!$C$13*1</f>
        <v/>
      </c>
      <c r="E42">
        <f>IF(ABS(C42-D42)&lt;=0.01+0.041*(1&gt;1),"OK","KO")</f>
        <v/>
      </c>
    </row>
    <row r="43">
      <c r="B43" t="inlineStr">
        <is>
          <t>may_recoveries_collected</t>
        </is>
      </c>
      <c r="C43" s="4" t="n">
        <v>89500</v>
      </c>
      <c r="D43" s="4">
        <f>'Prorations'!$C$11*1</f>
        <v/>
      </c>
      <c r="E43">
        <f>IF(ABS(C43-D43)&lt;=0.01+0.041*(1&gt;1),"OK","KO")</f>
        <v/>
      </c>
    </row>
    <row r="44">
      <c r="B44" t="inlineStr">
        <is>
          <t>recovery_proration_credit</t>
        </is>
      </c>
      <c r="C44" s="4" t="n">
        <v>43306.45</v>
      </c>
      <c r="D44" s="4">
        <f>'Prorations'!$C$14*1</f>
        <v/>
      </c>
      <c r="E44">
        <f>IF(ABS(C44-D44)&lt;=0.01+0.041*(1&gt;1),"OK","KO")</f>
        <v/>
      </c>
    </row>
    <row r="45">
      <c r="B45" t="inlineStr">
        <is>
          <t>tax_2026</t>
        </is>
      </c>
      <c r="C45" s="4" t="n">
        <v>679800</v>
      </c>
      <c r="D45" s="4">
        <f>'Prorations'!$C$15*1</f>
        <v/>
      </c>
      <c r="E45">
        <f>IF(ABS(C45-D45)&lt;=0.01+0.041*(1&gt;1),"OK","KO")</f>
        <v/>
      </c>
    </row>
    <row r="46">
      <c r="B46" t="inlineStr">
        <is>
          <t>tax_2027_accrued</t>
        </is>
      </c>
      <c r="C46" s="4" t="n">
        <v>260971</v>
      </c>
      <c r="D46" s="4">
        <f>'Prorations'!$C$16*1</f>
        <v/>
      </c>
      <c r="E46">
        <f>IF(ABS(C46-D46)&lt;=0.01+0.041*(1&gt;1),"OK","KO")</f>
        <v/>
      </c>
    </row>
    <row r="47">
      <c r="B47" t="inlineStr">
        <is>
          <t>tax_credit_total</t>
        </is>
      </c>
      <c r="C47" s="4" t="n">
        <v>940771</v>
      </c>
      <c r="D47" s="4">
        <f>'Prorations'!$C$24*1</f>
        <v/>
      </c>
      <c r="E47">
        <f>IF(ABS(C47-D47)&lt;=0.01+0.041*(1&gt;1),"OK","KO")</f>
        <v/>
      </c>
    </row>
    <row r="48">
      <c r="B48" t="inlineStr">
        <is>
          <t>security_deposits_cash</t>
        </is>
      </c>
      <c r="C48" s="4" t="n">
        <v>454000</v>
      </c>
      <c r="D48" s="4">
        <f>'Prorations'!$C$17*1</f>
        <v/>
      </c>
      <c r="E48">
        <f>IF(ABS(C48-D48)&lt;=0.01+0.041*(1&gt;1),"OK","KO")</f>
        <v/>
      </c>
    </row>
    <row r="49">
      <c r="B49" t="inlineStr">
        <is>
          <t>free_rent_credit</t>
        </is>
      </c>
      <c r="C49" s="4" t="n">
        <v>48670.97</v>
      </c>
      <c r="D49" s="4">
        <f>'Prorations'!$C$18*1</f>
        <v/>
      </c>
      <c r="E49">
        <f>IF(ABS(C49-D49)&lt;=0.01+0.041*(1&gt;1),"OK","KO")</f>
        <v/>
      </c>
    </row>
    <row r="50">
      <c r="B50" t="inlineStr">
        <is>
          <t>leasing_cost_credit</t>
        </is>
      </c>
      <c r="C50" s="4" t="n">
        <v>389500</v>
      </c>
      <c r="D50" s="4">
        <f>'Prorations'!$C$19*1</f>
        <v/>
      </c>
      <c r="E50">
        <f>IF(ABS(C50-D50)&lt;=0.01+0.041*(1&gt;1),"OK","KO")</f>
        <v/>
      </c>
    </row>
    <row r="51">
      <c r="B51" t="inlineStr">
        <is>
          <t>free_rent_and_leasing_credit</t>
        </is>
      </c>
      <c r="C51" s="4" t="n">
        <v>438170.97</v>
      </c>
      <c r="D51" s="4">
        <f>'Prorations'!$C$23*1</f>
        <v/>
      </c>
      <c r="E51">
        <f>IF(ABS(C51-D51)&lt;=0.01+0.041*(1&gt;1),"OK","KO")</f>
        <v/>
      </c>
    </row>
    <row r="52">
      <c r="B52" t="inlineStr">
        <is>
          <t>prepaid_rent</t>
        </is>
      </c>
      <c r="C52" s="4" t="n">
        <v>12600</v>
      </c>
      <c r="D52" s="4">
        <f>'Prorations'!$C$20*1</f>
        <v/>
      </c>
      <c r="E52">
        <f>IF(ABS(C52-D52)&lt;=0.01+0.041*(1&gt;1),"OK","KO")</f>
        <v/>
      </c>
    </row>
    <row r="53">
      <c r="B53" t="inlineStr">
        <is>
          <t>prorations_total</t>
        </is>
      </c>
      <c r="C53" s="4" t="n">
        <v>2004783.9</v>
      </c>
      <c r="D53" s="4">
        <f>'Prorations'!$C$21*1</f>
        <v/>
      </c>
      <c r="E53">
        <f>IF(ABS(C53-D53)&lt;=0.01+0.041*(1&gt;1),"OK","KO")</f>
        <v/>
      </c>
    </row>
    <row r="54">
      <c r="B54" t="inlineStr">
        <is>
          <t>mesa_arrears</t>
        </is>
      </c>
      <c r="C54" s="4" t="n">
        <v>57750</v>
      </c>
      <c r="D54" s="4">
        <f>'Prorations'!$C$25*1</f>
        <v/>
      </c>
      <c r="E54">
        <f>IF(ABS(C54-D54)&lt;=0.01+0.041*(1&gt;1),"OK","KO")</f>
        <v/>
      </c>
    </row>
    <row r="55">
      <c r="B55" t="inlineStr">
        <is>
          <t>recon_deficit_2027</t>
        </is>
      </c>
      <c r="C55" s="4" t="n">
        <v>57000</v>
      </c>
      <c r="D55" s="4">
        <f>'Prorations'!$C$29*1</f>
        <v/>
      </c>
      <c r="E55">
        <f>IF(ABS(C55-D55)&lt;=0.01+0.041*(1&gt;1),"OK","KO")</f>
        <v/>
      </c>
    </row>
    <row r="56">
      <c r="B56" t="inlineStr">
        <is>
          <t>recon_seller_share</t>
        </is>
      </c>
      <c r="C56" s="4" t="n">
        <v>21238</v>
      </c>
      <c r="D56" s="4">
        <f>'Prorations'!$C$30*1</f>
        <v/>
      </c>
      <c r="E56">
        <f>IF(ABS(C56-D56)&lt;=0.01+0.041*(1&gt;1),"OK","KO")</f>
        <v/>
      </c>
    </row>
    <row r="57">
      <c r="B57" t="inlineStr">
        <is>
          <t>transfer_tax</t>
        </is>
      </c>
      <c r="C57" s="4" t="n">
        <v>222400</v>
      </c>
      <c r="D57" s="4">
        <f>'Closing'!$C$14*1</f>
        <v/>
      </c>
      <c r="E57">
        <f>IF(ABS(C57-D57)&lt;=0.01+0.041*(1&gt;1),"OK","KO")</f>
        <v/>
      </c>
    </row>
    <row r="58">
      <c r="B58" t="inlineStr">
        <is>
          <t>broker_commission</t>
        </is>
      </c>
      <c r="C58" s="4" t="n">
        <v>695000</v>
      </c>
      <c r="D58" s="4">
        <f>'Closing'!$C$17*1</f>
        <v/>
      </c>
      <c r="E58">
        <f>IF(ABS(C58-D58)&lt;=0.01+0.041*(1&gt;1),"OK","KO")</f>
        <v/>
      </c>
    </row>
    <row r="59">
      <c r="B59" t="inlineStr">
        <is>
          <t>buyer_loan</t>
        </is>
      </c>
      <c r="C59" s="4" t="n">
        <v>33360000</v>
      </c>
      <c r="D59" s="4">
        <f>'Closing'!$C$9*1</f>
        <v/>
      </c>
      <c r="E59">
        <f>IF(ABS(C59-D59)&lt;=0.01+0.041*(1&gt;1),"OK","KO")</f>
        <v/>
      </c>
    </row>
    <row r="60">
      <c r="B60" t="inlineStr">
        <is>
          <t>loan_origination</t>
        </is>
      </c>
      <c r="C60" s="4" t="n">
        <v>166800</v>
      </c>
      <c r="D60" s="4">
        <f>'Closing'!$C$10*1</f>
        <v/>
      </c>
      <c r="E60">
        <f>IF(ABS(C60-D60)&lt;=0.01+0.041*(1&gt;1),"OK","KO")</f>
        <v/>
      </c>
    </row>
    <row r="61">
      <c r="B61" t="inlineStr">
        <is>
          <t>buyer_costs_total</t>
        </is>
      </c>
      <c r="C61" s="4" t="n">
        <v>238600</v>
      </c>
      <c r="D61" s="4">
        <f>'Closing'!$C$11*1</f>
        <v/>
      </c>
      <c r="E61">
        <f>IF(ABS(C61-D61)&lt;=0.01+0.041*(1&gt;1),"OK","KO")</f>
        <v/>
      </c>
    </row>
    <row r="62">
      <c r="B62" t="inlineStr">
        <is>
          <t>seller_costs_total</t>
        </is>
      </c>
      <c r="C62" s="4" t="n">
        <v>1042400</v>
      </c>
      <c r="D62" s="4">
        <f>'Closing'!$C$19*1</f>
        <v/>
      </c>
      <c r="E62">
        <f>IF(ABS(C62-D62)&lt;=0.01+0.041*(1&gt;1),"OK","KO")</f>
        <v/>
      </c>
    </row>
    <row r="63">
      <c r="B63" t="inlineStr">
        <is>
          <t>buyer_cash_due</t>
        </is>
      </c>
      <c r="C63" s="4" t="n">
        <v>18873816.1</v>
      </c>
      <c r="D63" s="4">
        <f>'Closing'!$C$28*1</f>
        <v/>
      </c>
      <c r="E63">
        <f>IF(ABS(C63-D63)&lt;=0.01+0.041*(1&gt;1),"OK","KO")</f>
        <v/>
      </c>
    </row>
    <row r="64">
      <c r="B64" t="inlineStr">
        <is>
          <t>buyer_equity_total</t>
        </is>
      </c>
      <c r="C64" s="4" t="n">
        <v>20373816.1</v>
      </c>
      <c r="D64" s="4">
        <f>'Closing'!$C$29*1</f>
        <v/>
      </c>
      <c r="E64">
        <f>IF(ABS(C64-D64)&lt;=0.01+0.041*(1&gt;1),"OK","KO")</f>
        <v/>
      </c>
    </row>
    <row r="65">
      <c r="B65" t="inlineStr">
        <is>
          <t>naive_equity</t>
        </is>
      </c>
      <c r="C65" s="4" t="n">
        <v>22240000</v>
      </c>
      <c r="D65" s="4">
        <f>'Closing'!$C$30*1</f>
        <v/>
      </c>
      <c r="E65">
        <f>IF(ABS(C65-D65)&lt;=0.01+0.041*(1&gt;1),"OK","KO")</f>
        <v/>
      </c>
    </row>
    <row r="66">
      <c r="B66" t="inlineStr">
        <is>
          <t>credits_ex_deposit</t>
        </is>
      </c>
      <c r="C66" s="4" t="n">
        <v>2104783.9</v>
      </c>
      <c r="D66" s="4">
        <f>'Closing'!$C$31*1</f>
        <v/>
      </c>
      <c r="E66">
        <f>IF(ABS(C66-D66)&lt;=0.01+0.041*(1&gt;1),"OK","KO")</f>
        <v/>
      </c>
    </row>
    <row r="67">
      <c r="B67" t="inlineStr">
        <is>
          <t>credits_ex_deposit_pct</t>
        </is>
      </c>
      <c r="C67" s="4" t="n">
        <v>3.79</v>
      </c>
      <c r="D67" s="4">
        <f>'Closing'!$C$32*100</f>
        <v/>
      </c>
      <c r="E67">
        <f>IF(ABS(C67-D67)&lt;=0.01+0.041*(100&gt;1),"OK","KO")</f>
        <v/>
      </c>
    </row>
    <row r="68">
      <c r="B68" t="inlineStr">
        <is>
          <t>seller_net_before_payoff</t>
        </is>
      </c>
      <c r="C68" s="4" t="n">
        <v>52452816.1</v>
      </c>
      <c r="D68" s="4">
        <f>'Closing'!$C$35*1</f>
        <v/>
      </c>
      <c r="E68">
        <f>IF(ABS(C68-D68)&lt;=0.01+0.041*(1&gt;1),"OK","KO")</f>
        <v/>
      </c>
    </row>
    <row r="69">
      <c r="B69" t="inlineStr">
        <is>
          <t>seller_net_after_payoff</t>
        </is>
      </c>
      <c r="C69" s="4" t="n">
        <v>31052816.1</v>
      </c>
      <c r="D69" s="4">
        <f>'Closing'!$C$36*1</f>
        <v/>
      </c>
      <c r="E69">
        <f>IF(ABS(C69-D69)&lt;=0.01+0.041*(1&gt;1),"OK","KO")</f>
        <v/>
      </c>
    </row>
    <row r="70">
      <c r="B70" t="inlineStr">
        <is>
          <t>seller_cash_after_holdback</t>
        </is>
      </c>
      <c r="C70" s="4" t="n">
        <v>30302816.1</v>
      </c>
      <c r="D70" s="4">
        <f>'Closing'!$C$37*1</f>
        <v/>
      </c>
      <c r="E70">
        <f>IF(ABS(C70-D70)&lt;=0.01+0.041*(1&gt;1),"OK","KO")</f>
        <v/>
      </c>
    </row>
    <row r="71">
      <c r="B71" t="inlineStr">
        <is>
          <t>sources_total</t>
        </is>
      </c>
      <c r="C71" s="4" t="n">
        <v>53733816.1</v>
      </c>
      <c r="D71" s="4">
        <f>'Closing'!$C$40*1</f>
        <v/>
      </c>
      <c r="E71">
        <f>IF(ABS(C71-D71)&lt;=0.01+0.041*(1&gt;1),"OK","KO")</f>
        <v/>
      </c>
    </row>
    <row r="72">
      <c r="B72" t="inlineStr">
        <is>
          <t>uses_total</t>
        </is>
      </c>
      <c r="C72" s="4" t="n">
        <v>53733816.1</v>
      </c>
      <c r="D72" s="4">
        <f>'Closing'!$C$41*1</f>
        <v/>
      </c>
      <c r="E72">
        <f>IF(ABS(C72-D72)&lt;=0.01+0.041*(1&gt;1),"OK","KO")</f>
        <v/>
      </c>
    </row>
    <row r="73">
      <c r="B73" t="inlineStr">
        <is>
          <t>casualty_threshold</t>
        </is>
      </c>
      <c r="C73" s="4" t="n">
        <v>2780000</v>
      </c>
      <c r="D73" s="4">
        <f>'Casualty_Remedies'!$C$4*1</f>
        <v/>
      </c>
      <c r="E73">
        <f>IF(ABS(C73-D73)&lt;=0.01+0.041*(1&gt;1),"OK","KO")</f>
        <v/>
      </c>
    </row>
    <row r="74">
      <c r="B74" t="inlineStr">
        <is>
          <t>seller_loss_on_drop</t>
        </is>
      </c>
      <c r="C74" s="4" t="n">
        <v>2780000</v>
      </c>
      <c r="D74" s="4">
        <f>'Casualty_Remedies'!$C$8*1</f>
        <v/>
      </c>
      <c r="E74">
        <f>IF(ABS(C74-D74)&lt;=0.01+0.041*(1&gt;1),"OK","KO")</f>
        <v/>
      </c>
    </row>
    <row r="75">
      <c r="B75" t="inlineStr">
        <is>
          <t>ld_vs_drop_gap</t>
        </is>
      </c>
      <c r="C75" s="4" t="n">
        <v>1280000</v>
      </c>
      <c r="D75" s="4">
        <f>'Casualty_Remedies'!$C$9*1</f>
        <v/>
      </c>
      <c r="E75">
        <f>IF(ABS(C75-D75)&lt;=0.01+0.041*(1&gt;1),"OK","KO")</f>
        <v/>
      </c>
    </row>
    <row r="76">
      <c r="B76" t="inlineStr">
        <is>
          <t>buyer_unreimbursed</t>
        </is>
      </c>
      <c r="C76" s="4" t="n">
        <v>131800</v>
      </c>
      <c r="D76" s="4">
        <f>'Casualty_Remedies'!$C$10*1</f>
        <v/>
      </c>
      <c r="E76">
        <f>IF(ABS(C76-D76)&lt;=0.01+0.041*(1&gt;1),"OK","KO")</f>
        <v/>
      </c>
    </row>
    <row r="77">
      <c r="B77" t="inlineStr">
        <is>
          <t>firpta_hypothetical</t>
        </is>
      </c>
      <c r="C77" s="4" t="n">
        <v>8340000</v>
      </c>
      <c r="D77" s="4">
        <f>'Exchange_Tax'!$C$8*1</f>
        <v/>
      </c>
      <c r="E77">
        <f>IF(ABS(C77-D77)&lt;=0.01+0.041*(1&gt;1),"OK","KO")</f>
        <v/>
      </c>
    </row>
    <row r="78">
      <c r="B78" t="inlineStr">
        <is>
          <t>signing_to_closing_days</t>
        </is>
      </c>
      <c r="C78" s="4" t="n">
        <v>77</v>
      </c>
      <c r="D78" s="4">
        <f>'Timeline'!$C$14*1</f>
        <v/>
      </c>
      <c r="E78">
        <f>IF(ABS(C78-D78)&lt;=0.01+0.041*(1&gt;1),"OK","KO")</f>
        <v/>
      </c>
    </row>
    <row r="79">
      <c r="B79" t="inlineStr">
        <is>
          <t>c1_after</t>
        </is>
      </c>
      <c r="C79" s="4" t="n">
        <v>1290000</v>
      </c>
      <c r="D79" s="4">
        <f>'Cases'!$C$11*1</f>
        <v/>
      </c>
      <c r="E79">
        <f>IF(ABS(C79-D79)&lt;=0.01+0.041*(1&gt;1),"OK","KO")</f>
        <v/>
      </c>
    </row>
    <row r="80">
      <c r="B80" t="inlineStr">
        <is>
          <t>c1_gap</t>
        </is>
      </c>
      <c r="C80" s="4" t="n">
        <v>140000</v>
      </c>
      <c r="D80" s="4">
        <f>'Cases'!$C$12*1</f>
        <v/>
      </c>
      <c r="E80">
        <f>IF(ABS(C80-D80)&lt;=0.01+0.041*(1&gt;1),"OK","KO")</f>
        <v/>
      </c>
    </row>
    <row r="81">
      <c r="B81" t="inlineStr">
        <is>
          <t>c1_uncomp</t>
        </is>
      </c>
      <c r="C81" s="4" t="n">
        <v>600000</v>
      </c>
      <c r="D81" s="4">
        <f>'Cases'!$C$13*1</f>
        <v/>
      </c>
      <c r="E81">
        <f>IF(ABS(C81-D81)&lt;=0.01+0.041*(1&gt;1),"OK","KO")</f>
        <v/>
      </c>
    </row>
    <row r="82">
      <c r="B82" t="inlineStr">
        <is>
          <t>c2_buyer_days</t>
        </is>
      </c>
      <c r="C82" s="4" t="n">
        <v>21</v>
      </c>
      <c r="D82" s="4">
        <f>'Cases'!$C$17*1</f>
        <v/>
      </c>
      <c r="E82">
        <f>IF(ABS(C82-D82)&lt;=0.01+0.041*(1&gt;1),"OK","KO")</f>
        <v/>
      </c>
    </row>
    <row r="83">
      <c r="B83" t="inlineStr">
        <is>
          <t>c2_rent_credit</t>
        </is>
      </c>
      <c r="C83" s="4" t="n">
        <v>126000</v>
      </c>
      <c r="D83" s="4">
        <f>'Cases'!$C$18*1</f>
        <v/>
      </c>
      <c r="E83">
        <f>IF(ABS(C83-D83)&lt;=0.01+0.041*(1&gt;1),"OK","KO")</f>
        <v/>
      </c>
    </row>
    <row r="84">
      <c r="B84" t="inlineStr">
        <is>
          <t>c2_tax_acc</t>
        </is>
      </c>
      <c r="C84" s="4" t="n">
        <v>189370</v>
      </c>
      <c r="D84" s="4">
        <f>'Cases'!$C$20*1</f>
        <v/>
      </c>
      <c r="E84">
        <f>IF(ABS(C84-D84)&lt;=0.01+0.041*(1&gt;1),"OK","KO")</f>
        <v/>
      </c>
    </row>
    <row r="85">
      <c r="B85" t="inlineStr">
        <is>
          <t>c2_free_credit</t>
        </is>
      </c>
      <c r="C85" s="4" t="n">
        <v>25500</v>
      </c>
      <c r="D85" s="4">
        <f>'Cases'!$C$21*1</f>
        <v/>
      </c>
      <c r="E85">
        <f>IF(ABS(C85-D85)&lt;=0.01+0.041*(1&gt;1),"OK","KO")</f>
        <v/>
      </c>
    </row>
    <row r="86">
      <c r="B86" t="inlineStr">
        <is>
          <t>c2_total</t>
        </is>
      </c>
      <c r="C86" s="4" t="n">
        <v>970870</v>
      </c>
      <c r="D86" s="4">
        <f>'Cases'!$C$23*1</f>
        <v/>
      </c>
      <c r="E86">
        <f>IF(ABS(C86-D86)&lt;=0.01+0.041*(1&gt;1),"OK","KO")</f>
        <v/>
      </c>
    </row>
    <row r="87">
      <c r="B87" t="inlineStr">
        <is>
          <t>c2_wrong_convention_rent</t>
        </is>
      </c>
      <c r="C87" s="4" t="n">
        <v>120000</v>
      </c>
      <c r="D87" s="4">
        <f>'Cases'!$C$24*1</f>
        <v/>
      </c>
      <c r="E87">
        <f>IF(ABS(C87-D87)&lt;=0.01+0.041*(1&gt;1),"OK","KO")</f>
        <v/>
      </c>
    </row>
    <row r="88">
      <c r="B88" t="inlineStr">
        <is>
          <t>c3_value_loss</t>
        </is>
      </c>
      <c r="C88" s="4" t="n">
        <v>461538</v>
      </c>
      <c r="D88" s="4">
        <f>'Cases'!$C$29*1</f>
        <v/>
      </c>
      <c r="E88">
        <f>IF(ABS(C88-D88)&lt;=0.01+0.041*(1&gt;1),"OK","KO")</f>
        <v/>
      </c>
    </row>
    <row r="89">
      <c r="B89" t="inlineStr">
        <is>
          <t>c3_rec_value_ded</t>
        </is>
      </c>
      <c r="C89" s="4" t="n">
        <v>361538</v>
      </c>
      <c r="D89" s="4">
        <f>'Cases'!$C$32*1</f>
        <v/>
      </c>
      <c r="E89">
        <f>IF(ABS(C89-D89)&lt;=0.01+0.041*(1&gt;1),"OK","KO")</f>
        <v/>
      </c>
    </row>
    <row r="90">
      <c r="B90" t="inlineStr">
        <is>
          <t>c3_rec_value_tip</t>
        </is>
      </c>
      <c r="C90" s="4" t="n">
        <v>461538</v>
      </c>
      <c r="D90" s="4">
        <f>'Cases'!$C$33*1</f>
        <v/>
      </c>
      <c r="E90">
        <f>IF(ABS(C90-D90)&lt;=0.01+0.041*(1&gt;1),"OK","KO")</f>
        <v/>
      </c>
    </row>
    <row r="91">
      <c r="B91" t="inlineStr">
        <is>
          <t>effective_date</t>
        </is>
      </c>
      <c r="C91" s="5" t="n">
        <v>46447</v>
      </c>
      <c r="D91" s="5">
        <f>'Timeline'!$C$4</f>
        <v/>
      </c>
      <c r="E91">
        <f>IF(C91=D91,"OK","KO")</f>
        <v/>
      </c>
    </row>
    <row r="92">
      <c r="B92" t="inlineStr">
        <is>
          <t>initial_deposit_due</t>
        </is>
      </c>
      <c r="C92" s="5" t="n">
        <v>46449</v>
      </c>
      <c r="D92" s="5">
        <f>'Timeline'!$C$5</f>
        <v/>
      </c>
      <c r="E92">
        <f>IF(C92=D92,"OK","KO")</f>
        <v/>
      </c>
    </row>
    <row r="93">
      <c r="B93" t="inlineStr">
        <is>
          <t>title_objection_deadline</t>
        </is>
      </c>
      <c r="C93" s="5" t="n">
        <v>46477</v>
      </c>
      <c r="D93" s="5">
        <f>'Timeline'!$C$6</f>
        <v/>
      </c>
      <c r="E93">
        <f>IF(C93=D93,"OK","KO")</f>
        <v/>
      </c>
    </row>
    <row r="94">
      <c r="B94" t="inlineStr">
        <is>
          <t>dd_expiry</t>
        </is>
      </c>
      <c r="C94" s="5" t="n">
        <v>46492</v>
      </c>
      <c r="D94" s="5">
        <f>'Timeline'!$C$7</f>
        <v/>
      </c>
      <c r="E94">
        <f>IF(C94=D94,"OK","KO")</f>
        <v/>
      </c>
    </row>
    <row r="95">
      <c r="B95" t="inlineStr">
        <is>
          <t>additional_deposit_due</t>
        </is>
      </c>
      <c r="C95" s="5" t="n">
        <v>46493</v>
      </c>
      <c r="D95" s="5">
        <f>'Timeline'!$C$8</f>
        <v/>
      </c>
      <c r="E95">
        <f>IF(C95=D95,"OK","KO")</f>
        <v/>
      </c>
    </row>
    <row r="96">
      <c r="B96" t="inlineStr">
        <is>
          <t>closing_date</t>
        </is>
      </c>
      <c r="C96" s="5" t="n">
        <v>46524</v>
      </c>
      <c r="D96" s="5">
        <f>'Timeline'!$C$10</f>
        <v/>
      </c>
      <c r="E96">
        <f>IF(C96=D96,"OK","KO")</f>
        <v/>
      </c>
    </row>
    <row r="97">
      <c r="B97" t="inlineStr">
        <is>
          <t>extended_closing</t>
        </is>
      </c>
      <c r="C97" s="5" t="n">
        <v>46539</v>
      </c>
      <c r="D97" s="5">
        <f>'Timeline'!$C$12</f>
        <v/>
      </c>
      <c r="E97">
        <f>IF(C97=D97,"OK","KO")</f>
        <v/>
      </c>
    </row>
    <row r="98">
      <c r="B98" t="inlineStr">
        <is>
          <t>estoppel_earliest_date</t>
        </is>
      </c>
      <c r="C98" s="5" t="n">
        <v>46494</v>
      </c>
      <c r="D98" s="5">
        <f>'Timeline'!$C$13</f>
        <v/>
      </c>
      <c r="E98">
        <f>IF(C98=D98,"OK","KO")</f>
        <v/>
      </c>
    </row>
    <row r="99">
      <c r="B99" t="inlineStr">
        <is>
          <t>survival_end</t>
        </is>
      </c>
      <c r="C99" s="5" t="n">
        <v>46800</v>
      </c>
      <c r="D99" s="5">
        <f>'Timeline'!$C$15</f>
        <v/>
      </c>
      <c r="E99">
        <f>IF(C99=D99,"OK","KO")</f>
        <v/>
      </c>
    </row>
    <row r="100">
      <c r="B100" t="inlineStr">
        <is>
          <t>x1031_id_deadline</t>
        </is>
      </c>
      <c r="C100" s="5" t="n">
        <v>46569</v>
      </c>
      <c r="D100" s="5">
        <f>'Exchange_Tax'!$C$4</f>
        <v/>
      </c>
      <c r="E100">
        <f>IF(C100=D100,"OK","KO")</f>
        <v/>
      </c>
    </row>
    <row r="101">
      <c r="B101" t="inlineStr">
        <is>
          <t>x1031_exchange_deadline</t>
        </is>
      </c>
      <c r="C101" s="5" t="n">
        <v>46704</v>
      </c>
      <c r="D101" s="5">
        <f>'Exchange_Tax'!$C$5</f>
        <v/>
      </c>
      <c r="E101">
        <f>IF(C101=D101,"OK","KO")</f>
        <v/>
      </c>
    </row>
    <row r="102">
      <c r="B102" t="inlineStr">
        <is>
          <t>x1031_ext_id_deadline</t>
        </is>
      </c>
      <c r="C102" s="5" t="n">
        <v>46584</v>
      </c>
      <c r="D102" s="5">
        <f>'Exchange_Tax'!$C$6</f>
        <v/>
      </c>
      <c r="E102">
        <f>IF(C102=D102,"OK","KO")</f>
        <v/>
      </c>
    </row>
    <row r="103">
      <c r="B103" t="inlineStr">
        <is>
          <t>x1031_ext_exchange_deadline</t>
        </is>
      </c>
      <c r="C103" s="5" t="n">
        <v>46719</v>
      </c>
      <c r="D103" s="5">
        <f>'Exchange_Tax'!$C$7</f>
        <v/>
      </c>
      <c r="E103">
        <f>IF(C103=D103,"OK","KO")</f>
        <v/>
      </c>
    </row>
    <row r="104">
      <c r="B104" t="inlineStr">
        <is>
          <t>Sources equal uses</t>
        </is>
      </c>
      <c r="D104">
        <f>'Closing'!$C$42</f>
        <v/>
      </c>
      <c r="E104">
        <f>IF(D104=0,"OK","KO")</f>
        <v/>
      </c>
    </row>
    <row r="106">
      <c r="B106" s="6" t="inlineStr">
        <is>
          <t>Result</t>
        </is>
      </c>
      <c r="C106" s="6">
        <f>IF(COUNTIF(E5:E104,"KO")=0,"ALL CHECKS OK",COUNTIF(E5:E104,"KO")&amp;" CHECK(S) FAILED")</f>
        <v/>
      </c>
      <c r="D106">
        <f>COUNTIF(E5:E104,"OK")&amp;" / 100"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5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2">
      <c r="B2" s="1" t="inlineStr">
        <is>
          <t>Inputs (blue = assumption)</t>
        </is>
      </c>
    </row>
    <row r="4">
      <c r="B4" s="2" t="inlineStr">
        <is>
          <t>Gross leasable area, sq ft</t>
        </is>
      </c>
      <c r="C4" s="7" t="n">
        <v>412000</v>
      </c>
    </row>
    <row r="5">
      <c r="B5" s="2" t="inlineStr">
        <is>
          <t>Operating expenses per sq ft (taxes 1.65, insurance 0.45, CAM 1.00)</t>
        </is>
      </c>
      <c r="C5" s="8" t="n">
        <v>3.1</v>
      </c>
    </row>
    <row r="6">
      <c r="B6" s="2" t="inlineStr">
        <is>
          <t>Non-recoverable expenses</t>
        </is>
      </c>
      <c r="C6" s="7" t="n">
        <v>60000</v>
      </c>
    </row>
    <row r="7">
      <c r="B7" s="2" t="inlineStr">
        <is>
          <t>Letter of intent price</t>
        </is>
      </c>
      <c r="C7" s="7" t="n">
        <v>56000000</v>
      </c>
    </row>
    <row r="8">
      <c r="B8" s="2" t="inlineStr">
        <is>
          <t>Initial deposit</t>
        </is>
      </c>
      <c r="C8" s="7" t="n">
        <v>750000</v>
      </c>
    </row>
    <row r="9">
      <c r="B9" s="2" t="inlineStr">
        <is>
          <t>Additional deposit</t>
        </is>
      </c>
      <c r="C9" s="7" t="n">
        <v>750000</v>
      </c>
    </row>
    <row r="10">
      <c r="B10" s="2" t="inlineStr">
        <is>
          <t>Extension deposit</t>
        </is>
      </c>
      <c r="C10" s="7" t="n">
        <v>250000</v>
      </c>
    </row>
    <row r="11">
      <c r="B11" s="2" t="inlineStr">
        <is>
          <t>Effective date</t>
        </is>
      </c>
      <c r="C11" s="9" t="n">
        <v>46447</v>
      </c>
    </row>
    <row r="12">
      <c r="B12" s="2" t="inlineStr">
        <is>
          <t>Due diligence period, days</t>
        </is>
      </c>
      <c r="C12" s="7" t="n">
        <v>45</v>
      </c>
    </row>
    <row r="13">
      <c r="B13" s="2" t="inlineStr">
        <is>
          <t>Title objection period, days</t>
        </is>
      </c>
      <c r="C13" s="7" t="n">
        <v>30</v>
      </c>
    </row>
    <row r="14">
      <c r="B14" s="2" t="inlineStr">
        <is>
          <t>Closing, days after the hard date</t>
        </is>
      </c>
      <c r="C14" s="7" t="n">
        <v>30</v>
      </c>
    </row>
    <row r="15">
      <c r="B15" s="2" t="inlineStr">
        <is>
          <t>Closing extension, days</t>
        </is>
      </c>
      <c r="C15" s="7" t="n">
        <v>15</v>
      </c>
    </row>
    <row r="16">
      <c r="B16" s="2" t="inlineStr">
        <is>
          <t>Remediation estimate, low</t>
        </is>
      </c>
      <c r="C16" s="7" t="n">
        <v>310000</v>
      </c>
    </row>
    <row r="17">
      <c r="B17" s="2" t="inlineStr">
        <is>
          <t>Remediation estimate, high</t>
        </is>
      </c>
      <c r="C17" s="7" t="n">
        <v>520000</v>
      </c>
    </row>
    <row r="18">
      <c r="B18" s="2" t="inlineStr">
        <is>
          <t>Price reduction agreed at the hard date</t>
        </is>
      </c>
      <c r="C18" s="7" t="n">
        <v>400000</v>
      </c>
    </row>
    <row r="19">
      <c r="B19" s="2" t="inlineStr">
        <is>
          <t>Value capitalization rate</t>
        </is>
      </c>
      <c r="C19" s="10" t="n">
        <v>0.06</v>
      </c>
    </row>
    <row r="20">
      <c r="B20" s="2" t="inlineStr">
        <is>
          <t>Survival period, months</t>
        </is>
      </c>
      <c r="C20" s="7" t="n">
        <v>9</v>
      </c>
    </row>
    <row r="21">
      <c r="B21" s="2" t="inlineStr">
        <is>
          <t>Cap, percent of price</t>
        </is>
      </c>
      <c r="C21" s="10" t="n">
        <v>0.02</v>
      </c>
    </row>
    <row r="22">
      <c r="B22" s="2" t="inlineStr">
        <is>
          <t>Basket</t>
        </is>
      </c>
      <c r="C22" s="7" t="n">
        <v>75000</v>
      </c>
    </row>
    <row r="23">
      <c r="B23" s="2" t="inlineStr">
        <is>
          <t>Basket type (1 = deductible, 0 = tipping)</t>
        </is>
      </c>
      <c r="C23" s="11" t="n">
        <v>1</v>
      </c>
    </row>
    <row r="24">
      <c r="B24" s="2" t="inlineStr">
        <is>
          <t>Holdback</t>
        </is>
      </c>
      <c r="C24" s="7" t="n">
        <v>750000</v>
      </c>
    </row>
    <row r="25">
      <c r="B25" s="2" t="inlineStr">
        <is>
          <t>Buyer owns the closing day (1 = yes, 0 = seller owns it)</t>
        </is>
      </c>
      <c r="C25" s="11" t="n">
        <v>1</v>
      </c>
    </row>
    <row r="26">
      <c r="B26" s="2" t="inlineStr">
        <is>
          <t>Recovery estimate per sq ft</t>
        </is>
      </c>
      <c r="C26" s="8" t="n">
        <v>3</v>
      </c>
    </row>
    <row r="27">
      <c r="B27" s="2" t="inlineStr">
        <is>
          <t>2026 real estate taxes per sq ft</t>
        </is>
      </c>
      <c r="C27" s="8" t="n">
        <v>1.65</v>
      </c>
    </row>
    <row r="28">
      <c r="B28" s="2" t="inlineStr">
        <is>
          <t>2027 real estate taxes per sq ft, estimate</t>
        </is>
      </c>
      <c r="C28" s="8" t="n">
        <v>1.7</v>
      </c>
    </row>
    <row r="29">
      <c r="B29" s="2" t="inlineStr">
        <is>
          <t>Bayline unfunded tenant improvements</t>
        </is>
      </c>
      <c r="C29" s="7" t="n">
        <v>328000</v>
      </c>
    </row>
    <row r="30">
      <c r="B30" s="2" t="inlineStr">
        <is>
          <t>Bayline unpaid commission</t>
        </is>
      </c>
      <c r="C30" s="7" t="n">
        <v>61500</v>
      </c>
    </row>
    <row r="31">
      <c r="B31" s="2" t="inlineStr">
        <is>
          <t>Hail repair estimate</t>
        </is>
      </c>
      <c r="C31" s="7" t="n">
        <v>410000</v>
      </c>
    </row>
    <row r="32">
      <c r="B32" s="2" t="inlineStr">
        <is>
          <t>Insurance deductible</t>
        </is>
      </c>
      <c r="C32" s="7" t="n">
        <v>100000</v>
      </c>
    </row>
    <row r="33">
      <c r="B33" s="2" t="inlineStr">
        <is>
          <t>Casualty materiality, percent of price</t>
        </is>
      </c>
      <c r="C33" s="10" t="n">
        <v>0.05</v>
      </c>
    </row>
    <row r="34">
      <c r="B34" s="2" t="inlineStr">
        <is>
          <t>Transfer tax rate (case assumption)</t>
        </is>
      </c>
      <c r="C34" s="10" t="n">
        <v>0.004</v>
      </c>
    </row>
    <row r="35">
      <c r="B35" s="2" t="inlineStr">
        <is>
          <t>Owner's policy, basic premium (seller)</t>
        </is>
      </c>
      <c r="C35" s="7" t="n">
        <v>118000</v>
      </c>
    </row>
    <row r="36">
      <c r="B36" s="2" t="inlineStr">
        <is>
          <t>Owner's extended coverage and endorsements (buyer)</t>
        </is>
      </c>
      <c r="C36" s="7" t="n">
        <v>41500</v>
      </c>
    </row>
    <row r="37">
      <c r="B37" s="2" t="inlineStr">
        <is>
          <t>Lender's policy (buyer)</t>
        </is>
      </c>
      <c r="C37" s="7" t="n">
        <v>24000</v>
      </c>
    </row>
    <row r="38">
      <c r="B38" s="2" t="inlineStr">
        <is>
          <t>Escrow fee, total (split)</t>
        </is>
      </c>
      <c r="C38" s="7" t="n">
        <v>9000</v>
      </c>
    </row>
    <row r="39">
      <c r="B39" s="2" t="inlineStr">
        <is>
          <t>Recording fees (buyer)</t>
        </is>
      </c>
      <c r="C39" s="7" t="n">
        <v>1800</v>
      </c>
    </row>
    <row r="40">
      <c r="B40" s="2" t="inlineStr">
        <is>
          <t>Broker commission, percent of price (seller)</t>
        </is>
      </c>
      <c r="C40" s="10" t="n">
        <v>0.0125</v>
      </c>
    </row>
    <row r="41">
      <c r="B41" s="2" t="inlineStr">
        <is>
          <t>Letter of credit transfer fee (seller)</t>
        </is>
      </c>
      <c r="C41" s="7" t="n">
        <v>2500</v>
      </c>
    </row>
    <row r="42">
      <c r="B42" s="2" t="inlineStr">
        <is>
          <t>Loan to price</t>
        </is>
      </c>
      <c r="C42" s="10" t="n">
        <v>0.6</v>
      </c>
    </row>
    <row r="43">
      <c r="B43" s="2" t="inlineStr">
        <is>
          <t>Loan origination fee</t>
        </is>
      </c>
      <c r="C43" s="10" t="n">
        <v>0.005</v>
      </c>
    </row>
    <row r="44">
      <c r="B44" s="2" t="inlineStr">
        <is>
          <t>Seller's mortgage payoff</t>
        </is>
      </c>
      <c r="C44" s="7" t="n">
        <v>21400000</v>
      </c>
    </row>
    <row r="45">
      <c r="B45" s="2" t="inlineStr">
        <is>
          <t>Seller reimbursement cap on seller default</t>
        </is>
      </c>
      <c r="C45" s="7" t="n">
        <v>250000</v>
      </c>
    </row>
    <row r="46">
      <c r="B46" s="2" t="inlineStr">
        <is>
          <t>Market fall for the liquidated damages test</t>
        </is>
      </c>
      <c r="C46" s="10" t="n">
        <v>0.05</v>
      </c>
    </row>
    <row r="47">
      <c r="B47" s="2" t="inlineStr">
        <is>
          <t>Withholding rate on a foreign seller (FIRPTA, general rule)</t>
        </is>
      </c>
      <c r="C47" s="10" t="n">
        <v>0.15</v>
      </c>
    </row>
    <row r="49">
      <c r="B49" s="6" t="inlineStr">
        <is>
          <t>Holidays used by the business-day rule</t>
        </is>
      </c>
    </row>
    <row r="50">
      <c r="C50" s="9" t="n">
        <v>46538</v>
      </c>
    </row>
    <row r="51">
      <c r="C51" s="9" t="n">
        <v>46573</v>
      </c>
    </row>
    <row r="52">
      <c r="C52" s="9" t="n">
        <v>46636</v>
      </c>
    </row>
    <row r="53">
      <c r="C53" s="9" t="n">
        <v>46716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L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2" customWidth="1" min="3" max="3"/>
    <col width="12" customWidth="1" min="4" max="4"/>
    <col width="14" customWidth="1" min="5" max="5"/>
    <col width="14" customWidth="1" min="6" max="6"/>
    <col width="16" customWidth="1" min="7" max="7"/>
    <col width="12" customWidth="1" min="8" max="8"/>
    <col width="12" customWidth="1" min="9" max="9"/>
    <col width="12" customWidth="1" min="10" max="10"/>
    <col width="14" customWidth="1" min="11" max="11"/>
    <col width="14" customWidth="1" min="12" max="12"/>
  </cols>
  <sheetData>
    <row r="2">
      <c r="B2" s="1" t="inlineStr">
        <is>
          <t>Rent roll and net operating income (chapters 1 and 6)</t>
        </is>
      </c>
    </row>
    <row r="4">
      <c r="B4" s="3" t="inlineStr">
        <is>
          <t>Tenant</t>
        </is>
      </c>
      <c r="C4" s="3" t="inlineStr">
        <is>
          <t>Sq ft</t>
        </is>
      </c>
      <c r="D4" s="3" t="inlineStr">
        <is>
          <t>Rent/sq ft (rent roll)</t>
        </is>
      </c>
      <c r="E4" s="3" t="inlineStr">
        <is>
          <t>Annual rent</t>
        </is>
      </c>
      <c r="F4" s="3" t="inlineStr">
        <is>
          <t>Monthly rent</t>
        </is>
      </c>
      <c r="G4" s="3" t="inlineStr">
        <is>
          <t>Expiry</t>
        </is>
      </c>
      <c r="H4" s="3" t="inlineStr">
        <is>
          <t>Cash deposit</t>
        </is>
      </c>
      <c r="I4" s="3" t="inlineStr">
        <is>
          <t>May rent paid (1/0)</t>
        </is>
      </c>
      <c r="J4" s="3" t="inlineStr">
        <is>
          <t>Recoveries paid (1/0)</t>
        </is>
      </c>
      <c r="K4" s="3" t="inlineStr">
        <is>
          <t>Rent/sq ft actually billed</t>
        </is>
      </c>
      <c r="L4" s="3" t="inlineStr">
        <is>
          <t>Monthly rent billed</t>
        </is>
      </c>
    </row>
    <row r="5">
      <c r="B5" t="inlineStr">
        <is>
          <t>Arden Packaging</t>
        </is>
      </c>
      <c r="C5" s="7" t="n">
        <v>96000</v>
      </c>
      <c r="D5" s="8" t="n">
        <v>8.4</v>
      </c>
      <c r="E5" s="12">
        <f>ROUND(C5*D5,0)</f>
        <v/>
      </c>
      <c r="F5" s="4">
        <f>ROUND(C5*D5/12,2)</f>
        <v/>
      </c>
      <c r="G5" s="13" t="n">
        <v>48760</v>
      </c>
      <c r="H5" s="7" t="n">
        <v>0</v>
      </c>
      <c r="I5" s="14" t="n">
        <v>1</v>
      </c>
      <c r="J5" s="14" t="n">
        <v>1</v>
      </c>
      <c r="K5" s="8" t="n">
        <v>8.4</v>
      </c>
      <c r="L5" s="4">
        <f>ROUND(C5*K5/12,2)</f>
        <v/>
      </c>
    </row>
    <row r="6">
      <c r="B6" t="inlineStr">
        <is>
          <t>Kestrel Fulfillment</t>
        </is>
      </c>
      <c r="C6" s="7" t="n">
        <v>72000</v>
      </c>
      <c r="D6" s="8" t="n">
        <v>8.75</v>
      </c>
      <c r="E6" s="12">
        <f>ROUND(C6*D6,0)</f>
        <v/>
      </c>
      <c r="F6" s="4">
        <f>ROUND(C6*D6/12,2)</f>
        <v/>
      </c>
      <c r="G6" s="13" t="n">
        <v>47848</v>
      </c>
      <c r="H6" s="7" t="n">
        <v>105000</v>
      </c>
      <c r="I6" s="14" t="n">
        <v>1</v>
      </c>
      <c r="J6" s="14" t="n">
        <v>1</v>
      </c>
      <c r="K6" s="8" t="n">
        <v>8.75</v>
      </c>
      <c r="L6" s="4">
        <f>ROUND(C6*K6/12,2)</f>
        <v/>
      </c>
    </row>
    <row r="7">
      <c r="B7" t="inlineStr">
        <is>
          <t>Northfield Auto Parts</t>
        </is>
      </c>
      <c r="C7" s="7" t="n">
        <v>54000</v>
      </c>
      <c r="D7" s="8" t="n">
        <v>9.1</v>
      </c>
      <c r="E7" s="12">
        <f>ROUND(C7*D7,0)</f>
        <v/>
      </c>
      <c r="F7" s="4">
        <f>ROUND(C7*D7/12,2)</f>
        <v/>
      </c>
      <c r="G7" s="13" t="n">
        <v>47208</v>
      </c>
      <c r="H7" s="7" t="n">
        <v>82000</v>
      </c>
      <c r="I7" s="14" t="n">
        <v>1</v>
      </c>
      <c r="J7" s="14" t="n">
        <v>1</v>
      </c>
      <c r="K7" s="8" t="n">
        <v>9.1</v>
      </c>
      <c r="L7" s="4">
        <f>ROUND(C7*K7/12,2)</f>
        <v/>
      </c>
    </row>
    <row r="8">
      <c r="B8" t="inlineStr">
        <is>
          <t>Bayline Medical Supply</t>
        </is>
      </c>
      <c r="C8" s="7" t="n">
        <v>41000</v>
      </c>
      <c r="D8" s="8" t="n">
        <v>9.6</v>
      </c>
      <c r="E8" s="12">
        <f>ROUND(C8*D8,0)</f>
        <v/>
      </c>
      <c r="F8" s="4">
        <f>ROUND(C8*D8/12,2)</f>
        <v/>
      </c>
      <c r="G8" s="13" t="n">
        <v>48091</v>
      </c>
      <c r="H8" s="7" t="n">
        <v>66000</v>
      </c>
      <c r="I8" s="14" t="n">
        <v>0</v>
      </c>
      <c r="J8" s="14" t="n">
        <v>1</v>
      </c>
      <c r="K8" s="8" t="n">
        <v>9.6</v>
      </c>
      <c r="L8" s="4">
        <f>ROUND(C8*K8/12,2)</f>
        <v/>
      </c>
    </row>
    <row r="9">
      <c r="B9" t="inlineStr">
        <is>
          <t>Corvid Electric</t>
        </is>
      </c>
      <c r="C9" s="7" t="n">
        <v>38000</v>
      </c>
      <c r="D9" s="8" t="n">
        <v>9.25</v>
      </c>
      <c r="E9" s="12">
        <f>ROUND(C9*D9,0)</f>
        <v/>
      </c>
      <c r="F9" s="4">
        <f>ROUND(C9*D9/12,2)</f>
        <v/>
      </c>
      <c r="G9" s="13" t="n">
        <v>48883</v>
      </c>
      <c r="H9" s="7" t="n">
        <v>58000</v>
      </c>
      <c r="I9" s="14" t="n">
        <v>1</v>
      </c>
      <c r="J9" s="14" t="n">
        <v>1</v>
      </c>
      <c r="K9" s="8" t="n">
        <v>8.4</v>
      </c>
      <c r="L9" s="4">
        <f>ROUND(C9*K9/12,2)</f>
        <v/>
      </c>
    </row>
    <row r="10">
      <c r="B10" t="inlineStr">
        <is>
          <t>Pinecrest Foods</t>
        </is>
      </c>
      <c r="C10" s="7" t="n">
        <v>30000</v>
      </c>
      <c r="D10" s="8" t="n">
        <v>10.2</v>
      </c>
      <c r="E10" s="12">
        <f>ROUND(C10*D10,0)</f>
        <v/>
      </c>
      <c r="F10" s="4">
        <f>ROUND(C10*D10/12,2)</f>
        <v/>
      </c>
      <c r="G10" s="13" t="n">
        <v>48244</v>
      </c>
      <c r="H10" s="7" t="n">
        <v>51000</v>
      </c>
      <c r="I10" s="14" t="n">
        <v>1</v>
      </c>
      <c r="J10" s="14" t="n">
        <v>1</v>
      </c>
      <c r="K10" s="8" t="n">
        <v>10.2</v>
      </c>
      <c r="L10" s="4">
        <f>ROUND(C10*K10/12,2)</f>
        <v/>
      </c>
    </row>
    <row r="11">
      <c r="B11" t="inlineStr">
        <is>
          <t>Mesa Tile &amp; Stone</t>
        </is>
      </c>
      <c r="C11" s="7" t="n">
        <v>22000</v>
      </c>
      <c r="D11" s="8" t="n">
        <v>10.5</v>
      </c>
      <c r="E11" s="12">
        <f>ROUND(C11*D11,0)</f>
        <v/>
      </c>
      <c r="F11" s="4">
        <f>ROUND(C11*D11/12,2)</f>
        <v/>
      </c>
      <c r="G11" s="13" t="n">
        <v>46904</v>
      </c>
      <c r="H11" s="7" t="n">
        <v>38000</v>
      </c>
      <c r="I11" s="14" t="n">
        <v>0</v>
      </c>
      <c r="J11" s="14" t="n">
        <v>0</v>
      </c>
      <c r="K11" s="8" t="n">
        <v>10.5</v>
      </c>
      <c r="L11" s="4">
        <f>ROUND(C11*K11/12,2)</f>
        <v/>
      </c>
    </row>
    <row r="12">
      <c r="B12" t="inlineStr">
        <is>
          <t>Halden Print</t>
        </is>
      </c>
      <c r="C12" s="7" t="n">
        <v>15000</v>
      </c>
      <c r="D12" s="8" t="n">
        <v>11.4</v>
      </c>
      <c r="E12" s="12">
        <f>ROUND(C12*D12,0)</f>
        <v/>
      </c>
      <c r="F12" s="4">
        <f>ROUND(C12*D12/12,2)</f>
        <v/>
      </c>
      <c r="G12" s="13" t="n">
        <v>47452</v>
      </c>
      <c r="H12" s="7" t="n">
        <v>29000</v>
      </c>
      <c r="I12" s="14" t="n">
        <v>1</v>
      </c>
      <c r="J12" s="14" t="n">
        <v>1</v>
      </c>
      <c r="K12" s="8" t="n">
        <v>11.4</v>
      </c>
      <c r="L12" s="4">
        <f>ROUND(C12*K12/12,2)</f>
        <v/>
      </c>
    </row>
    <row r="13">
      <c r="B13" t="inlineStr">
        <is>
          <t>Oakmont Labs</t>
        </is>
      </c>
      <c r="C13" s="7" t="n">
        <v>12000</v>
      </c>
      <c r="D13" s="8" t="n">
        <v>12.6</v>
      </c>
      <c r="E13" s="12">
        <f>ROUND(C13*D13,0)</f>
        <v/>
      </c>
      <c r="F13" s="4">
        <f>ROUND(C13*D13/12,2)</f>
        <v/>
      </c>
      <c r="G13" s="13" t="n">
        <v>47603</v>
      </c>
      <c r="H13" s="7" t="n">
        <v>25000</v>
      </c>
      <c r="I13" s="14" t="n">
        <v>1</v>
      </c>
      <c r="J13" s="14" t="n">
        <v>1</v>
      </c>
      <c r="K13" s="8" t="n">
        <v>12.6</v>
      </c>
      <c r="L13" s="4">
        <f>ROUND(C13*K13/12,2)</f>
        <v/>
      </c>
    </row>
    <row r="14">
      <c r="B14" s="6" t="inlineStr">
        <is>
          <t>Total</t>
        </is>
      </c>
      <c r="C14" s="12">
        <f>SUM(C5:C13)</f>
        <v/>
      </c>
      <c r="E14" s="12">
        <f>SUM(E5:E13)</f>
        <v/>
      </c>
      <c r="H14" s="12">
        <f>SUM(H5:H13)</f>
        <v/>
      </c>
    </row>
    <row r="16">
      <c r="B16" s="2" t="inlineStr">
        <is>
          <t>Vacant sq ft</t>
        </is>
      </c>
      <c r="C16" s="15">
        <f>'Inputs'!$C$4-RentRoll!$C$14</f>
        <v/>
      </c>
    </row>
    <row r="17">
      <c r="B17" s="2" t="inlineStr">
        <is>
          <t>Occupancy</t>
        </is>
      </c>
      <c r="C17" s="16">
        <f>RentRoll!$C$14/'Inputs'!$C$4</f>
        <v/>
      </c>
    </row>
    <row r="18">
      <c r="B18" s="2" t="inlineStr">
        <is>
          <t>Landlord's share of costs on vacant space</t>
        </is>
      </c>
      <c r="C18" s="15">
        <f>ROUND('Inputs'!$C$5*'RentRoll'!$C$16,0)</f>
        <v/>
      </c>
    </row>
    <row r="19">
      <c r="B19" s="6" t="inlineStr">
        <is>
          <t>Net operating income</t>
        </is>
      </c>
      <c r="C19" s="17">
        <f>RentRoll!$E$14-'RentRoll'!$C$18-'Inputs'!$C$6</f>
        <v/>
      </c>
    </row>
    <row r="20">
      <c r="B20" s="6" t="inlineStr">
        <is>
          <t>Price after re-trade</t>
        </is>
      </c>
      <c r="C20" s="17">
        <f>'Inputs'!$C$7-'Inputs'!$C$18</f>
        <v/>
      </c>
    </row>
    <row r="21">
      <c r="B21" s="2" t="inlineStr">
        <is>
          <t>Capitalization rate at the letter of intent price</t>
        </is>
      </c>
      <c r="C21" s="18">
        <f>'RentRoll'!$C$19/'Inputs'!$C$7</f>
        <v/>
      </c>
    </row>
    <row r="22">
      <c r="B22" s="2" t="inlineStr">
        <is>
          <t>Capitalization rate at the final price</t>
        </is>
      </c>
      <c r="C22" s="18">
        <f>'RentRoll'!$C$19/'RentRoll'!$C$20</f>
        <v/>
      </c>
    </row>
    <row r="23">
      <c r="B23" s="2" t="inlineStr">
        <is>
          <t>Price per sq ft, letter of intent</t>
        </is>
      </c>
      <c r="C23" s="19">
        <f>'Inputs'!$C$7/'Inputs'!$C$4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C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2">
      <c r="B2" s="1" t="inlineStr">
        <is>
          <t>Contract timetable (chapter 2)</t>
        </is>
      </c>
    </row>
    <row r="4">
      <c r="B4" s="2" t="inlineStr">
        <is>
          <t>Effective date</t>
        </is>
      </c>
      <c r="C4" s="20">
        <f>'Inputs'!$C$11</f>
        <v/>
      </c>
    </row>
    <row r="5">
      <c r="B5" s="2" t="inlineStr">
        <is>
          <t>Initial deposit due (2 business days)</t>
        </is>
      </c>
      <c r="C5" s="20">
        <f>WORKDAY('Inputs'!$C$11,2,Inputs!$C$50:$C$53)</f>
        <v/>
      </c>
    </row>
    <row r="6">
      <c r="B6" s="2" t="inlineStr">
        <is>
          <t>Title objection deadline</t>
        </is>
      </c>
      <c r="C6" s="20">
        <f>'Inputs'!$C$11+'Inputs'!$C$13</f>
        <v/>
      </c>
    </row>
    <row r="7">
      <c r="B7" s="2" t="inlineStr">
        <is>
          <t>Hard date (end of due diligence)</t>
        </is>
      </c>
      <c r="C7" s="20">
        <f>'Inputs'!$C$11+'Inputs'!$C$12</f>
        <v/>
      </c>
    </row>
    <row r="8">
      <c r="B8" s="2" t="inlineStr">
        <is>
          <t>Additional deposit due (1 business day)</t>
        </is>
      </c>
      <c r="C8" s="20">
        <f>WORKDAY('Timeline'!$C$7,1,Inputs!$C$50:$C$53)</f>
        <v/>
      </c>
    </row>
    <row r="9">
      <c r="B9" s="2" t="inlineStr">
        <is>
          <t>Closing, before the business-day rule</t>
        </is>
      </c>
      <c r="C9" s="20">
        <f>'Timeline'!$C$7+'Inputs'!$C$14</f>
        <v/>
      </c>
    </row>
    <row r="10">
      <c r="B10" s="6" t="inlineStr">
        <is>
          <t>Closing date (next business day)</t>
        </is>
      </c>
      <c r="C10" s="21">
        <f>WORKDAY('Timeline'!$C$9-1,1,Inputs!$C$50:$C$53)</f>
        <v/>
      </c>
    </row>
    <row r="11">
      <c r="B11" s="2" t="inlineStr">
        <is>
          <t>Extended closing, before the rule</t>
        </is>
      </c>
      <c r="C11" s="20">
        <f>'Timeline'!$C$9+'Inputs'!$C$15</f>
        <v/>
      </c>
    </row>
    <row r="12">
      <c r="B12" s="2" t="inlineStr">
        <is>
          <t>Extended closing (next business day)</t>
        </is>
      </c>
      <c r="C12" s="20">
        <f>WORKDAY('Timeline'!$C$11-1,1,Inputs!$C$50:$C$53)</f>
        <v/>
      </c>
    </row>
    <row r="13">
      <c r="B13" s="2" t="inlineStr">
        <is>
          <t>Earliest estoppel date (30 days before closing)</t>
        </is>
      </c>
      <c r="C13" s="20">
        <f>'Timeline'!$C$10-30</f>
        <v/>
      </c>
    </row>
    <row r="14">
      <c r="B14" s="2" t="inlineStr">
        <is>
          <t>Days from signing to closing</t>
        </is>
      </c>
      <c r="C14" s="15">
        <f>'Timeline'!$C$10-'Timeline'!$C$4</f>
        <v/>
      </c>
    </row>
    <row r="15">
      <c r="B15" s="2" t="inlineStr">
        <is>
          <t>Survival period ends</t>
        </is>
      </c>
      <c r="C15" s="20">
        <f>EDATE('Timeline'!$C$10,'Inputs'!$C$20)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C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2">
      <c r="B2" s="1" t="inlineStr">
        <is>
          <t>Diligence budget and amount at risk (chapters 3 and 4)</t>
        </is>
      </c>
    </row>
    <row r="4">
      <c r="B4" s="3" t="inlineStr">
        <is>
          <t>Diligence item</t>
        </is>
      </c>
      <c r="C4" s="3" t="inlineStr">
        <is>
          <t>Cost</t>
        </is>
      </c>
    </row>
    <row r="5">
      <c r="B5" t="inlineStr">
        <is>
          <t>Buyer's counsel (diligence and contract)</t>
        </is>
      </c>
      <c r="C5" s="7" t="n">
        <v>185000</v>
      </c>
    </row>
    <row r="6">
      <c r="B6" t="inlineStr">
        <is>
          <t>Phase I environmental site assessment</t>
        </is>
      </c>
      <c r="C6" s="7" t="n">
        <v>6500</v>
      </c>
    </row>
    <row r="7">
      <c r="B7" t="inlineStr">
        <is>
          <t>Phase II subsurface investigation</t>
        </is>
      </c>
      <c r="C7" s="7" t="n">
        <v>38000</v>
      </c>
    </row>
    <row r="8">
      <c r="B8" t="inlineStr">
        <is>
          <t>Property condition assessment</t>
        </is>
      </c>
      <c r="C8" s="7" t="n">
        <v>14500</v>
      </c>
    </row>
    <row r="9">
      <c r="B9" t="inlineStr">
        <is>
          <t>ALTA/NSPS survey</t>
        </is>
      </c>
      <c r="C9" s="7" t="n">
        <v>22000</v>
      </c>
    </row>
    <row r="10">
      <c r="B10" t="inlineStr">
        <is>
          <t>Zoning report</t>
        </is>
      </c>
      <c r="C10" s="7" t="n">
        <v>3800</v>
      </c>
    </row>
    <row r="11">
      <c r="B11" t="inlineStr">
        <is>
          <t>Lease audit and abstracts</t>
        </is>
      </c>
      <c r="C11" s="7" t="n">
        <v>28000</v>
      </c>
    </row>
    <row r="12">
      <c r="B12" t="inlineStr">
        <is>
          <t>Financial and operating statement review</t>
        </is>
      </c>
      <c r="C12" s="7" t="n">
        <v>15000</v>
      </c>
    </row>
    <row r="13">
      <c r="B13" t="inlineStr">
        <is>
          <t>Lender application and third-party deposits</t>
        </is>
      </c>
      <c r="C13" s="7" t="n">
        <v>60000</v>
      </c>
    </row>
    <row r="14">
      <c r="B14" t="inlineStr">
        <is>
          <t>Travel and site visits</t>
        </is>
      </c>
      <c r="C14" s="7" t="n">
        <v>9000</v>
      </c>
    </row>
    <row r="15">
      <c r="B15" s="6" t="inlineStr">
        <is>
          <t>Total diligence costs</t>
        </is>
      </c>
      <c r="C15" s="17">
        <f>SUM(C5:C14)</f>
        <v/>
      </c>
    </row>
    <row r="17">
      <c r="B17" s="2" t="inlineStr">
        <is>
          <t>Deposit, total</t>
        </is>
      </c>
      <c r="C17" s="15">
        <f>'Inputs'!$C$8+'Inputs'!$C$9</f>
        <v/>
      </c>
    </row>
    <row r="18">
      <c r="B18" s="2" t="inlineStr">
        <is>
          <t>Diligence costs as percent of the deposit</t>
        </is>
      </c>
      <c r="C18" s="16">
        <f>'AtRisk'!$C$15/'AtRisk'!$C$17</f>
        <v/>
      </c>
    </row>
    <row r="19">
      <c r="B19" s="2" t="inlineStr">
        <is>
          <t>At risk before the hard date</t>
        </is>
      </c>
      <c r="C19" s="15">
        <f>'AtRisk'!$C$15</f>
        <v/>
      </c>
    </row>
    <row r="20">
      <c r="B20" s="6" t="inlineStr">
        <is>
          <t>At risk after the hard date</t>
        </is>
      </c>
      <c r="C20" s="17">
        <f>'AtRisk'!$C$15+'AtRisk'!$C$17</f>
        <v/>
      </c>
    </row>
    <row r="21">
      <c r="B21" s="2" t="inlineStr">
        <is>
          <t>At risk after the extension</t>
        </is>
      </c>
      <c r="C21" s="15">
        <f>'AtRisk'!$C$15+'AtRisk'!$C$17+'Inputs'!$C$10</f>
        <v/>
      </c>
    </row>
    <row r="22">
      <c r="B22" s="2" t="inlineStr">
        <is>
          <t>Multiple at the hard date</t>
        </is>
      </c>
      <c r="C22" s="19">
        <f>'AtRisk'!$C$20/'AtRisk'!$C$19</f>
        <v/>
      </c>
    </row>
    <row r="23">
      <c r="B23" s="2" t="inlineStr">
        <is>
          <t>Deposit as percent of the final price</t>
        </is>
      </c>
      <c r="C23" s="18">
        <f>'AtRisk'!$C$17/'RentRoll'!$C$20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C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2">
      <c r="B2" s="1" t="inlineStr">
        <is>
          <t>Environmental re-trade (chapter 7)</t>
        </is>
      </c>
    </row>
    <row r="4">
      <c r="B4" s="2" t="inlineStr">
        <is>
          <t>Midpoint of the remediation estimate</t>
        </is>
      </c>
      <c r="C4" s="15">
        <f>('Inputs'!$C$16+'Inputs'!$C$17)/2</f>
        <v/>
      </c>
    </row>
    <row r="5">
      <c r="B5" s="2" t="inlineStr">
        <is>
          <t>Escrow alternative, 125 percent of the high estimate</t>
        </is>
      </c>
      <c r="C5" s="15">
        <f>'Inputs'!$C$17*1.25</f>
        <v/>
      </c>
    </row>
    <row r="6">
      <c r="B6" s="2" t="inlineStr">
        <is>
          <t>Agreed price reduction</t>
        </is>
      </c>
      <c r="C6" s="15">
        <f>'Inputs'!$C$18</f>
        <v/>
      </c>
    </row>
    <row r="7">
      <c r="B7" s="2" t="inlineStr">
        <is>
          <t>Reduction as percent of the letter of intent price</t>
        </is>
      </c>
      <c r="C7" s="18">
        <f>'Inputs'!$C$18/'Inputs'!$C$7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C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2">
      <c r="B2" s="1" t="inlineStr">
        <is>
          <t>The Corvid claim (chapters 8 and 9)</t>
        </is>
      </c>
    </row>
    <row r="4">
      <c r="B4" s="2" t="inlineStr">
        <is>
          <t>Represented rent per sq ft</t>
        </is>
      </c>
      <c r="C4" s="19">
        <f>RentRoll!D9</f>
        <v/>
      </c>
    </row>
    <row r="5">
      <c r="B5" s="2" t="inlineStr">
        <is>
          <t>Actual rent per sq ft (estoppel)</t>
        </is>
      </c>
      <c r="C5" s="19">
        <f>RentRoll!K9</f>
        <v/>
      </c>
    </row>
    <row r="6">
      <c r="B6" s="2" t="inlineStr">
        <is>
          <t>Sq ft</t>
        </is>
      </c>
      <c r="C6" s="15">
        <f>RentRoll!C9</f>
        <v/>
      </c>
    </row>
    <row r="7">
      <c r="B7" s="2" t="inlineStr">
        <is>
          <t>Annual shortfall</t>
        </is>
      </c>
      <c r="C7" s="15">
        <f>ROUND('Claim'!$C$6*('Claim'!$C$4-'Claim'!$C$5),0)</f>
        <v/>
      </c>
    </row>
    <row r="8">
      <c r="B8" s="2" t="inlineStr">
        <is>
          <t>Monthly shortfall</t>
        </is>
      </c>
      <c r="C8" s="19">
        <f>ROUND('Claim'!$C$7/12,2)</f>
        <v/>
      </c>
    </row>
    <row r="9">
      <c r="B9" s="2" t="inlineStr">
        <is>
          <t>Months remaining after closing (to 31 October 2033)</t>
        </is>
      </c>
      <c r="C9" s="22" t="n">
        <v>77.5</v>
      </c>
    </row>
    <row r="10">
      <c r="B10" s="2" t="inlineStr">
        <is>
          <t>Lost rent over the remaining term, undiscounted</t>
        </is>
      </c>
      <c r="C10" s="15">
        <f>ROUND('Claim'!$C$7*'Claim'!$C$9/12,0)</f>
        <v/>
      </c>
    </row>
    <row r="11">
      <c r="B11" s="2" t="inlineStr">
        <is>
          <t>Present value over the remaining term, monthly at the capitalization rate</t>
        </is>
      </c>
      <c r="C11" s="15">
        <f>ROUND('Claim'!$C$7/12*(1-(1+'Inputs'!$C$19/12)^(-'Claim'!$C$9))/('Inputs'!$C$19/12),0)</f>
        <v/>
      </c>
    </row>
    <row r="12">
      <c r="B12" s="2" t="inlineStr">
        <is>
          <t>Capitalized in perpetuity (buyer's opening position)</t>
        </is>
      </c>
      <c r="C12" s="15">
        <f>ROUND('Claim'!$C$7/'Inputs'!$C$19,0)</f>
        <v/>
      </c>
    </row>
    <row r="13">
      <c r="B13" s="2" t="inlineStr">
        <is>
          <t>Cap in dollars</t>
        </is>
      </c>
      <c r="C13" s="15">
        <f>ROUND('RentRoll'!$C$20*'Inputs'!$C$21,0)</f>
        <v/>
      </c>
    </row>
    <row r="15">
      <c r="B15" s="2" t="inlineStr">
        <is>
          <t>Lost rent, deductible basket</t>
        </is>
      </c>
      <c r="C15" s="15">
        <f>IF('Claim'!$C$10&lt;='Inputs'!$C$22,0,MIN('Claim'!$C$10-'Inputs'!$C$22,'Claim'!$C$13))</f>
        <v/>
      </c>
    </row>
    <row r="16">
      <c r="B16" s="2" t="inlineStr">
        <is>
          <t>Lost rent, tipping basket</t>
        </is>
      </c>
      <c r="C16" s="15">
        <f>IF('Claim'!$C$10&lt;='Inputs'!$C$22,0,MIN('Claim'!$C$10,'Claim'!$C$13))</f>
        <v/>
      </c>
    </row>
    <row r="17">
      <c r="B17" s="2" t="inlineStr">
        <is>
          <t>Present value, deductible basket</t>
        </is>
      </c>
      <c r="C17" s="15">
        <f>IF('Claim'!$C$11&lt;='Inputs'!$C$22,0,MIN('Claim'!$C$11-'Inputs'!$C$22,'Claim'!$C$13))</f>
        <v/>
      </c>
    </row>
    <row r="18">
      <c r="B18" s="2" t="inlineStr">
        <is>
          <t>Present value, tipping basket</t>
        </is>
      </c>
      <c r="C18" s="15">
        <f>IF('Claim'!$C$11&lt;='Inputs'!$C$22,0,MIN('Claim'!$C$11,'Claim'!$C$13))</f>
        <v/>
      </c>
    </row>
    <row r="19">
      <c r="B19" s="2" t="inlineStr">
        <is>
          <t>Capitalized, deductible basket</t>
        </is>
      </c>
      <c r="C19" s="15">
        <f>IF('Claim'!$C$12&lt;='Inputs'!$C$22,0,MIN('Claim'!$C$12-'Inputs'!$C$22,'Claim'!$C$13))</f>
        <v/>
      </c>
    </row>
    <row r="20">
      <c r="B20" s="2" t="inlineStr">
        <is>
          <t>Capitalized, tipping basket</t>
        </is>
      </c>
      <c r="C20" s="15">
        <f>IF('Claim'!$C$12&lt;='Inputs'!$C$22,0,MIN('Claim'!$C$12,'Claim'!$C$13))</f>
        <v/>
      </c>
    </row>
    <row r="21">
      <c r="B21" s="2" t="inlineStr">
        <is>
          <t>Present value, basket type as set on Inputs</t>
        </is>
      </c>
      <c r="C21" s="15">
        <f>IF('Claim'!$C$11&lt;='Inputs'!$C$22,0,MIN(IF('Inputs'!$C$23=1,'Claim'!$C$11-'Inputs'!$C$22,'Claim'!$C$11),'Claim'!$C$13))</f>
        <v/>
      </c>
    </row>
    <row r="22">
      <c r="B22" s="2" t="inlineStr">
        <is>
          <t>Buyer knew from the estoppel and did not reserve (1 = yes)</t>
        </is>
      </c>
      <c r="C22" s="11" t="n">
        <v>1</v>
      </c>
    </row>
    <row r="23">
      <c r="B23" s="6" t="inlineStr">
        <is>
          <t>Recovery after the knowledge clause (present value measure)</t>
        </is>
      </c>
      <c r="C23" s="17">
        <f>IF('Claim'!$C$22=1,0,'Claim'!$C$21)</f>
        <v/>
      </c>
    </row>
    <row r="25">
      <c r="B25" s="2" t="inlineStr">
        <is>
          <t>Arden: months remaining (to 30 June 2033)</t>
        </is>
      </c>
      <c r="C25" s="22" t="n">
        <v>73.5</v>
      </c>
    </row>
    <row r="26">
      <c r="B26" s="2" t="inlineStr">
        <is>
          <t>A one dollar error on Arden, present value</t>
        </is>
      </c>
      <c r="C26" s="15">
        <f>ROUND(RentRoll!C5*1/12*(1-(1+'Inputs'!$C$19/12)^(-'Claim'!$C$25))/('Inputs'!$C$19/12),0)</f>
        <v/>
      </c>
    </row>
    <row r="27">
      <c r="B27" s="2" t="inlineStr">
        <is>
          <t>A one dollar error on Arden, capitalized</t>
        </is>
      </c>
      <c r="C27" s="15">
        <f>ROUND(RentRoll!C5*1/'Inputs'!$C$19,0)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C3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2">
      <c r="B2" s="1" t="inlineStr">
        <is>
          <t>Prorations at closing (chapter 12)</t>
        </is>
      </c>
    </row>
    <row r="4">
      <c r="B4" s="2" t="inlineStr">
        <is>
          <t>Days in the closing month</t>
        </is>
      </c>
      <c r="C4" s="15">
        <f>DAY(EOMONTH('Timeline'!$C$10,0))</f>
        <v/>
      </c>
    </row>
    <row r="5">
      <c r="B5" s="2" t="inlineStr">
        <is>
          <t>Buyer's days</t>
        </is>
      </c>
      <c r="C5" s="15">
        <f>'Prorations'!$C$4-DAY('Timeline'!$C$10)+'Inputs'!$C$25</f>
        <v/>
      </c>
    </row>
    <row r="6">
      <c r="B6" s="2" t="inlineStr">
        <is>
          <t>Seller's days</t>
        </is>
      </c>
      <c r="C6" s="15">
        <f>'Prorations'!$C$4-'Prorations'!$C$5</f>
        <v/>
      </c>
    </row>
    <row r="7">
      <c r="B7" s="2" t="inlineStr">
        <is>
          <t>Seller's days in the year before closing</t>
        </is>
      </c>
      <c r="C7" s="15">
        <f>'Timeline'!$C$10-DATE(YEAR('Timeline'!$C$10),1,1)-1+'Inputs'!$C$25</f>
        <v/>
      </c>
    </row>
    <row r="9">
      <c r="B9" s="2" t="inlineStr">
        <is>
          <t>Base rent collected for the month</t>
        </is>
      </c>
      <c r="C9" s="19">
        <f>SUMPRODUCT(RentRoll!L5:L13,RentRoll!I5:I13)</f>
        <v/>
      </c>
    </row>
    <row r="10">
      <c r="B10" s="2" t="inlineStr">
        <is>
          <t>One day of collected rent</t>
        </is>
      </c>
      <c r="C10" s="19">
        <f>'Prorations'!$C$9/'Prorations'!$C$4</f>
        <v/>
      </c>
    </row>
    <row r="11">
      <c r="B11" s="2" t="inlineStr">
        <is>
          <t>Recovery estimates collected for the month</t>
        </is>
      </c>
      <c r="C11" s="19">
        <f>SUMPRODUCT(RentRoll!C5:C13,RentRoll!J5:J13)*'Inputs'!$C$26/12</f>
        <v/>
      </c>
    </row>
    <row r="12">
      <c r="B12" s="3" t="inlineStr">
        <is>
          <t>Credit to buyer</t>
        </is>
      </c>
      <c r="C12" s="3" t="inlineStr">
        <is>
          <t>Amount</t>
        </is>
      </c>
    </row>
    <row r="13">
      <c r="B13" s="2" t="inlineStr">
        <is>
          <t>Base rent collected, buyer's days</t>
        </is>
      </c>
      <c r="C13" s="19">
        <f>ROUND('Prorations'!$C$9*'Prorations'!$C$5/'Prorations'!$C$4,2)</f>
        <v/>
      </c>
    </row>
    <row r="14">
      <c r="B14" s="2" t="inlineStr">
        <is>
          <t>Recovery estimates collected, buyer's days</t>
        </is>
      </c>
      <c r="C14" s="19">
        <f>ROUND('Prorations'!$C$11*'Prorations'!$C$5/'Prorations'!$C$4,2)</f>
        <v/>
      </c>
    </row>
    <row r="15">
      <c r="B15" s="2" t="inlineStr">
        <is>
          <t>Real estate taxes 2026, unpaid</t>
        </is>
      </c>
      <c r="C15" s="19">
        <f>ROUND('Inputs'!$C$27*'Inputs'!$C$4,0)</f>
        <v/>
      </c>
    </row>
    <row r="16">
      <c r="B16" s="2" t="inlineStr">
        <is>
          <t>Real estate taxes 2027, accrued to closing</t>
        </is>
      </c>
      <c r="C16" s="19">
        <f>ROUND('Inputs'!$C$28*'Inputs'!$C$4*'Prorations'!$C$7/365,0)</f>
        <v/>
      </c>
    </row>
    <row r="17">
      <c r="B17" s="2" t="inlineStr">
        <is>
          <t>Tenant cash security deposits</t>
        </is>
      </c>
      <c r="C17" s="19">
        <f>RentRoll!$H$14</f>
        <v/>
      </c>
    </row>
    <row r="18">
      <c r="B18" s="2" t="inlineStr">
        <is>
          <t>Bayline free rent after closing (rest of the month and June)</t>
        </is>
      </c>
      <c r="C18" s="19">
        <f>ROUND(RentRoll!F8*'Prorations'!$C$5/'Prorations'!$C$4+RentRoll!F8,2)</f>
        <v/>
      </c>
    </row>
    <row r="19">
      <c r="B19" s="2" t="inlineStr">
        <is>
          <t>Bayline unfunded improvements and unpaid commission</t>
        </is>
      </c>
      <c r="C19" s="19">
        <f>'Inputs'!$C$29+'Inputs'!$C$30</f>
        <v/>
      </c>
    </row>
    <row r="20">
      <c r="B20" s="2" t="inlineStr">
        <is>
          <t>Oakmont June rent paid in advance</t>
        </is>
      </c>
      <c r="C20" s="19">
        <f>RentRoll!F13</f>
        <v/>
      </c>
    </row>
    <row r="21">
      <c r="B21" s="6" t="inlineStr">
        <is>
          <t>Total prorations and lease credits</t>
        </is>
      </c>
      <c r="C21" s="23">
        <f>SUM(C13:C20)</f>
        <v/>
      </c>
    </row>
    <row r="23">
      <c r="B23" s="2" t="inlineStr">
        <is>
          <t>Free rent and leasing costs together</t>
        </is>
      </c>
      <c r="C23" s="19">
        <f>'Prorations'!$C$18+'Prorations'!$C$19</f>
        <v/>
      </c>
    </row>
    <row r="24">
      <c r="B24" s="2" t="inlineStr">
        <is>
          <t>Taxes together</t>
        </is>
      </c>
      <c r="C24" s="19">
        <f>'Prorations'!$C$15+'Prorations'!$C$16</f>
        <v/>
      </c>
    </row>
    <row r="25">
      <c r="B25" s="2" t="inlineStr">
        <is>
          <t>Mesa arrears, not prorated (3 months)</t>
        </is>
      </c>
      <c r="C25" s="19">
        <f>RentRoll!F11*3</f>
        <v/>
      </c>
    </row>
    <row r="26">
      <c r="B26" s="2" t="inlineStr">
        <is>
          <t>of which buyer's days in May</t>
        </is>
      </c>
      <c r="C26" s="19">
        <f>ROUND(RentRoll!F11*'Prorations'!$C$5/'Prorations'!$C$4,2)</f>
        <v/>
      </c>
    </row>
    <row r="27">
      <c r="B27" s="2" t="inlineStr">
        <is>
          <t>of which seller's period</t>
        </is>
      </c>
      <c r="C27" s="19">
        <f>'Prorations'!$C$25-'Prorations'!$C$26</f>
        <v/>
      </c>
    </row>
    <row r="28">
      <c r="B28" s="2" t="inlineStr">
        <is>
          <t>2027 recoverable costs per sq ft (2027 taxes + 2026 insurance and CAM)</t>
        </is>
      </c>
      <c r="C28" s="19">
        <f>'Inputs'!$C$28+'Inputs'!$C$5-'Inputs'!$C$27</f>
        <v/>
      </c>
    </row>
    <row r="29">
      <c r="B29" s="2" t="inlineStr">
        <is>
          <t>2027 reconciliation deficit (actual less estimate, leased sq ft)</t>
        </is>
      </c>
      <c r="C29" s="15">
        <f>ROUND(('Prorations'!$C$28-'Inputs'!$C$26)*RentRoll!$C$14,0)</f>
        <v/>
      </c>
    </row>
    <row r="30">
      <c r="B30" s="2" t="inlineStr">
        <is>
          <t>Seller's share, paid by buyer after collection</t>
        </is>
      </c>
      <c r="C30" s="15">
        <f>ROUND('Prorations'!$C$29*'Prorations'!$C$7/365,0)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C4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2">
      <c r="B2" s="1" t="inlineStr">
        <is>
          <t>Closing statement and funds flow (chapter 13)</t>
        </is>
      </c>
    </row>
    <row r="4">
      <c r="B4" s="6" t="inlineStr">
        <is>
          <t>Buyer's costs</t>
        </is>
      </c>
    </row>
    <row r="5">
      <c r="B5" s="2" t="inlineStr">
        <is>
          <t>Owner's policy, extended coverage and endorsements</t>
        </is>
      </c>
      <c r="C5" s="15">
        <f>'Inputs'!$C$36</f>
        <v/>
      </c>
    </row>
    <row r="6">
      <c r="B6" s="2" t="inlineStr">
        <is>
          <t>Lender's policy</t>
        </is>
      </c>
      <c r="C6" s="15">
        <f>'Inputs'!$C$37</f>
        <v/>
      </c>
    </row>
    <row r="7">
      <c r="B7" s="2" t="inlineStr">
        <is>
          <t>Escrow fee, half</t>
        </is>
      </c>
      <c r="C7" s="15">
        <f>'Inputs'!$C$38/2</f>
        <v/>
      </c>
    </row>
    <row r="8">
      <c r="B8" s="2" t="inlineStr">
        <is>
          <t>Recording fees</t>
        </is>
      </c>
      <c r="C8" s="15">
        <f>'Inputs'!$C$39</f>
        <v/>
      </c>
    </row>
    <row r="9">
      <c r="B9" s="2" t="inlineStr">
        <is>
          <t>Loan amount (memo, not a cost)</t>
        </is>
      </c>
      <c r="C9" s="15">
        <f>ROUND('RentRoll'!$C$20*'Inputs'!$C$42,0)</f>
        <v/>
      </c>
    </row>
    <row r="10">
      <c r="B10" s="2" t="inlineStr">
        <is>
          <t>Loan origination fee</t>
        </is>
      </c>
      <c r="C10" s="15">
        <f>ROUND('Closing'!$C$9*'Inputs'!$C$43,0)</f>
        <v/>
      </c>
    </row>
    <row r="11">
      <c r="B11" s="6" t="inlineStr">
        <is>
          <t>Total buyer's costs</t>
        </is>
      </c>
      <c r="C11" s="23">
        <f>C5+C6+C7+C8+C10</f>
        <v/>
      </c>
    </row>
    <row r="13">
      <c r="B13" s="6" t="inlineStr">
        <is>
          <t>Seller's costs</t>
        </is>
      </c>
    </row>
    <row r="14">
      <c r="B14" s="2" t="inlineStr">
        <is>
          <t>Transfer tax</t>
        </is>
      </c>
      <c r="C14" s="15">
        <f>ROUND('RentRoll'!$C$20*'Inputs'!$C$34,0)</f>
        <v/>
      </c>
    </row>
    <row r="15">
      <c r="B15" s="2" t="inlineStr">
        <is>
          <t>Owner's policy, basic premium</t>
        </is>
      </c>
      <c r="C15" s="15">
        <f>'Inputs'!$C$35</f>
        <v/>
      </c>
    </row>
    <row r="16">
      <c r="B16" s="2" t="inlineStr">
        <is>
          <t>Escrow fee, half</t>
        </is>
      </c>
      <c r="C16" s="15">
        <f>'Inputs'!$C$38/2</f>
        <v/>
      </c>
    </row>
    <row r="17">
      <c r="B17" s="2" t="inlineStr">
        <is>
          <t>Broker commission</t>
        </is>
      </c>
      <c r="C17" s="15">
        <f>ROUND('RentRoll'!$C$20*'Inputs'!$C$40,0)</f>
        <v/>
      </c>
    </row>
    <row r="18">
      <c r="B18" s="2" t="inlineStr">
        <is>
          <t>Letter of credit transfer fee</t>
        </is>
      </c>
      <c r="C18" s="15">
        <f>'Inputs'!$C$41</f>
        <v/>
      </c>
    </row>
    <row r="19">
      <c r="B19" s="6" t="inlineStr">
        <is>
          <t>Total seller's costs</t>
        </is>
      </c>
      <c r="C19" s="23">
        <f>SUM(C14:C18)</f>
        <v/>
      </c>
    </row>
    <row r="21">
      <c r="B21" s="6" t="inlineStr">
        <is>
          <t>Buyer's side</t>
        </is>
      </c>
    </row>
    <row r="22">
      <c r="B22" s="2" t="inlineStr">
        <is>
          <t>Purchase price</t>
        </is>
      </c>
      <c r="C22" s="19">
        <f>'RentRoll'!$C$20</f>
        <v/>
      </c>
    </row>
    <row r="23">
      <c r="B23" s="2" t="inlineStr">
        <is>
          <t>Less deposit</t>
        </is>
      </c>
      <c r="C23" s="19">
        <f>-'AtRisk'!$C$17</f>
        <v/>
      </c>
    </row>
    <row r="24">
      <c r="B24" s="2" t="inlineStr">
        <is>
          <t>Less prorations and credits</t>
        </is>
      </c>
      <c r="C24" s="19">
        <f>-'Prorations'!$C$21</f>
        <v/>
      </c>
    </row>
    <row r="25">
      <c r="B25" s="2" t="inlineStr">
        <is>
          <t>Less hail damage deductible</t>
        </is>
      </c>
      <c r="C25" s="19">
        <f>-'Inputs'!$C$32</f>
        <v/>
      </c>
    </row>
    <row r="26">
      <c r="B26" s="2" t="inlineStr">
        <is>
          <t>Plus buyer's costs</t>
        </is>
      </c>
      <c r="C26" s="19">
        <f>'Closing'!$C$11</f>
        <v/>
      </c>
    </row>
    <row r="27">
      <c r="B27" s="2" t="inlineStr">
        <is>
          <t>Less loan proceeds</t>
        </is>
      </c>
      <c r="C27" s="19">
        <f>-'Closing'!$C$9</f>
        <v/>
      </c>
    </row>
    <row r="28">
      <c r="B28" s="6" t="inlineStr">
        <is>
          <t>Cash due from buyer at closing</t>
        </is>
      </c>
      <c r="C28" s="23">
        <f>SUM(C22:C27)</f>
        <v/>
      </c>
    </row>
    <row r="29">
      <c r="B29" s="2" t="inlineStr">
        <is>
          <t>Buyer's equity (cash at closing plus deposit)</t>
        </is>
      </c>
      <c r="C29" s="19">
        <f>'Closing'!$C$28+'AtRisk'!$C$17</f>
        <v/>
      </c>
    </row>
    <row r="30">
      <c r="B30" s="2" t="inlineStr">
        <is>
          <t>Naive equity (price less loan)</t>
        </is>
      </c>
      <c r="C30" s="19">
        <f>'RentRoll'!$C$20-'Closing'!$C$9</f>
        <v/>
      </c>
    </row>
    <row r="31">
      <c r="B31" s="2" t="inlineStr">
        <is>
          <t>Credits excluding the deposit</t>
        </is>
      </c>
      <c r="C31" s="19">
        <f>'Prorations'!$C$21+'Inputs'!$C$32</f>
        <v/>
      </c>
    </row>
    <row r="32">
      <c r="B32" s="2" t="inlineStr">
        <is>
          <t>Credits as percent of price</t>
        </is>
      </c>
      <c r="C32" s="18">
        <f>'Closing'!$C$31/'RentRoll'!$C$20</f>
        <v/>
      </c>
    </row>
    <row r="34">
      <c r="B34" s="6" t="inlineStr">
        <is>
          <t>Seller's side</t>
        </is>
      </c>
    </row>
    <row r="35">
      <c r="B35" s="2" t="inlineStr">
        <is>
          <t>Proceeds before debt</t>
        </is>
      </c>
      <c r="C35" s="19">
        <f>'RentRoll'!$C$20-'Closing'!$C$31-'Closing'!$C$19</f>
        <v/>
      </c>
    </row>
    <row r="36">
      <c r="B36" s="2" t="inlineStr">
        <is>
          <t>Proceeds after payoff</t>
        </is>
      </c>
      <c r="C36" s="19">
        <f>'Closing'!$C$35-'Inputs'!$C$44</f>
        <v/>
      </c>
    </row>
    <row r="37">
      <c r="B37" s="6" t="inlineStr">
        <is>
          <t>Paid to qualified intermediary (after holdback)</t>
        </is>
      </c>
      <c r="C37" s="23">
        <f>'Closing'!$C$36-'Inputs'!$C$24</f>
        <v/>
      </c>
    </row>
    <row r="39">
      <c r="B39" s="6" t="inlineStr">
        <is>
          <t>Funds flow</t>
        </is>
      </c>
    </row>
    <row r="40">
      <c r="B40" s="2" t="inlineStr">
        <is>
          <t>Sources: deposit + buyer's wire + lender's wire</t>
        </is>
      </c>
      <c r="C40" s="19">
        <f>'AtRisk'!$C$17+'Closing'!$C$28+'Closing'!$C$9</f>
        <v/>
      </c>
    </row>
    <row r="41">
      <c r="B41" s="2" t="inlineStr">
        <is>
          <t>Uses: payoff + intermediary + holdback + seller's costs + buyer's costs</t>
        </is>
      </c>
      <c r="C41" s="19">
        <f>'Inputs'!$C$44+'Closing'!$C$37+'Inputs'!$C$24+'Closing'!$C$19+'Closing'!$C$11</f>
        <v/>
      </c>
    </row>
    <row r="42">
      <c r="B42" s="6" t="inlineStr">
        <is>
          <t>Sources less uses</t>
        </is>
      </c>
      <c r="C42" s="23">
        <f>ROUND('Closing'!$C$40-'Closing'!$C$41,2)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C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2">
      <c r="B2" s="1" t="inlineStr">
        <is>
          <t>Casualty and remedies (chapters 14 and 15)</t>
        </is>
      </c>
    </row>
    <row r="4">
      <c r="B4" s="2" t="inlineStr">
        <is>
          <t>Casualty materiality threshold</t>
        </is>
      </c>
      <c r="C4" s="15">
        <f>ROUND('RentRoll'!$C$20*'Inputs'!$C$33,0)</f>
        <v/>
      </c>
    </row>
    <row r="5">
      <c r="B5" s="2" t="inlineStr">
        <is>
          <t>Hail damage is material (1 = yes)</t>
        </is>
      </c>
      <c r="C5" s="24">
        <f>IF('Inputs'!$C$31&gt;'Casualty_Remedies'!$C$4,1,0)</f>
        <v/>
      </c>
    </row>
    <row r="6">
      <c r="B6" s="2" t="inlineStr">
        <is>
          <t>Credit to buyer for the deductible</t>
        </is>
      </c>
      <c r="C6" s="15">
        <f>IF('Casualty_Remedies'!$C$5=0,'Inputs'!$C$32,0)</f>
        <v/>
      </c>
    </row>
    <row r="8">
      <c r="B8" s="2" t="inlineStr">
        <is>
          <t>Seller's loss on a market fall</t>
        </is>
      </c>
      <c r="C8" s="15">
        <f>ROUND('RentRoll'!$C$20*'Inputs'!$C$46,0)</f>
        <v/>
      </c>
    </row>
    <row r="9">
      <c r="B9" s="2" t="inlineStr">
        <is>
          <t>Uncompensated after keeping the deposit</t>
        </is>
      </c>
      <c r="C9" s="15">
        <f>'Casualty_Remedies'!$C$8-'AtRisk'!$C$17</f>
        <v/>
      </c>
    </row>
    <row r="10">
      <c r="B10" s="2" t="inlineStr">
        <is>
          <t>Buyer's diligence costs unrecovered on seller default</t>
        </is>
      </c>
      <c r="C10" s="15">
        <f>MAX(0,'AtRisk'!$C$15-'Inputs'!$C$45)</f>
        <v/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C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2">
      <c r="B2" s="1" t="inlineStr">
        <is>
          <t>Seller's 1031 deadlines and withholding (chapter 16)</t>
        </is>
      </c>
    </row>
    <row r="4">
      <c r="B4" s="2" t="inlineStr">
        <is>
          <t>Identification deadline (45 calendar days, no weekend rule)</t>
        </is>
      </c>
      <c r="C4" s="20">
        <f>'Timeline'!$C$10+45</f>
        <v/>
      </c>
    </row>
    <row r="5">
      <c r="B5" s="2" t="inlineStr">
        <is>
          <t>Exchange deadline (180 calendar days)</t>
        </is>
      </c>
      <c r="C5" s="20">
        <f>'Timeline'!$C$10+180</f>
        <v/>
      </c>
    </row>
    <row r="6">
      <c r="B6" s="2" t="inlineStr">
        <is>
          <t>If the buyer extends: identification</t>
        </is>
      </c>
      <c r="C6" s="20">
        <f>'Timeline'!$C$12+45</f>
        <v/>
      </c>
    </row>
    <row r="7">
      <c r="B7" s="2" t="inlineStr">
        <is>
          <t>If the buyer extends: exchange</t>
        </is>
      </c>
      <c r="C7" s="20">
        <f>'Timeline'!$C$12+180</f>
        <v/>
      </c>
    </row>
    <row r="8">
      <c r="B8" s="2" t="inlineStr">
        <is>
          <t>Withholding if the seller were foreign (general rule, illustration)</t>
        </is>
      </c>
      <c r="C8" s="15">
        <f>ROUND('RentRoll'!$C$20*'Inputs'!$C$47,0)</f>
        <v/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C3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2">
      <c r="B2" s="1" t="inlineStr">
        <is>
          <t>Appendix C practice cases</t>
        </is>
      </c>
    </row>
    <row r="4">
      <c r="B4" s="6" t="inlineStr">
        <is>
          <t>Case 1</t>
        </is>
      </c>
    </row>
    <row r="5">
      <c r="B5" s="2" t="inlineStr">
        <is>
          <t>Price</t>
        </is>
      </c>
      <c r="C5" s="7" t="n">
        <v>40000000</v>
      </c>
    </row>
    <row r="6">
      <c r="B6" s="2" t="inlineStr">
        <is>
          <t>Deposit, two tranches</t>
        </is>
      </c>
      <c r="C6" s="7" t="n">
        <v>1000000</v>
      </c>
    </row>
    <row r="7">
      <c r="B7" s="2" t="inlineStr">
        <is>
          <t>Diligence costs</t>
        </is>
      </c>
      <c r="C7" s="7" t="n">
        <v>290000</v>
      </c>
    </row>
    <row r="8">
      <c r="B8" s="2" t="inlineStr">
        <is>
          <t>Reimbursement cap</t>
        </is>
      </c>
      <c r="C8" s="7" t="n">
        <v>150000</v>
      </c>
    </row>
    <row r="9">
      <c r="B9" s="2" t="inlineStr">
        <is>
          <t>Market fall</t>
        </is>
      </c>
      <c r="C9" s="10" t="n">
        <v>0.04</v>
      </c>
    </row>
    <row r="10">
      <c r="B10" s="2" t="inlineStr">
        <is>
          <t>At risk before the hard date</t>
        </is>
      </c>
      <c r="C10" s="15">
        <f>'Cases'!$C$7</f>
        <v/>
      </c>
    </row>
    <row r="11">
      <c r="B11" s="2" t="inlineStr">
        <is>
          <t>At risk after the hard date</t>
        </is>
      </c>
      <c r="C11" s="15">
        <f>'Cases'!$C$7+'Cases'!$C$6</f>
        <v/>
      </c>
    </row>
    <row r="12">
      <c r="B12" s="2" t="inlineStr">
        <is>
          <t>Unrecovered on seller default</t>
        </is>
      </c>
      <c r="C12" s="15">
        <f>'Cases'!$C$7-'Cases'!$C$8</f>
        <v/>
      </c>
    </row>
    <row r="13">
      <c r="B13" s="2" t="inlineStr">
        <is>
          <t>Seller's uncompensated loss</t>
        </is>
      </c>
      <c r="C13" s="15">
        <f>'Cases'!$C$5*'Cases'!$C$9-'Cases'!$C$6</f>
        <v/>
      </c>
    </row>
    <row r="15">
      <c r="B15" s="6" t="inlineStr">
        <is>
          <t>Case 2</t>
        </is>
      </c>
    </row>
    <row r="16">
      <c r="B16" s="2" t="inlineStr">
        <is>
          <t>Closing date</t>
        </is>
      </c>
      <c r="C16" s="9" t="n">
        <v>46548</v>
      </c>
    </row>
    <row r="17">
      <c r="B17" s="2" t="inlineStr">
        <is>
          <t>Buyer's days (buyer owns the closing day)</t>
        </is>
      </c>
      <c r="C17" s="15">
        <f>30-DAY('Cases'!$C$16)+1</f>
        <v/>
      </c>
    </row>
    <row r="18">
      <c r="B18" s="2" t="inlineStr">
        <is>
          <t>Rent credit</t>
        </is>
      </c>
      <c r="C18" s="19">
        <f>180000*'Cases'!$C$17/30</f>
        <v/>
      </c>
    </row>
    <row r="19">
      <c r="B19" s="2" t="inlineStr">
        <is>
          <t>Prior year taxes</t>
        </is>
      </c>
      <c r="C19" s="7" t="n">
        <v>420000</v>
      </c>
    </row>
    <row r="20">
      <c r="B20" s="2" t="inlineStr">
        <is>
          <t>Current year taxes accrued</t>
        </is>
      </c>
      <c r="C20" s="15">
        <f>ROUND(432000*('Cases'!$C$16-DATE(2027,1,1))/365,0)</f>
        <v/>
      </c>
    </row>
    <row r="21">
      <c r="B21" s="2" t="inlineStr">
        <is>
          <t>Free rent credit</t>
        </is>
      </c>
      <c r="C21" s="19">
        <f>15000*'Cases'!$C$17/30+15000</f>
        <v/>
      </c>
    </row>
    <row r="22">
      <c r="B22" s="2" t="inlineStr">
        <is>
          <t>Security deposits</t>
        </is>
      </c>
      <c r="C22" s="7" t="n">
        <v>210000</v>
      </c>
    </row>
    <row r="23">
      <c r="B23" s="6" t="inlineStr">
        <is>
          <t>Total credits</t>
        </is>
      </c>
      <c r="C23" s="23">
        <f>'Cases'!$C$18+'Cases'!$C$19+'Cases'!$C$20+'Cases'!$C$21+'Cases'!$C$22</f>
        <v/>
      </c>
    </row>
    <row r="24">
      <c r="B24" s="2" t="inlineStr">
        <is>
          <t>Rent credit if the seller owned the closing day</t>
        </is>
      </c>
      <c r="C24" s="19">
        <f>180000*('Cases'!$C$17-1)/30</f>
        <v/>
      </c>
    </row>
    <row r="26">
      <c r="B26" s="6" t="inlineStr">
        <is>
          <t>Case 3</t>
        </is>
      </c>
    </row>
    <row r="27">
      <c r="B27" s="2" t="inlineStr">
        <is>
          <t>Annual shortfall</t>
        </is>
      </c>
      <c r="C27" s="15">
        <f>60000*0.5</f>
        <v/>
      </c>
    </row>
    <row r="28">
      <c r="B28" s="2" t="inlineStr">
        <is>
          <t>Lost rent, 24 months</t>
        </is>
      </c>
      <c r="C28" s="15">
        <f>'Cases'!$C$27*2</f>
        <v/>
      </c>
    </row>
    <row r="29">
      <c r="B29" s="2" t="inlineStr">
        <is>
          <t>Value loss at 6.5 percent</t>
        </is>
      </c>
      <c r="C29" s="15">
        <f>ROUND('Cases'!$C$27/0.065,0)</f>
        <v/>
      </c>
    </row>
    <row r="30">
      <c r="B30" s="2" t="inlineStr">
        <is>
          <t>Cap, 1.5 percent of 40,000,000</t>
        </is>
      </c>
      <c r="C30" s="15">
        <f>40000000*0.015</f>
        <v/>
      </c>
    </row>
    <row r="31">
      <c r="B31" s="2" t="inlineStr">
        <is>
          <t>Present value, 24 months at 6.5 percent</t>
        </is>
      </c>
      <c r="C31" s="15">
        <f>ROUND('Cases'!$C$27/12*(1-(1+0.065/12)^(-24))/(0.065/12),0)</f>
        <v/>
      </c>
    </row>
    <row r="32">
      <c r="B32" s="2" t="inlineStr">
        <is>
          <t>Recovery on value, deductible 100,000</t>
        </is>
      </c>
      <c r="C32" s="15">
        <f>MIN('Cases'!$C$29-100000,'Cases'!$C$30)</f>
        <v/>
      </c>
    </row>
    <row r="33">
      <c r="B33" s="2" t="inlineStr">
        <is>
          <t>Recovery on value, tipping</t>
        </is>
      </c>
      <c r="C33" s="15">
        <f>MIN('Cases'!$C$29,'Cases'!$C$30)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2026-10-10T01:07:41Z</dcterms:created>
  <dcterms:modified xmlns:dcterms="http://purl.org/dc/terms/" xmlns:xsi="http://www.w3.org/2001/XMLSchema-instance" xsi:type="dcterms:W3CDTF">2026-10-10T01:07:41Z</dcterms:modified>
</cp:coreProperties>
</file>