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arcs\Documents\Books\The Private Real Estate Lender\_source\_fab\prl\out_companion\"/>
    </mc:Choice>
  </mc:AlternateContent>
  <xr:revisionPtr revIDLastSave="0" documentId="8_{17F6D14F-BAB8-4C01-A85B-254291DCA52E}" xr6:coauthVersionLast="47" xr6:coauthVersionMax="47" xr10:uidLastSave="{00000000-0000-0000-0000-000000000000}"/>
  <bookViews>
    <workbookView xWindow="7200" yWindow="4185" windowWidth="21600" windowHeight="11295" xr2:uid="{00000000-000D-0000-FFFF-FFFF00000000}"/>
  </bookViews>
  <sheets>
    <sheet name="Read Me" sheetId="1" r:id="rId1"/>
    <sheet name="Inputs" sheetId="2" r:id="rId2"/>
    <sheet name="Loan Sizing" sheetId="3" r:id="rId3"/>
    <sheet name="Lender Yield" sheetId="4" r:id="rId4"/>
    <sheet name="Capital Stack" sheetId="5" r:id="rId5"/>
    <sheet name="Leverage" sheetId="6" r:id="rId6"/>
    <sheet name="Workout" sheetId="7" r:id="rId7"/>
    <sheet name="Fund II" sheetId="8" r:id="rId8"/>
    <sheet name="Checks" sheetId="9" r:id="rId9"/>
  </sheets>
  <calcPr calcId="191029"/>
</workbook>
</file>

<file path=xl/calcChain.xml><?xml version="1.0" encoding="utf-8"?>
<calcChain xmlns="http://schemas.openxmlformats.org/spreadsheetml/2006/main">
  <c r="I11" i="8" l="1"/>
  <c r="H11" i="8"/>
  <c r="G11" i="8"/>
  <c r="F11" i="8"/>
  <c r="D11" i="8"/>
  <c r="C11" i="8"/>
  <c r="I6" i="8"/>
  <c r="H6" i="8"/>
  <c r="G6" i="8"/>
  <c r="F6" i="8"/>
  <c r="E6" i="8"/>
  <c r="D6" i="8"/>
  <c r="C6" i="8"/>
  <c r="I5" i="8"/>
  <c r="H5" i="8"/>
  <c r="G5" i="8"/>
  <c r="F5" i="8"/>
  <c r="E5" i="8"/>
  <c r="D5" i="8"/>
  <c r="C5" i="8"/>
  <c r="C12" i="8" s="1"/>
  <c r="C19" i="7"/>
  <c r="D23" i="9" s="1"/>
  <c r="E23" i="9" s="1"/>
  <c r="C18" i="7"/>
  <c r="D22" i="9" s="1"/>
  <c r="E22" i="9" s="1"/>
  <c r="F14" i="7"/>
  <c r="E14" i="7"/>
  <c r="D14" i="7"/>
  <c r="C13" i="7"/>
  <c r="C10" i="7"/>
  <c r="C11" i="7" s="1"/>
  <c r="D20" i="9" s="1"/>
  <c r="E20" i="9" s="1"/>
  <c r="C7" i="7"/>
  <c r="C8" i="7" s="1"/>
  <c r="C6" i="7"/>
  <c r="C5" i="7"/>
  <c r="C15" i="6"/>
  <c r="C19" i="6" s="1"/>
  <c r="C14" i="6"/>
  <c r="C16" i="6" s="1"/>
  <c r="C10" i="6"/>
  <c r="C8" i="6"/>
  <c r="C6" i="6"/>
  <c r="C5" i="6"/>
  <c r="C7" i="6" s="1"/>
  <c r="C10" i="5"/>
  <c r="C9" i="5"/>
  <c r="C8" i="5"/>
  <c r="D7" i="5"/>
  <c r="C7" i="5"/>
  <c r="C4" i="5"/>
  <c r="F7" i="5" s="1"/>
  <c r="F9" i="4"/>
  <c r="E5" i="4"/>
  <c r="D5" i="4"/>
  <c r="C5" i="4"/>
  <c r="C22" i="3"/>
  <c r="C20" i="3"/>
  <c r="C17" i="3"/>
  <c r="C15" i="3"/>
  <c r="C12" i="3"/>
  <c r="D7" i="9" s="1"/>
  <c r="E7" i="9" s="1"/>
  <c r="C7" i="3"/>
  <c r="C6" i="3"/>
  <c r="C10" i="3" s="1"/>
  <c r="C5" i="3"/>
  <c r="C9" i="3" s="1"/>
  <c r="C9" i="7" l="1"/>
  <c r="F13" i="7"/>
  <c r="E13" i="7"/>
  <c r="D13" i="7"/>
  <c r="G10" i="5"/>
  <c r="E9" i="5"/>
  <c r="D10" i="5"/>
  <c r="G9" i="5"/>
  <c r="G8" i="5"/>
  <c r="D14" i="9" s="1"/>
  <c r="E14" i="9" s="1"/>
  <c r="F8" i="5"/>
  <c r="F10" i="5"/>
  <c r="D8" i="5"/>
  <c r="G7" i="5"/>
  <c r="E7" i="5"/>
  <c r="E10" i="5"/>
  <c r="D12" i="8"/>
  <c r="D7" i="8"/>
  <c r="C7" i="8"/>
  <c r="D19" i="9"/>
  <c r="E19" i="9" s="1"/>
  <c r="C18" i="6"/>
  <c r="C17" i="6"/>
  <c r="C9" i="6"/>
  <c r="D16" i="9" s="1"/>
  <c r="E16" i="9" s="1"/>
  <c r="C11" i="6"/>
  <c r="D17" i="9" s="1"/>
  <c r="E17" i="9" s="1"/>
  <c r="C12" i="6"/>
  <c r="D18" i="9" s="1"/>
  <c r="E18" i="9" s="1"/>
  <c r="D15" i="9"/>
  <c r="E15" i="9" s="1"/>
  <c r="F9" i="5"/>
  <c r="D9" i="5"/>
  <c r="C11" i="5"/>
  <c r="E8" i="5"/>
  <c r="F8" i="4"/>
  <c r="F7" i="4"/>
  <c r="F10" i="4" s="1"/>
  <c r="C6" i="4"/>
  <c r="C10" i="4" s="1"/>
  <c r="C12" i="4" s="1"/>
  <c r="C27" i="3"/>
  <c r="C28" i="3" s="1"/>
  <c r="D12" i="9" s="1"/>
  <c r="E12" i="9" s="1"/>
  <c r="C23" i="3"/>
  <c r="D10" i="9" s="1"/>
  <c r="E10" i="9" s="1"/>
  <c r="C21" i="3"/>
  <c r="D9" i="9" s="1"/>
  <c r="E9" i="9" s="1"/>
  <c r="C19" i="3"/>
  <c r="D8" i="9" s="1"/>
  <c r="E8" i="9" s="1"/>
  <c r="C13" i="4"/>
  <c r="E7" i="4"/>
  <c r="E10" i="4" s="1"/>
  <c r="D7" i="4"/>
  <c r="D10" i="4" s="1"/>
  <c r="C24" i="3"/>
  <c r="C11" i="3"/>
  <c r="D6" i="9" s="1"/>
  <c r="E6" i="9" s="1"/>
  <c r="C13" i="3"/>
  <c r="D5" i="9"/>
  <c r="E5" i="9" s="1"/>
  <c r="C17" i="7" l="1"/>
  <c r="E12" i="8"/>
  <c r="E7" i="8"/>
  <c r="D8" i="8"/>
  <c r="D9" i="8"/>
  <c r="D10" i="8"/>
  <c r="C8" i="8"/>
  <c r="C9" i="8"/>
  <c r="C10" i="8"/>
  <c r="C14" i="4"/>
  <c r="D13" i="9"/>
  <c r="E13" i="9" s="1"/>
  <c r="C25" i="3"/>
  <c r="D11" i="9" s="1"/>
  <c r="E11" i="9" s="1"/>
  <c r="C26" i="3"/>
  <c r="C14" i="3"/>
  <c r="C18" i="3"/>
  <c r="C20" i="7" l="1"/>
  <c r="C21" i="7"/>
  <c r="D21" i="9"/>
  <c r="E21" i="9" s="1"/>
  <c r="F12" i="8"/>
  <c r="F7" i="8"/>
  <c r="E8" i="8"/>
  <c r="E9" i="8"/>
  <c r="E10" i="8"/>
  <c r="D16" i="8"/>
  <c r="D13" i="8"/>
  <c r="D15" i="8" s="1"/>
  <c r="C16" i="8"/>
  <c r="C13" i="8"/>
  <c r="D24" i="9" l="1"/>
  <c r="E24" i="9" s="1"/>
  <c r="E11" i="8"/>
  <c r="G12" i="8"/>
  <c r="G7" i="8"/>
  <c r="F8" i="8"/>
  <c r="F9" i="8"/>
  <c r="F10" i="8"/>
  <c r="E16" i="8"/>
  <c r="E13" i="8"/>
  <c r="E15" i="8" s="1"/>
  <c r="C15" i="8"/>
  <c r="H12" i="8" l="1"/>
  <c r="H7" i="8"/>
  <c r="G8" i="8"/>
  <c r="G9" i="8"/>
  <c r="G10" i="8"/>
  <c r="F16" i="8"/>
  <c r="F13" i="8"/>
  <c r="I12" i="8" l="1"/>
  <c r="I7" i="8"/>
  <c r="H8" i="8"/>
  <c r="H9" i="8"/>
  <c r="H10" i="8"/>
  <c r="G13" i="8"/>
  <c r="G16" i="8"/>
  <c r="F15" i="8"/>
  <c r="I8" i="8" l="1"/>
  <c r="I9" i="8"/>
  <c r="C24" i="8" s="1"/>
  <c r="D30" i="9" s="1"/>
  <c r="E30" i="9" s="1"/>
  <c r="I10" i="8"/>
  <c r="C25" i="8" s="1"/>
  <c r="D31" i="9" s="1"/>
  <c r="E31" i="9" s="1"/>
  <c r="C23" i="8"/>
  <c r="H13" i="8"/>
  <c r="H16" i="8"/>
  <c r="G15" i="8"/>
  <c r="I13" i="8" l="1"/>
  <c r="I16" i="8"/>
  <c r="C19" i="8" s="1"/>
  <c r="D26" i="9" s="1"/>
  <c r="E26" i="9" s="1"/>
  <c r="H15" i="8"/>
  <c r="C18" i="8"/>
  <c r="D25" i="9" s="1"/>
  <c r="E25" i="9" s="1"/>
  <c r="C20" i="8" l="1"/>
  <c r="D27" i="9" s="1"/>
  <c r="E27" i="9" s="1"/>
  <c r="I14" i="8"/>
  <c r="I15" i="8" l="1"/>
  <c r="C26" i="8"/>
  <c r="D32" i="9" s="1"/>
  <c r="E32" i="9" s="1"/>
  <c r="C22" i="8" l="1"/>
  <c r="D29" i="9" s="1"/>
  <c r="E29" i="9" s="1"/>
  <c r="C21" i="8"/>
  <c r="D28" i="9" s="1"/>
  <c r="E28" i="9" s="1"/>
  <c r="D34" i="9" l="1"/>
</calcChain>
</file>

<file path=xl/sharedStrings.xml><?xml version="1.0" encoding="utf-8"?>
<sst xmlns="http://schemas.openxmlformats.org/spreadsheetml/2006/main" count="274" uniqueCount="233">
  <si>
    <t>The Private Real Estate Lender: companion workbook</t>
  </si>
  <si>
    <t>This workbook rebuilds the Calder Ridge case of The Private Real Estate Lender (Julian R. Sterling, 2026) with live formulas.</t>
  </si>
  <si>
    <t>Blue cells on a light blue background are inputs. Everything else is a formula. Amounts in US$ million unless stated; annual flows at year end; SOFR flat.</t>
  </si>
  <si>
    <t>Inputs: every assumption of the case (base rate, Mercer Street loan, credit box, Dunmore stack, Fund II economics and terms, Linden Street workout).</t>
  </si>
  <si>
    <t>Loan Sizing (Chapter 6): the maximum loan under each of the four tests on Mercer Street, the binding test, and the metrics of the loan as made.</t>
  </si>
  <si>
    <t>Lender Yield (Chapter 8): Mercer Street's cash flows to the lender and the IRR, against the coupon.</t>
  </si>
  <si>
    <t>Capital Stack (Chapter 5): the Dunmore development, attachment and detachment points on cost and on completed value.</t>
  </si>
  <si>
    <t>Leverage (Chapters 3, 10 and 11): the unit economics of a senior loan, unlevered, on repo and in a CRE CLO, and the SOFR sensitivity; the Fund II book.</t>
  </si>
  <si>
    <t>Workout (Chapters 10 and 14): Linden Street, the margin call, the three options at present value and the loss.</t>
  </si>
  <si>
    <t>Fund II (Chapter 12): calls, income, fees, expenses, the workout loss, carry, gross and net IRR and multiple.</t>
  </si>
  <si>
    <t>Checks: the figures printed in the book beside the formulas that produce them. ALL CHECKS OK on the default inputs.</t>
  </si>
  <si>
    <t>Everything in the case is fictional and illustrative; the model is annual and simplified. Nothing here is investment, legal, tax or accounting advice. No macro, no circular reference, no external link.</t>
  </si>
  <si>
    <t>Inputs (blue cells)</t>
  </si>
  <si>
    <t>Base rate</t>
  </si>
  <si>
    <t>Value</t>
  </si>
  <si>
    <t>Note</t>
  </si>
  <si>
    <t>SOFR, flat (case assumption)</t>
  </si>
  <si>
    <t>teaching simplification, not a forecast</t>
  </si>
  <si>
    <t>Mercer Street loan (Chapters 6 to 8)</t>
  </si>
  <si>
    <t>Purchase price = as-is value ($m)</t>
  </si>
  <si>
    <t>Renovation budget ($m)</t>
  </si>
  <si>
    <t>In-place NOI ($m)</t>
  </si>
  <si>
    <t>Stabilized NOI ($m)</t>
  </si>
  <si>
    <t>Stabilized cap rate</t>
  </si>
  <si>
    <t>Loan spread over SOFR</t>
  </si>
  <si>
    <t>Origination fee (of commitment)</t>
  </si>
  <si>
    <t>Exit fee (of commitment)</t>
  </si>
  <si>
    <t>Initial funding ($m)</t>
  </si>
  <si>
    <t>Future funding for the renovation ($m)</t>
  </si>
  <si>
    <t>drawn half at end of year 1, half at end of year 2</t>
  </si>
  <si>
    <t>Calder Ridge credit box</t>
  </si>
  <si>
    <t>Maximum loan to cost</t>
  </si>
  <si>
    <t>Maximum as-is loan to value (initial funding)</t>
  </si>
  <si>
    <t>Maximum as-stabilized loan to value</t>
  </si>
  <si>
    <t>Minimum stabilized debt yield</t>
  </si>
  <si>
    <t>Minimum stabilized DSCR (x)</t>
  </si>
  <si>
    <t>Dunmore capital stack (Chapter 5)</t>
  </si>
  <si>
    <t>Total cost ($m)</t>
  </si>
  <si>
    <t>Cap rate on completion</t>
  </si>
  <si>
    <t>Senior construction loan ($m)</t>
  </si>
  <si>
    <t>Mezzanine loan ($m)</t>
  </si>
  <si>
    <t>Preferred equity ($m)</t>
  </si>
  <si>
    <t>Common equity ($m)</t>
  </si>
  <si>
    <t>Fund II economics and terms (Chapters 3, 10 to 12)</t>
  </si>
  <si>
    <t>Fund II commitments ($m)</t>
  </si>
  <si>
    <t>Senior sleeve share of equity</t>
  </si>
  <si>
    <t>Senior loan spread over SOFR</t>
  </si>
  <si>
    <t>Origination fee</t>
  </si>
  <si>
    <t>Exit fee</t>
  </si>
  <si>
    <t>Expected loan life (years)</t>
  </si>
  <si>
    <t>Repo advance rate</t>
  </si>
  <si>
    <t>Repo spread over SOFR</t>
  </si>
  <si>
    <t>CRE CLO advance rate</t>
  </si>
  <si>
    <t>CRE CLO all-in cost over SOFR</t>
  </si>
  <si>
    <t>Subordinate sleeve unlevered yield</t>
  </si>
  <si>
    <t>Average senior loan ($m)</t>
  </si>
  <si>
    <t>Average subordinate position ($m)</t>
  </si>
  <si>
    <t>Management fee on invested equity</t>
  </si>
  <si>
    <t>Expenses on invested equity</t>
  </si>
  <si>
    <t>Carried interest</t>
  </si>
  <si>
    <t>Preferred return</t>
  </si>
  <si>
    <t>Capital called in 2024 ($m)</t>
  </si>
  <si>
    <t>Capital called in 2025 ($m)</t>
  </si>
  <si>
    <t>Capital called in 2026 ($m)</t>
  </si>
  <si>
    <t>Capital called in 2027 ($m)</t>
  </si>
  <si>
    <t>Capital called in 2028 ($m)</t>
  </si>
  <si>
    <t>Capital called in 2029 ($m)</t>
  </si>
  <si>
    <t>Capital called in 2030 ($m)</t>
  </si>
  <si>
    <t>Principal returned in 2024, share of called capital</t>
  </si>
  <si>
    <t>Principal returned in 2025, share of called capital</t>
  </si>
  <si>
    <t>Principal returned in 2026, share of called capital</t>
  </si>
  <si>
    <t>Principal returned in 2027, share of called capital</t>
  </si>
  <si>
    <t>Principal returned in 2028, share of called capital</t>
  </si>
  <si>
    <t>Principal returned in 2029, share of called capital</t>
  </si>
  <si>
    <t>Principal returned in 2030, share of called capital</t>
  </si>
  <si>
    <t>Year the workout loss is booked</t>
  </si>
  <si>
    <t>Linden Street workout (Chapters 10 and 14)</t>
  </si>
  <si>
    <t>Loan ($m)</t>
  </si>
  <si>
    <t>Value at origination ($m)</t>
  </si>
  <si>
    <t>NOI at origination ($m)</t>
  </si>
  <si>
    <t>NOI after the tenant leaves ($m)</t>
  </si>
  <si>
    <t>Cap rate after the tenant leaves</t>
  </si>
  <si>
    <t>Discount rate for the options</t>
  </si>
  <si>
    <t>A: sponsor paydown now ($m)</t>
  </si>
  <si>
    <t>A: A-note ($m)</t>
  </si>
  <si>
    <t>A: B-note ($m)</t>
  </si>
  <si>
    <t>A: share of accrued B-note recovered at year 3</t>
  </si>
  <si>
    <t>B: legal and carrying costs, year 1 ($m)</t>
  </si>
  <si>
    <t>B: leasing capital, year 2 ($m)</t>
  </si>
  <si>
    <t>B: sale price at year 3 ($m)</t>
  </si>
  <si>
    <t>B: selling costs</t>
  </si>
  <si>
    <t>C: note sale price (share of par)</t>
  </si>
  <si>
    <t>Repo advance on the loan</t>
  </si>
  <si>
    <t>Repo bank's mark (share of par)</t>
  </si>
  <si>
    <t>Mercer Street: sizing under the four tests</t>
  </si>
  <si>
    <t>Item</t>
  </si>
  <si>
    <t>As-stabilized value ($m)</t>
  </si>
  <si>
    <t>Loan rate</t>
  </si>
  <si>
    <t>Maximum loan under each test ($m)</t>
  </si>
  <si>
    <t>Loan to cost</t>
  </si>
  <si>
    <t>As-stabilized loan to value</t>
  </si>
  <si>
    <t>Stabilized DSCR at the loan rate</t>
  </si>
  <si>
    <t>Stabilized debt yield</t>
  </si>
  <si>
    <t>Maximum loan (lowest of the four)</t>
  </si>
  <si>
    <t>Binding test</t>
  </si>
  <si>
    <t>Maximum initial funding (as-is loan to value)</t>
  </si>
  <si>
    <t>The loan as made</t>
  </si>
  <si>
    <t>Commitment ($m)</t>
  </si>
  <si>
    <t>Within the maximum loan and initial funding?</t>
  </si>
  <si>
    <t>As-is loan to value (initial funding)</t>
  </si>
  <si>
    <t>In-place debt yield (initial funding)</t>
  </si>
  <si>
    <t>Stabilized debt yield (commitment)</t>
  </si>
  <si>
    <t>In-place interest ($m)</t>
  </si>
  <si>
    <t>In-place DSCR (x)</t>
  </si>
  <si>
    <t>Year-1 shortfall to cover from the interest reserve ($m)</t>
  </si>
  <si>
    <t>Stabilized interest ($m)</t>
  </si>
  <si>
    <t>Stabilized DSCR (x)</t>
  </si>
  <si>
    <t>Mercer Street: what the lender earns</t>
  </si>
  <si>
    <t>$ million</t>
  </si>
  <si>
    <t>Year 0</t>
  </si>
  <si>
    <t>Year 1</t>
  </si>
  <si>
    <t>Year 2</t>
  </si>
  <si>
    <t>Year 3</t>
  </si>
  <si>
    <t>Funding (negative)</t>
  </si>
  <si>
    <t>Interest</t>
  </si>
  <si>
    <t>Repayment</t>
  </si>
  <si>
    <t>Lender cash flow</t>
  </si>
  <si>
    <t>Lender IRR</t>
  </si>
  <si>
    <t>Coupon</t>
  </si>
  <si>
    <t>Fees add (IRR minus coupon)</t>
  </si>
  <si>
    <t>Dunmore: the capital stack</t>
  </si>
  <si>
    <t>Completed value ($m)</t>
  </si>
  <si>
    <t>Layer</t>
  </si>
  <si>
    <t>Attach (cost)</t>
  </si>
  <si>
    <t>Detach (cost)</t>
  </si>
  <si>
    <t>Attach (value)</t>
  </si>
  <si>
    <t>Detach (value)</t>
  </si>
  <si>
    <t>Senior loan</t>
  </si>
  <si>
    <t>Mezzanine</t>
  </si>
  <si>
    <t>Preferred equity</t>
  </si>
  <si>
    <t>Common equity</t>
  </si>
  <si>
    <t>Total = cost?</t>
  </si>
  <si>
    <t>Unit economics of a senior loan, and the Fund II book</t>
  </si>
  <si>
    <t>Fees per year (origination plus exit over the life)</t>
  </si>
  <si>
    <t>Unlevered asset yield</t>
  </si>
  <si>
    <t>Repo cost</t>
  </si>
  <si>
    <t>Levered return on equity, repo (before losses, fees, carry)</t>
  </si>
  <si>
    <t>CRE CLO all-in cost</t>
  </si>
  <si>
    <t>Levered return on equity, CRE CLO</t>
  </si>
  <si>
    <t>Repo-financed return if SOFR rises 1 point on both sides</t>
  </si>
  <si>
    <t>Fund II book at full deployment</t>
  </si>
  <si>
    <t>Senior sleeve equity ($m)</t>
  </si>
  <si>
    <t>Subordinate sleeve equity ($m)</t>
  </si>
  <si>
    <t>Senior loan book ($m)</t>
  </si>
  <si>
    <t>Repo borrowing ($m)</t>
  </si>
  <si>
    <t>Number of senior loans</t>
  </si>
  <si>
    <t>Number of subordinate positions</t>
  </si>
  <si>
    <t>Linden Street: margin call and the three options</t>
  </si>
  <si>
    <t>Loan to value at origination</t>
  </si>
  <si>
    <t>Value after the tenant leaves ($m)</t>
  </si>
  <si>
    <t>Loan to value after</t>
  </si>
  <si>
    <t>DSCR after (x)</t>
  </si>
  <si>
    <t>Repo balance on the loan ($m)</t>
  </si>
  <si>
    <t>Margin call ($m)</t>
  </si>
  <si>
    <t>Option cash flows ($m)</t>
  </si>
  <si>
    <t>A: modification</t>
  </si>
  <si>
    <t>B: foreclosure, lease-up, sale</t>
  </si>
  <si>
    <t>Present value at the discount rate ($m)</t>
  </si>
  <si>
    <t>B: foreclosure</t>
  </si>
  <si>
    <t>C: note sale now</t>
  </si>
  <si>
    <t>Highest value</t>
  </si>
  <si>
    <t>Economic loss if A is chosen (par minus PV of A) ($m)</t>
  </si>
  <si>
    <t>Fund II: from loan coupon to net IRR</t>
  </si>
  <si>
    <t>2024</t>
  </si>
  <si>
    <t>2025</t>
  </si>
  <si>
    <t>2026</t>
  </si>
  <si>
    <t>2027</t>
  </si>
  <si>
    <t>2028</t>
  </si>
  <si>
    <t>2029</t>
  </si>
  <si>
    <t>2030</t>
  </si>
  <si>
    <t>Capital called</t>
  </si>
  <si>
    <t>Principal returned</t>
  </si>
  <si>
    <t>Invested equity, average</t>
  </si>
  <si>
    <t>Gross income</t>
  </si>
  <si>
    <t>Management fee</t>
  </si>
  <si>
    <t>Expenses</t>
  </si>
  <si>
    <t>Workout loss</t>
  </si>
  <si>
    <t>Invested equity, year end</t>
  </si>
  <si>
    <t>Cash flow before carry</t>
  </si>
  <si>
    <t>Net cash flow to investors</t>
  </si>
  <si>
    <t>Gross cash flow (before fees, expenses, carry)</t>
  </si>
  <si>
    <t>Gross IRR</t>
  </si>
  <si>
    <t>Gross multiple</t>
  </si>
  <si>
    <t>IRR before carry</t>
  </si>
  <si>
    <t>Net IRR</t>
  </si>
  <si>
    <t>Net multiple</t>
  </si>
  <si>
    <t>Gross income, life</t>
  </si>
  <si>
    <t>Management fees, life</t>
  </si>
  <si>
    <t>Expenses, life</t>
  </si>
  <si>
    <t>Carried interest, life</t>
  </si>
  <si>
    <t>Simplifications: annual flows at year end, flat SOFR, income distributed as earned, one loss (Linden Street), carry paid at the end under a whole-fund waterfall with full catch-up.</t>
  </si>
  <si>
    <t>Checks: the book's figures against the workbook</t>
  </si>
  <si>
    <t>Figure printed in the book</t>
  </si>
  <si>
    <t>Book</t>
  </si>
  <si>
    <t>Workbook</t>
  </si>
  <si>
    <t>Check</t>
  </si>
  <si>
    <t>Mercer Street: maximum loan under loan to cost ($m)</t>
  </si>
  <si>
    <t>Mercer Street: maximum loan under stabilized DSCR ($m)</t>
  </si>
  <si>
    <t>Mercer Street: maximum loan under debt yield ($m)</t>
  </si>
  <si>
    <t>Mercer Street: loan to cost</t>
  </si>
  <si>
    <t>Mercer Street: as-stabilized loan to value</t>
  </si>
  <si>
    <t>Mercer Street: stabilized debt yield</t>
  </si>
  <si>
    <t>Mercer Street: in-place DSCR (x)</t>
  </si>
  <si>
    <t>Mercer Street: stabilized DSCR (x)</t>
  </si>
  <si>
    <t>Mercer Street: lender IRR</t>
  </si>
  <si>
    <t>Dunmore: mezzanine detachment on value</t>
  </si>
  <si>
    <t>Levered return on equity, repo</t>
  </si>
  <si>
    <t>Repo-financed return, SOFR plus 1 point</t>
  </si>
  <si>
    <t>Linden Street: margin call ($m)</t>
  </si>
  <si>
    <t>Linden Street: PV of A ($m)</t>
  </si>
  <si>
    <t>Linden Street: PV of B ($m)</t>
  </si>
  <si>
    <t>Linden Street: PV of C ($m)</t>
  </si>
  <si>
    <t>Linden Street: loss ($m)</t>
  </si>
  <si>
    <t>Fund II: gross IRR</t>
  </si>
  <si>
    <t>Fund II: gross multiple</t>
  </si>
  <si>
    <t>Fund II: IRR before carry</t>
  </si>
  <si>
    <t>Fund II: net IRR</t>
  </si>
  <si>
    <t>Fund II: net multiple</t>
  </si>
  <si>
    <t>Fund II: management fees ($m)</t>
  </si>
  <si>
    <t>Fund II: expenses ($m)</t>
  </si>
  <si>
    <t>Fund II: carried interest ($m)</t>
  </si>
  <si>
    <t>Result</t>
  </si>
  <si>
    <t>The checks hold on the default inputs. Change an input and the Book column stays as printed, so the check flags what moved.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</si>
</sst>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;[Red]\-#,##0.0"/>
    <numFmt numFmtId="165" formatCode="0.0%"/>
    <numFmt numFmtId="166" formatCode="0.000"/>
    <numFmt numFmtId="167" formatCode="0.00&quot;x&quot;"/>
  </numFmts>
  <fonts count="6" x14ac:knownFonts="1">
    <font>
      <sz val="11"/>
      <color theme="1"/>
      <name val="Calibri"/>
      <family val="2"/>
      <scheme val="minor"/>
    </font>
    <font>
      <b/>
      <sz val="13"/>
      <color rgb="FFFFFFFF"/>
      <name val="Arial"/>
    </font>
    <font>
      <sz val="10"/>
      <name val="Arial"/>
    </font>
    <font>
      <b/>
      <sz val="10"/>
      <color rgb="FFFFFFFF"/>
      <name val="Arial"/>
    </font>
    <font>
      <sz val="10"/>
      <color rgb="FF1F4FB4"/>
      <name val="Arial"/>
    </font>
    <font>
      <b/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12343E"/>
      </patternFill>
    </fill>
    <fill>
      <patternFill patternType="solid">
        <fgColor rgb="FF2C5A66"/>
      </patternFill>
    </fill>
    <fill>
      <patternFill patternType="solid">
        <fgColor rgb="FFEEF3FB"/>
      </patternFill>
    </fill>
    <fill>
      <patternFill patternType="solid">
        <fgColor rgb="FFF5E6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/>
    <xf numFmtId="0" fontId="2" fillId="0" borderId="0" xfId="0" applyFont="1"/>
    <xf numFmtId="0" fontId="0" fillId="2" borderId="0" xfId="0" applyFill="1"/>
    <xf numFmtId="0" fontId="3" fillId="3" borderId="0" xfId="0" applyFont="1" applyFill="1" applyAlignment="1">
      <alignment vertical="center" wrapText="1"/>
    </xf>
    <xf numFmtId="10" fontId="4" fillId="4" borderId="0" xfId="0" applyNumberFormat="1" applyFont="1" applyFill="1"/>
    <xf numFmtId="164" fontId="4" fillId="4" borderId="0" xfId="0" applyNumberFormat="1" applyFont="1" applyFill="1"/>
    <xf numFmtId="40" fontId="4" fillId="4" borderId="0" xfId="0" applyNumberFormat="1" applyFont="1" applyFill="1"/>
    <xf numFmtId="165" fontId="4" fillId="4" borderId="0" xfId="0" applyNumberFormat="1" applyFont="1" applyFill="1"/>
    <xf numFmtId="1" fontId="4" fillId="4" borderId="0" xfId="0" applyNumberFormat="1" applyFont="1" applyFill="1"/>
    <xf numFmtId="164" fontId="2" fillId="0" borderId="0" xfId="0" applyNumberFormat="1" applyFont="1"/>
    <xf numFmtId="10" fontId="2" fillId="0" borderId="0" xfId="0" applyNumberFormat="1" applyFont="1"/>
    <xf numFmtId="40" fontId="2" fillId="0" borderId="0" xfId="0" applyNumberFormat="1" applyFont="1"/>
    <xf numFmtId="0" fontId="5" fillId="0" borderId="0" xfId="0" applyFont="1"/>
    <xf numFmtId="40" fontId="5" fillId="5" borderId="0" xfId="0" applyNumberFormat="1" applyFont="1" applyFill="1"/>
    <xf numFmtId="0" fontId="5" fillId="5" borderId="0" xfId="0" applyFont="1" applyFill="1"/>
    <xf numFmtId="165" fontId="2" fillId="0" borderId="0" xfId="0" applyNumberFormat="1" applyFont="1"/>
    <xf numFmtId="166" fontId="2" fillId="0" borderId="0" xfId="0" applyNumberFormat="1" applyFont="1"/>
    <xf numFmtId="10" fontId="5" fillId="5" borderId="0" xfId="0" applyNumberFormat="1" applyFont="1" applyFill="1"/>
    <xf numFmtId="164" fontId="5" fillId="5" borderId="0" xfId="0" applyNumberFormat="1" applyFont="1" applyFill="1"/>
    <xf numFmtId="165" fontId="5" fillId="5" borderId="0" xfId="0" applyNumberFormat="1" applyFont="1" applyFill="1"/>
    <xf numFmtId="167" fontId="5" fillId="5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4"/>
  <sheetViews>
    <sheetView showGridLines="0" tabSelected="1" workbookViewId="0"/>
  </sheetViews>
  <sheetFormatPr baseColWidth="10" defaultColWidth="9.140625" defaultRowHeight="15" x14ac:dyDescent="0.25"/>
  <cols>
    <col min="1" max="1" width="2" customWidth="1"/>
    <col min="2" max="2" width="118" customWidth="1"/>
  </cols>
  <sheetData>
    <row r="1" spans="2:2" ht="9.9499999999999993" customHeight="1" x14ac:dyDescent="0.25"/>
    <row r="2" spans="2:2" ht="16.5" x14ac:dyDescent="0.25">
      <c r="B2" s="1" t="s">
        <v>0</v>
      </c>
    </row>
    <row r="4" spans="2:2" x14ac:dyDescent="0.25">
      <c r="B4" s="2" t="s">
        <v>1</v>
      </c>
    </row>
    <row r="5" spans="2:2" x14ac:dyDescent="0.25">
      <c r="B5" s="2" t="s">
        <v>2</v>
      </c>
    </row>
    <row r="6" spans="2:2" x14ac:dyDescent="0.25">
      <c r="B6" s="2" t="s">
        <v>3</v>
      </c>
    </row>
    <row r="7" spans="2:2" x14ac:dyDescent="0.25">
      <c r="B7" s="2" t="s">
        <v>4</v>
      </c>
    </row>
    <row r="8" spans="2:2" x14ac:dyDescent="0.25">
      <c r="B8" s="2" t="s">
        <v>5</v>
      </c>
    </row>
    <row r="9" spans="2:2" x14ac:dyDescent="0.25">
      <c r="B9" s="2" t="s">
        <v>6</v>
      </c>
    </row>
    <row r="10" spans="2:2" x14ac:dyDescent="0.25">
      <c r="B10" s="2" t="s">
        <v>7</v>
      </c>
    </row>
    <row r="11" spans="2:2" x14ac:dyDescent="0.25">
      <c r="B11" s="2" t="s">
        <v>8</v>
      </c>
    </row>
    <row r="12" spans="2:2" x14ac:dyDescent="0.25">
      <c r="B12" s="2" t="s">
        <v>9</v>
      </c>
    </row>
    <row r="13" spans="2:2" x14ac:dyDescent="0.25">
      <c r="B13" s="2" t="s">
        <v>10</v>
      </c>
    </row>
    <row r="14" spans="2:2" x14ac:dyDescent="0.25">
      <c r="B14" s="2" t="s">
        <v>11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82"/>
  <sheetViews>
    <sheetView showGridLines="0" workbookViewId="0"/>
  </sheetViews>
  <sheetFormatPr baseColWidth="10" defaultColWidth="9.140625" defaultRowHeight="15" x14ac:dyDescent="0.25"/>
  <cols>
    <col min="1" max="1" width="2" customWidth="1"/>
    <col min="2" max="2" width="64" customWidth="1"/>
    <col min="3" max="3" width="14" customWidth="1"/>
    <col min="4" max="4" width="40" customWidth="1"/>
  </cols>
  <sheetData>
    <row r="1" spans="2:4" ht="9.9499999999999993" customHeight="1" x14ac:dyDescent="0.25"/>
    <row r="2" spans="2:4" ht="16.5" x14ac:dyDescent="0.25">
      <c r="B2" s="1" t="s">
        <v>12</v>
      </c>
      <c r="C2" s="3"/>
      <c r="D2" s="3"/>
    </row>
    <row r="4" spans="2:4" x14ac:dyDescent="0.25">
      <c r="B4" s="4" t="s">
        <v>13</v>
      </c>
      <c r="C4" s="4" t="s">
        <v>14</v>
      </c>
      <c r="D4" s="4" t="s">
        <v>15</v>
      </c>
    </row>
    <row r="5" spans="2:4" x14ac:dyDescent="0.25">
      <c r="B5" s="2" t="s">
        <v>16</v>
      </c>
      <c r="C5" s="5">
        <v>0.04</v>
      </c>
      <c r="D5" s="2" t="s">
        <v>17</v>
      </c>
    </row>
    <row r="6" spans="2:4" x14ac:dyDescent="0.25">
      <c r="B6" s="4" t="s">
        <v>18</v>
      </c>
      <c r="C6" s="4" t="s">
        <v>14</v>
      </c>
      <c r="D6" s="4" t="s">
        <v>15</v>
      </c>
    </row>
    <row r="7" spans="2:4" x14ac:dyDescent="0.25">
      <c r="B7" s="2" t="s">
        <v>19</v>
      </c>
      <c r="C7" s="6">
        <v>50</v>
      </c>
      <c r="D7" s="2"/>
    </row>
    <row r="8" spans="2:4" x14ac:dyDescent="0.25">
      <c r="B8" s="2" t="s">
        <v>20</v>
      </c>
      <c r="C8" s="6">
        <v>5</v>
      </c>
      <c r="D8" s="2"/>
    </row>
    <row r="9" spans="2:4" x14ac:dyDescent="0.25">
      <c r="B9" s="2" t="s">
        <v>21</v>
      </c>
      <c r="C9" s="7">
        <v>2.4</v>
      </c>
      <c r="D9" s="2"/>
    </row>
    <row r="10" spans="2:4" x14ac:dyDescent="0.25">
      <c r="B10" s="2" t="s">
        <v>22</v>
      </c>
      <c r="C10" s="7">
        <v>3.6</v>
      </c>
      <c r="D10" s="2"/>
    </row>
    <row r="11" spans="2:4" x14ac:dyDescent="0.25">
      <c r="B11" s="2" t="s">
        <v>23</v>
      </c>
      <c r="C11" s="5">
        <v>0.06</v>
      </c>
      <c r="D11" s="2"/>
    </row>
    <row r="12" spans="2:4" x14ac:dyDescent="0.25">
      <c r="B12" s="2" t="s">
        <v>24</v>
      </c>
      <c r="C12" s="5">
        <v>3.5000000000000003E-2</v>
      </c>
      <c r="D12" s="2"/>
    </row>
    <row r="13" spans="2:4" x14ac:dyDescent="0.25">
      <c r="B13" s="2" t="s">
        <v>25</v>
      </c>
      <c r="C13" s="5">
        <v>0.01</v>
      </c>
      <c r="D13" s="2"/>
    </row>
    <row r="14" spans="2:4" x14ac:dyDescent="0.25">
      <c r="B14" s="2" t="s">
        <v>26</v>
      </c>
      <c r="C14" s="5">
        <v>5.0000000000000001E-3</v>
      </c>
      <c r="D14" s="2"/>
    </row>
    <row r="15" spans="2:4" x14ac:dyDescent="0.25">
      <c r="B15" s="2" t="s">
        <v>27</v>
      </c>
      <c r="C15" s="6">
        <v>36</v>
      </c>
      <c r="D15" s="2"/>
    </row>
    <row r="16" spans="2:4" x14ac:dyDescent="0.25">
      <c r="B16" s="2" t="s">
        <v>28</v>
      </c>
      <c r="C16" s="6">
        <v>5</v>
      </c>
      <c r="D16" s="2" t="s">
        <v>29</v>
      </c>
    </row>
    <row r="17" spans="2:4" x14ac:dyDescent="0.25">
      <c r="B17" s="4" t="s">
        <v>30</v>
      </c>
      <c r="C17" s="4" t="s">
        <v>14</v>
      </c>
      <c r="D17" s="4" t="s">
        <v>15</v>
      </c>
    </row>
    <row r="18" spans="2:4" x14ac:dyDescent="0.25">
      <c r="B18" s="2" t="s">
        <v>31</v>
      </c>
      <c r="C18" s="8">
        <v>0.75</v>
      </c>
      <c r="D18" s="2"/>
    </row>
    <row r="19" spans="2:4" x14ac:dyDescent="0.25">
      <c r="B19" s="2" t="s">
        <v>32</v>
      </c>
      <c r="C19" s="8">
        <v>0.72</v>
      </c>
      <c r="D19" s="2"/>
    </row>
    <row r="20" spans="2:4" x14ac:dyDescent="0.25">
      <c r="B20" s="2" t="s">
        <v>33</v>
      </c>
      <c r="C20" s="8">
        <v>0.7</v>
      </c>
      <c r="D20" s="2"/>
    </row>
    <row r="21" spans="2:4" x14ac:dyDescent="0.25">
      <c r="B21" s="2" t="s">
        <v>34</v>
      </c>
      <c r="C21" s="8">
        <v>8.5000000000000006E-2</v>
      </c>
      <c r="D21" s="2"/>
    </row>
    <row r="22" spans="2:4" x14ac:dyDescent="0.25">
      <c r="B22" s="2" t="s">
        <v>35</v>
      </c>
      <c r="C22" s="7">
        <v>1.1499999999999999</v>
      </c>
      <c r="D22" s="2"/>
    </row>
    <row r="23" spans="2:4" x14ac:dyDescent="0.25">
      <c r="B23" s="4" t="s">
        <v>36</v>
      </c>
      <c r="C23" s="4" t="s">
        <v>14</v>
      </c>
      <c r="D23" s="4" t="s">
        <v>15</v>
      </c>
    </row>
    <row r="24" spans="2:4" x14ac:dyDescent="0.25">
      <c r="B24" s="2" t="s">
        <v>37</v>
      </c>
      <c r="C24" s="7">
        <v>80</v>
      </c>
      <c r="D24" s="2"/>
    </row>
    <row r="25" spans="2:4" x14ac:dyDescent="0.25">
      <c r="B25" s="2" t="s">
        <v>22</v>
      </c>
      <c r="C25" s="7">
        <v>6.25</v>
      </c>
      <c r="D25" s="2"/>
    </row>
    <row r="26" spans="2:4" x14ac:dyDescent="0.25">
      <c r="B26" s="2" t="s">
        <v>38</v>
      </c>
      <c r="C26" s="5">
        <v>6.25E-2</v>
      </c>
      <c r="D26" s="2"/>
    </row>
    <row r="27" spans="2:4" x14ac:dyDescent="0.25">
      <c r="B27" s="2" t="s">
        <v>39</v>
      </c>
      <c r="C27" s="7">
        <v>48</v>
      </c>
      <c r="D27" s="2"/>
    </row>
    <row r="28" spans="2:4" x14ac:dyDescent="0.25">
      <c r="B28" s="2" t="s">
        <v>40</v>
      </c>
      <c r="C28" s="7">
        <v>10</v>
      </c>
      <c r="D28" s="2"/>
    </row>
    <row r="29" spans="2:4" x14ac:dyDescent="0.25">
      <c r="B29" s="2" t="s">
        <v>41</v>
      </c>
      <c r="C29" s="7">
        <v>8</v>
      </c>
      <c r="D29" s="2"/>
    </row>
    <row r="30" spans="2:4" x14ac:dyDescent="0.25">
      <c r="B30" s="2" t="s">
        <v>42</v>
      </c>
      <c r="C30" s="7">
        <v>14</v>
      </c>
      <c r="D30" s="2"/>
    </row>
    <row r="31" spans="2:4" x14ac:dyDescent="0.25">
      <c r="B31" s="4" t="s">
        <v>43</v>
      </c>
      <c r="C31" s="4" t="s">
        <v>14</v>
      </c>
      <c r="D31" s="4" t="s">
        <v>15</v>
      </c>
    </row>
    <row r="32" spans="2:4" x14ac:dyDescent="0.25">
      <c r="B32" s="2" t="s">
        <v>44</v>
      </c>
      <c r="C32" s="6">
        <v>750</v>
      </c>
      <c r="D32" s="2"/>
    </row>
    <row r="33" spans="2:4" x14ac:dyDescent="0.25">
      <c r="B33" s="2" t="s">
        <v>45</v>
      </c>
      <c r="C33" s="8">
        <v>0.8</v>
      </c>
      <c r="D33" s="2"/>
    </row>
    <row r="34" spans="2:4" x14ac:dyDescent="0.25">
      <c r="B34" s="2" t="s">
        <v>46</v>
      </c>
      <c r="C34" s="5">
        <v>3.5000000000000003E-2</v>
      </c>
      <c r="D34" s="2"/>
    </row>
    <row r="35" spans="2:4" x14ac:dyDescent="0.25">
      <c r="B35" s="2" t="s">
        <v>47</v>
      </c>
      <c r="C35" s="5">
        <v>0.01</v>
      </c>
      <c r="D35" s="2"/>
    </row>
    <row r="36" spans="2:4" x14ac:dyDescent="0.25">
      <c r="B36" s="2" t="s">
        <v>48</v>
      </c>
      <c r="C36" s="5">
        <v>5.0000000000000001E-3</v>
      </c>
      <c r="D36" s="2"/>
    </row>
    <row r="37" spans="2:4" x14ac:dyDescent="0.25">
      <c r="B37" s="2" t="s">
        <v>49</v>
      </c>
      <c r="C37" s="6">
        <v>2.5</v>
      </c>
      <c r="D37" s="2"/>
    </row>
    <row r="38" spans="2:4" x14ac:dyDescent="0.25">
      <c r="B38" s="2" t="s">
        <v>50</v>
      </c>
      <c r="C38" s="8">
        <v>0.7</v>
      </c>
      <c r="D38" s="2"/>
    </row>
    <row r="39" spans="2:4" x14ac:dyDescent="0.25">
      <c r="B39" s="2" t="s">
        <v>51</v>
      </c>
      <c r="C39" s="5">
        <v>0.02</v>
      </c>
      <c r="D39" s="2"/>
    </row>
    <row r="40" spans="2:4" x14ac:dyDescent="0.25">
      <c r="B40" s="2" t="s">
        <v>52</v>
      </c>
      <c r="C40" s="8">
        <v>0.8</v>
      </c>
      <c r="D40" s="2"/>
    </row>
    <row r="41" spans="2:4" x14ac:dyDescent="0.25">
      <c r="B41" s="2" t="s">
        <v>53</v>
      </c>
      <c r="C41" s="5">
        <v>1.9E-2</v>
      </c>
      <c r="D41" s="2"/>
    </row>
    <row r="42" spans="2:4" x14ac:dyDescent="0.25">
      <c r="B42" s="2" t="s">
        <v>54</v>
      </c>
      <c r="C42" s="8">
        <v>0.115</v>
      </c>
      <c r="D42" s="2"/>
    </row>
    <row r="43" spans="2:4" x14ac:dyDescent="0.25">
      <c r="B43" s="2" t="s">
        <v>55</v>
      </c>
      <c r="C43" s="6">
        <v>50</v>
      </c>
      <c r="D43" s="2"/>
    </row>
    <row r="44" spans="2:4" x14ac:dyDescent="0.25">
      <c r="B44" s="2" t="s">
        <v>56</v>
      </c>
      <c r="C44" s="6">
        <v>10</v>
      </c>
      <c r="D44" s="2"/>
    </row>
    <row r="45" spans="2:4" x14ac:dyDescent="0.25">
      <c r="B45" s="2" t="s">
        <v>57</v>
      </c>
      <c r="C45" s="5">
        <v>1.2500000000000001E-2</v>
      </c>
      <c r="D45" s="2"/>
    </row>
    <row r="46" spans="2:4" x14ac:dyDescent="0.25">
      <c r="B46" s="2" t="s">
        <v>58</v>
      </c>
      <c r="C46" s="5">
        <v>2.5000000000000001E-3</v>
      </c>
      <c r="D46" s="2"/>
    </row>
    <row r="47" spans="2:4" x14ac:dyDescent="0.25">
      <c r="B47" s="2" t="s">
        <v>59</v>
      </c>
      <c r="C47" s="8">
        <v>0.15</v>
      </c>
      <c r="D47" s="2"/>
    </row>
    <row r="48" spans="2:4" x14ac:dyDescent="0.25">
      <c r="B48" s="2" t="s">
        <v>60</v>
      </c>
      <c r="C48" s="8">
        <v>7.0000000000000007E-2</v>
      </c>
      <c r="D48" s="2"/>
    </row>
    <row r="49" spans="2:4" x14ac:dyDescent="0.25">
      <c r="B49" s="2" t="s">
        <v>61</v>
      </c>
      <c r="C49" s="6">
        <v>300</v>
      </c>
      <c r="D49" s="2"/>
    </row>
    <row r="50" spans="2:4" x14ac:dyDescent="0.25">
      <c r="B50" s="2" t="s">
        <v>62</v>
      </c>
      <c r="C50" s="6">
        <v>300</v>
      </c>
      <c r="D50" s="2"/>
    </row>
    <row r="51" spans="2:4" x14ac:dyDescent="0.25">
      <c r="B51" s="2" t="s">
        <v>63</v>
      </c>
      <c r="C51" s="6">
        <v>150</v>
      </c>
      <c r="D51" s="2"/>
    </row>
    <row r="52" spans="2:4" x14ac:dyDescent="0.25">
      <c r="B52" s="2" t="s">
        <v>64</v>
      </c>
      <c r="C52" s="6">
        <v>0</v>
      </c>
      <c r="D52" s="2"/>
    </row>
    <row r="53" spans="2:4" x14ac:dyDescent="0.25">
      <c r="B53" s="2" t="s">
        <v>65</v>
      </c>
      <c r="C53" s="6">
        <v>0</v>
      </c>
      <c r="D53" s="2"/>
    </row>
    <row r="54" spans="2:4" x14ac:dyDescent="0.25">
      <c r="B54" s="2" t="s">
        <v>66</v>
      </c>
      <c r="C54" s="6">
        <v>0</v>
      </c>
      <c r="D54" s="2"/>
    </row>
    <row r="55" spans="2:4" x14ac:dyDescent="0.25">
      <c r="B55" s="2" t="s">
        <v>67</v>
      </c>
      <c r="C55" s="6">
        <v>0</v>
      </c>
      <c r="D55" s="2"/>
    </row>
    <row r="56" spans="2:4" x14ac:dyDescent="0.25">
      <c r="B56" s="2" t="s">
        <v>68</v>
      </c>
      <c r="C56" s="8">
        <v>0</v>
      </c>
      <c r="D56" s="2"/>
    </row>
    <row r="57" spans="2:4" x14ac:dyDescent="0.25">
      <c r="B57" s="2" t="s">
        <v>69</v>
      </c>
      <c r="C57" s="8">
        <v>0</v>
      </c>
      <c r="D57" s="2"/>
    </row>
    <row r="58" spans="2:4" x14ac:dyDescent="0.25">
      <c r="B58" s="2" t="s">
        <v>70</v>
      </c>
      <c r="C58" s="8">
        <v>0</v>
      </c>
      <c r="D58" s="2"/>
    </row>
    <row r="59" spans="2:4" x14ac:dyDescent="0.25">
      <c r="B59" s="2" t="s">
        <v>71</v>
      </c>
      <c r="C59" s="8">
        <v>0</v>
      </c>
      <c r="D59" s="2"/>
    </row>
    <row r="60" spans="2:4" x14ac:dyDescent="0.25">
      <c r="B60" s="2" t="s">
        <v>72</v>
      </c>
      <c r="C60" s="8">
        <v>0.3</v>
      </c>
      <c r="D60" s="2"/>
    </row>
    <row r="61" spans="2:4" x14ac:dyDescent="0.25">
      <c r="B61" s="2" t="s">
        <v>73</v>
      </c>
      <c r="C61" s="8">
        <v>0.4</v>
      </c>
      <c r="D61" s="2"/>
    </row>
    <row r="62" spans="2:4" x14ac:dyDescent="0.25">
      <c r="B62" s="2" t="s">
        <v>74</v>
      </c>
      <c r="C62" s="8">
        <v>0.3</v>
      </c>
      <c r="D62" s="2"/>
    </row>
    <row r="63" spans="2:4" x14ac:dyDescent="0.25">
      <c r="B63" s="2" t="s">
        <v>75</v>
      </c>
      <c r="C63" s="9">
        <v>2026</v>
      </c>
      <c r="D63" s="2"/>
    </row>
    <row r="64" spans="2:4" x14ac:dyDescent="0.25">
      <c r="B64" s="4" t="s">
        <v>76</v>
      </c>
      <c r="C64" s="4" t="s">
        <v>14</v>
      </c>
      <c r="D64" s="4" t="s">
        <v>15</v>
      </c>
    </row>
    <row r="65" spans="2:4" x14ac:dyDescent="0.25">
      <c r="B65" s="2" t="s">
        <v>77</v>
      </c>
      <c r="C65" s="6">
        <v>45</v>
      </c>
      <c r="D65" s="2"/>
    </row>
    <row r="66" spans="2:4" x14ac:dyDescent="0.25">
      <c r="B66" s="2" t="s">
        <v>78</v>
      </c>
      <c r="C66" s="6">
        <v>64</v>
      </c>
      <c r="D66" s="2"/>
    </row>
    <row r="67" spans="2:4" x14ac:dyDescent="0.25">
      <c r="B67" s="2" t="s">
        <v>79</v>
      </c>
      <c r="C67" s="7">
        <v>4.8</v>
      </c>
      <c r="D67" s="2"/>
    </row>
    <row r="68" spans="2:4" x14ac:dyDescent="0.25">
      <c r="B68" s="2" t="s">
        <v>80</v>
      </c>
      <c r="C68" s="7">
        <v>3</v>
      </c>
      <c r="D68" s="2"/>
    </row>
    <row r="69" spans="2:4" x14ac:dyDescent="0.25">
      <c r="B69" s="2" t="s">
        <v>81</v>
      </c>
      <c r="C69" s="5">
        <v>0.08</v>
      </c>
      <c r="D69" s="2"/>
    </row>
    <row r="70" spans="2:4" x14ac:dyDescent="0.25">
      <c r="B70" s="2" t="s">
        <v>24</v>
      </c>
      <c r="C70" s="5">
        <v>3.2500000000000001E-2</v>
      </c>
      <c r="D70" s="2"/>
    </row>
    <row r="71" spans="2:4" x14ac:dyDescent="0.25">
      <c r="B71" s="2" t="s">
        <v>82</v>
      </c>
      <c r="C71" s="8">
        <v>0.1</v>
      </c>
      <c r="D71" s="2"/>
    </row>
    <row r="72" spans="2:4" x14ac:dyDescent="0.25">
      <c r="B72" s="2" t="s">
        <v>83</v>
      </c>
      <c r="C72" s="6">
        <v>4</v>
      </c>
      <c r="D72" s="2"/>
    </row>
    <row r="73" spans="2:4" x14ac:dyDescent="0.25">
      <c r="B73" s="2" t="s">
        <v>84</v>
      </c>
      <c r="C73" s="6">
        <v>30</v>
      </c>
      <c r="D73" s="2"/>
    </row>
    <row r="74" spans="2:4" x14ac:dyDescent="0.25">
      <c r="B74" s="2" t="s">
        <v>85</v>
      </c>
      <c r="C74" s="6">
        <v>11</v>
      </c>
      <c r="D74" s="2"/>
    </row>
    <row r="75" spans="2:4" x14ac:dyDescent="0.25">
      <c r="B75" s="2" t="s">
        <v>86</v>
      </c>
      <c r="C75" s="8">
        <v>0.4</v>
      </c>
      <c r="D75" s="2"/>
    </row>
    <row r="76" spans="2:4" x14ac:dyDescent="0.25">
      <c r="B76" s="2" t="s">
        <v>87</v>
      </c>
      <c r="C76" s="6">
        <v>2.5</v>
      </c>
      <c r="D76" s="2"/>
    </row>
    <row r="77" spans="2:4" x14ac:dyDescent="0.25">
      <c r="B77" s="2" t="s">
        <v>88</v>
      </c>
      <c r="C77" s="6">
        <v>4</v>
      </c>
      <c r="D77" s="2"/>
    </row>
    <row r="78" spans="2:4" x14ac:dyDescent="0.25">
      <c r="B78" s="2" t="s">
        <v>89</v>
      </c>
      <c r="C78" s="6">
        <v>46</v>
      </c>
      <c r="D78" s="2"/>
    </row>
    <row r="79" spans="2:4" x14ac:dyDescent="0.25">
      <c r="B79" s="2" t="s">
        <v>90</v>
      </c>
      <c r="C79" s="8">
        <v>0.02</v>
      </c>
      <c r="D79" s="2"/>
    </row>
    <row r="80" spans="2:4" x14ac:dyDescent="0.25">
      <c r="B80" s="2" t="s">
        <v>91</v>
      </c>
      <c r="C80" s="8">
        <v>0.78</v>
      </c>
      <c r="D80" s="2"/>
    </row>
    <row r="81" spans="2:4" x14ac:dyDescent="0.25">
      <c r="B81" s="2" t="s">
        <v>92</v>
      </c>
      <c r="C81" s="8">
        <v>0.7</v>
      </c>
      <c r="D81" s="2"/>
    </row>
    <row r="82" spans="2:4" x14ac:dyDescent="0.25">
      <c r="B82" s="2" t="s">
        <v>93</v>
      </c>
      <c r="C82" s="8">
        <v>0.8</v>
      </c>
      <c r="D82" s="2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D28"/>
  <sheetViews>
    <sheetView showGridLines="0" workbookViewId="0"/>
  </sheetViews>
  <sheetFormatPr baseColWidth="10" defaultColWidth="9.140625" defaultRowHeight="15" x14ac:dyDescent="0.25"/>
  <cols>
    <col min="1" max="1" width="2" customWidth="1"/>
    <col min="2" max="2" width="58" customWidth="1"/>
    <col min="3" max="3" width="14" customWidth="1"/>
    <col min="4" max="4" width="40" customWidth="1"/>
  </cols>
  <sheetData>
    <row r="1" spans="2:4" ht="9.9499999999999993" customHeight="1" x14ac:dyDescent="0.25"/>
    <row r="2" spans="2:4" ht="16.5" x14ac:dyDescent="0.25">
      <c r="B2" s="1" t="s">
        <v>94</v>
      </c>
      <c r="C2" s="3"/>
      <c r="D2" s="3"/>
    </row>
    <row r="4" spans="2:4" x14ac:dyDescent="0.25">
      <c r="B4" s="4" t="s">
        <v>95</v>
      </c>
      <c r="C4" s="4" t="s">
        <v>14</v>
      </c>
      <c r="D4" s="4" t="s">
        <v>15</v>
      </c>
    </row>
    <row r="5" spans="2:4" x14ac:dyDescent="0.25">
      <c r="B5" s="2" t="s">
        <v>37</v>
      </c>
      <c r="C5" s="10">
        <f>Inputs!$C$7+Inputs!$C$8</f>
        <v>55</v>
      </c>
      <c r="D5" s="2"/>
    </row>
    <row r="6" spans="2:4" x14ac:dyDescent="0.25">
      <c r="B6" s="2" t="s">
        <v>96</v>
      </c>
      <c r="C6" s="10">
        <f>Inputs!$C$10/Inputs!$C$11</f>
        <v>60.000000000000007</v>
      </c>
      <c r="D6" s="2"/>
    </row>
    <row r="7" spans="2:4" x14ac:dyDescent="0.25">
      <c r="B7" s="2" t="s">
        <v>97</v>
      </c>
      <c r="C7" s="11">
        <f>Inputs!$C$5+Inputs!$C$12</f>
        <v>7.5000000000000011E-2</v>
      </c>
      <c r="D7" s="2"/>
    </row>
    <row r="8" spans="2:4" x14ac:dyDescent="0.25">
      <c r="B8" s="4" t="s">
        <v>98</v>
      </c>
      <c r="C8" s="4" t="s">
        <v>14</v>
      </c>
      <c r="D8" s="4"/>
    </row>
    <row r="9" spans="2:4" x14ac:dyDescent="0.25">
      <c r="B9" s="2" t="s">
        <v>99</v>
      </c>
      <c r="C9" s="12">
        <f>Inputs!$C$18*'Loan Sizing'!$C$5</f>
        <v>41.25</v>
      </c>
      <c r="D9" s="2"/>
    </row>
    <row r="10" spans="2:4" x14ac:dyDescent="0.25">
      <c r="B10" s="2" t="s">
        <v>100</v>
      </c>
      <c r="C10" s="12">
        <f>Inputs!$C$20*'Loan Sizing'!$C$6</f>
        <v>42</v>
      </c>
      <c r="D10" s="2"/>
    </row>
    <row r="11" spans="2:4" x14ac:dyDescent="0.25">
      <c r="B11" s="2" t="s">
        <v>101</v>
      </c>
      <c r="C11" s="12">
        <f>Inputs!$C$10/Inputs!$C$22/'Loan Sizing'!$C$7</f>
        <v>41.739130434782602</v>
      </c>
      <c r="D11" s="2"/>
    </row>
    <row r="12" spans="2:4" x14ac:dyDescent="0.25">
      <c r="B12" s="2" t="s">
        <v>102</v>
      </c>
      <c r="C12" s="12">
        <f>Inputs!$C$10/Inputs!$C$21</f>
        <v>42.352941176470587</v>
      </c>
      <c r="D12" s="2"/>
    </row>
    <row r="13" spans="2:4" x14ac:dyDescent="0.25">
      <c r="B13" s="13" t="s">
        <v>103</v>
      </c>
      <c r="C13" s="14">
        <f>MIN('Loan Sizing'!$C$9,'Loan Sizing'!$C$10,'Loan Sizing'!$C$11,'Loan Sizing'!$C$12)</f>
        <v>41.25</v>
      </c>
      <c r="D13" s="2"/>
    </row>
    <row r="14" spans="2:4" x14ac:dyDescent="0.25">
      <c r="B14" s="13" t="s">
        <v>104</v>
      </c>
      <c r="C14" s="15" t="str">
        <f>IF('Loan Sizing'!$C$13='Loan Sizing'!$C$9,"Loan to cost",IF('Loan Sizing'!$C$13='Loan Sizing'!$C$10,"Loan to value",IF('Loan Sizing'!$C$13='Loan Sizing'!$C$11,"DSCR","Debt yield")))</f>
        <v>Loan to cost</v>
      </c>
      <c r="D14" s="2"/>
    </row>
    <row r="15" spans="2:4" x14ac:dyDescent="0.25">
      <c r="B15" s="2" t="s">
        <v>105</v>
      </c>
      <c r="C15" s="12">
        <f>Inputs!$C$19*Inputs!$C$7</f>
        <v>36</v>
      </c>
      <c r="D15" s="2"/>
    </row>
    <row r="16" spans="2:4" x14ac:dyDescent="0.25">
      <c r="B16" s="4" t="s">
        <v>106</v>
      </c>
      <c r="C16" s="4" t="s">
        <v>14</v>
      </c>
      <c r="D16" s="4"/>
    </row>
    <row r="17" spans="2:4" x14ac:dyDescent="0.25">
      <c r="B17" s="2" t="s">
        <v>107</v>
      </c>
      <c r="C17" s="10">
        <f>Inputs!$C$15+Inputs!$C$16</f>
        <v>41</v>
      </c>
      <c r="D17" s="2"/>
    </row>
    <row r="18" spans="2:4" x14ac:dyDescent="0.25">
      <c r="B18" s="2" t="s">
        <v>108</v>
      </c>
      <c r="C18" s="2" t="str">
        <f>IF(AND('Loan Sizing'!$C$17&lt;='Loan Sizing'!$C$13,Inputs!$C$15&lt;='Loan Sizing'!$C$15),"YES","NO: RESIZE")</f>
        <v>YES</v>
      </c>
      <c r="D18" s="2"/>
    </row>
    <row r="19" spans="2:4" x14ac:dyDescent="0.25">
      <c r="B19" s="2" t="s">
        <v>99</v>
      </c>
      <c r="C19" s="16">
        <f>'Loan Sizing'!$C$17/'Loan Sizing'!$C$5</f>
        <v>0.74545454545454548</v>
      </c>
      <c r="D19" s="2"/>
    </row>
    <row r="20" spans="2:4" x14ac:dyDescent="0.25">
      <c r="B20" s="2" t="s">
        <v>109</v>
      </c>
      <c r="C20" s="16">
        <f>Inputs!$C$15/Inputs!$C$7</f>
        <v>0.72</v>
      </c>
      <c r="D20" s="2"/>
    </row>
    <row r="21" spans="2:4" x14ac:dyDescent="0.25">
      <c r="B21" s="2" t="s">
        <v>100</v>
      </c>
      <c r="C21" s="16">
        <f>'Loan Sizing'!$C$17/'Loan Sizing'!$C$6</f>
        <v>0.68333333333333324</v>
      </c>
      <c r="D21" s="2"/>
    </row>
    <row r="22" spans="2:4" x14ac:dyDescent="0.25">
      <c r="B22" s="2" t="s">
        <v>110</v>
      </c>
      <c r="C22" s="16">
        <f>Inputs!$C$9/Inputs!$C$15</f>
        <v>6.6666666666666666E-2</v>
      </c>
      <c r="D22" s="2"/>
    </row>
    <row r="23" spans="2:4" x14ac:dyDescent="0.25">
      <c r="B23" s="2" t="s">
        <v>111</v>
      </c>
      <c r="C23" s="16">
        <f>Inputs!$C$10/'Loan Sizing'!$C$17</f>
        <v>8.7804878048780496E-2</v>
      </c>
      <c r="D23" s="2"/>
    </row>
    <row r="24" spans="2:4" x14ac:dyDescent="0.25">
      <c r="B24" s="2" t="s">
        <v>112</v>
      </c>
      <c r="C24" s="17">
        <f>Inputs!$C$15*'Loan Sizing'!$C$7</f>
        <v>2.7</v>
      </c>
      <c r="D24" s="2"/>
    </row>
    <row r="25" spans="2:4" x14ac:dyDescent="0.25">
      <c r="B25" s="2" t="s">
        <v>113</v>
      </c>
      <c r="C25" s="12">
        <f>Inputs!$C$9/'Loan Sizing'!$C$24</f>
        <v>0.88888888888888884</v>
      </c>
      <c r="D25" s="2"/>
    </row>
    <row r="26" spans="2:4" x14ac:dyDescent="0.25">
      <c r="B26" s="2" t="s">
        <v>114</v>
      </c>
      <c r="C26" s="12">
        <f>MAX(0,'Loan Sizing'!$C$24-Inputs!$C$9)</f>
        <v>0.30000000000000027</v>
      </c>
      <c r="D26" s="2"/>
    </row>
    <row r="27" spans="2:4" x14ac:dyDescent="0.25">
      <c r="B27" s="2" t="s">
        <v>115</v>
      </c>
      <c r="C27" s="17">
        <f>'Loan Sizing'!$C$17*'Loan Sizing'!$C$7</f>
        <v>3.0750000000000006</v>
      </c>
      <c r="D27" s="2"/>
    </row>
    <row r="28" spans="2:4" x14ac:dyDescent="0.25">
      <c r="B28" s="2" t="s">
        <v>116</v>
      </c>
      <c r="C28" s="12">
        <f>Inputs!$C$10/'Loan Sizing'!$C$27</f>
        <v>1.1707317073170729</v>
      </c>
      <c r="D28" s="2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F14"/>
  <sheetViews>
    <sheetView showGridLines="0" workbookViewId="0"/>
  </sheetViews>
  <sheetFormatPr baseColWidth="10" defaultColWidth="9.140625" defaultRowHeight="15" x14ac:dyDescent="0.25"/>
  <cols>
    <col min="1" max="1" width="2" customWidth="1"/>
    <col min="2" max="2" width="52" customWidth="1"/>
    <col min="3" max="6" width="12" customWidth="1"/>
  </cols>
  <sheetData>
    <row r="1" spans="2:6" ht="9.9499999999999993" customHeight="1" x14ac:dyDescent="0.25"/>
    <row r="2" spans="2:6" ht="16.5" x14ac:dyDescent="0.25">
      <c r="B2" s="1" t="s">
        <v>117</v>
      </c>
      <c r="C2" s="3"/>
      <c r="D2" s="3"/>
      <c r="E2" s="3"/>
      <c r="F2" s="3"/>
    </row>
    <row r="4" spans="2:6" x14ac:dyDescent="0.25">
      <c r="B4" s="4" t="s">
        <v>118</v>
      </c>
      <c r="C4" s="4" t="s">
        <v>119</v>
      </c>
      <c r="D4" s="4" t="s">
        <v>120</v>
      </c>
      <c r="E4" s="4" t="s">
        <v>121</v>
      </c>
      <c r="F4" s="4" t="s">
        <v>122</v>
      </c>
    </row>
    <row r="5" spans="2:6" x14ac:dyDescent="0.25">
      <c r="B5" s="2" t="s">
        <v>123</v>
      </c>
      <c r="C5" s="12">
        <f>-Inputs!$C$15</f>
        <v>-36</v>
      </c>
      <c r="D5" s="12">
        <f>-Inputs!$C$16/2</f>
        <v>-2.5</v>
      </c>
      <c r="E5" s="12">
        <f>-Inputs!$C$16/2</f>
        <v>-2.5</v>
      </c>
      <c r="F5" s="12">
        <v>0</v>
      </c>
    </row>
    <row r="6" spans="2:6" x14ac:dyDescent="0.25">
      <c r="B6" s="2" t="s">
        <v>47</v>
      </c>
      <c r="C6" s="17">
        <f>Inputs!$C$13*'Loan Sizing'!$C$17</f>
        <v>0.41000000000000003</v>
      </c>
      <c r="D6" s="12">
        <v>0</v>
      </c>
      <c r="E6" s="12">
        <v>0</v>
      </c>
      <c r="F6" s="12">
        <v>0</v>
      </c>
    </row>
    <row r="7" spans="2:6" x14ac:dyDescent="0.25">
      <c r="B7" s="2" t="s">
        <v>124</v>
      </c>
      <c r="C7" s="12">
        <v>0</v>
      </c>
      <c r="D7" s="17">
        <f>Inputs!$C$15*'Loan Sizing'!$C$7</f>
        <v>2.7</v>
      </c>
      <c r="E7" s="17">
        <f>(Inputs!$C$15+Inputs!$C$16/2)*'Loan Sizing'!$C$7</f>
        <v>2.8875000000000006</v>
      </c>
      <c r="F7" s="17">
        <f>'Loan Sizing'!$C$17*'Loan Sizing'!$C$7</f>
        <v>3.0750000000000006</v>
      </c>
    </row>
    <row r="8" spans="2:6" x14ac:dyDescent="0.25">
      <c r="B8" s="2" t="s">
        <v>125</v>
      </c>
      <c r="C8" s="12">
        <v>0</v>
      </c>
      <c r="D8" s="12">
        <v>0</v>
      </c>
      <c r="E8" s="12">
        <v>0</v>
      </c>
      <c r="F8" s="12">
        <f>'Loan Sizing'!$C$17</f>
        <v>41</v>
      </c>
    </row>
    <row r="9" spans="2:6" x14ac:dyDescent="0.25">
      <c r="B9" s="2" t="s">
        <v>48</v>
      </c>
      <c r="C9" s="12">
        <v>0</v>
      </c>
      <c r="D9" s="12">
        <v>0</v>
      </c>
      <c r="E9" s="12">
        <v>0</v>
      </c>
      <c r="F9" s="17">
        <f>Inputs!$C$14*'Loan Sizing'!$C$17</f>
        <v>0.20500000000000002</v>
      </c>
    </row>
    <row r="10" spans="2:6" x14ac:dyDescent="0.25">
      <c r="B10" s="13" t="s">
        <v>126</v>
      </c>
      <c r="C10" s="14">
        <f>SUM(C5:C9)</f>
        <v>-35.590000000000003</v>
      </c>
      <c r="D10" s="14">
        <f>SUM(D5:D9)</f>
        <v>0.20000000000000018</v>
      </c>
      <c r="E10" s="14">
        <f>SUM(E5:E9)</f>
        <v>0.38750000000000062</v>
      </c>
      <c r="F10" s="14">
        <f>SUM(F5:F9)</f>
        <v>44.28</v>
      </c>
    </row>
    <row r="12" spans="2:6" x14ac:dyDescent="0.25">
      <c r="B12" s="13" t="s">
        <v>127</v>
      </c>
      <c r="C12" s="18">
        <f>IRR(C10:F10)</f>
        <v>8.0796631242451733E-2</v>
      </c>
    </row>
    <row r="13" spans="2:6" x14ac:dyDescent="0.25">
      <c r="B13" s="13" t="s">
        <v>128</v>
      </c>
      <c r="C13" s="11">
        <f>'Loan Sizing'!$C$7</f>
        <v>7.5000000000000011E-2</v>
      </c>
    </row>
    <row r="14" spans="2:6" x14ac:dyDescent="0.25">
      <c r="B14" s="13" t="s">
        <v>129</v>
      </c>
      <c r="C14" s="11">
        <f>C12-C13</f>
        <v>5.7966312424517219E-3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G11"/>
  <sheetViews>
    <sheetView showGridLines="0" workbookViewId="0"/>
  </sheetViews>
  <sheetFormatPr baseColWidth="10" defaultColWidth="9.140625" defaultRowHeight="15" x14ac:dyDescent="0.25"/>
  <cols>
    <col min="1" max="1" width="2" customWidth="1"/>
    <col min="2" max="2" width="26" customWidth="1"/>
    <col min="3" max="3" width="12" customWidth="1"/>
    <col min="4" max="5" width="14" customWidth="1"/>
    <col min="6" max="7" width="16" customWidth="1"/>
  </cols>
  <sheetData>
    <row r="1" spans="2:7" ht="9.9499999999999993" customHeight="1" x14ac:dyDescent="0.25"/>
    <row r="2" spans="2:7" ht="16.5" x14ac:dyDescent="0.25">
      <c r="B2" s="1" t="s">
        <v>130</v>
      </c>
      <c r="C2" s="3"/>
      <c r="D2" s="3"/>
      <c r="E2" s="3"/>
      <c r="F2" s="3"/>
      <c r="G2" s="3"/>
    </row>
    <row r="4" spans="2:7" x14ac:dyDescent="0.25">
      <c r="B4" s="13" t="s">
        <v>131</v>
      </c>
      <c r="C4" s="19">
        <f>Inputs!$C$25/Inputs!$C$26</f>
        <v>100</v>
      </c>
    </row>
    <row r="6" spans="2:7" x14ac:dyDescent="0.25">
      <c r="B6" s="4" t="s">
        <v>132</v>
      </c>
      <c r="C6" s="4" t="s">
        <v>118</v>
      </c>
      <c r="D6" s="4" t="s">
        <v>133</v>
      </c>
      <c r="E6" s="4" t="s">
        <v>134</v>
      </c>
      <c r="F6" s="4" t="s">
        <v>135</v>
      </c>
      <c r="G6" s="4" t="s">
        <v>136</v>
      </c>
    </row>
    <row r="7" spans="2:7" x14ac:dyDescent="0.25">
      <c r="B7" s="2" t="s">
        <v>137</v>
      </c>
      <c r="C7" s="10">
        <f>Inputs!$C$27</f>
        <v>48</v>
      </c>
      <c r="D7" s="16">
        <f>0/Inputs!$C$24</f>
        <v>0</v>
      </c>
      <c r="E7" s="16">
        <f>SUM(C$7:C7)/Inputs!$C$24</f>
        <v>0.6</v>
      </c>
      <c r="F7" s="16">
        <f>0/'Capital Stack'!$C$4</f>
        <v>0</v>
      </c>
      <c r="G7" s="16">
        <f>SUM(C$7:C7)/'Capital Stack'!$C$4</f>
        <v>0.48</v>
      </c>
    </row>
    <row r="8" spans="2:7" x14ac:dyDescent="0.25">
      <c r="B8" s="2" t="s">
        <v>138</v>
      </c>
      <c r="C8" s="10">
        <f>Inputs!$C$28</f>
        <v>10</v>
      </c>
      <c r="D8" s="16">
        <f>SUM(C$7:C7)/Inputs!$C$24</f>
        <v>0.6</v>
      </c>
      <c r="E8" s="16">
        <f>SUM(C$7:C8)/Inputs!$C$24</f>
        <v>0.72499999999999998</v>
      </c>
      <c r="F8" s="16">
        <f>SUM(C$7:C7)/'Capital Stack'!$C$4</f>
        <v>0.48</v>
      </c>
      <c r="G8" s="16">
        <f>SUM(C$7:C8)/'Capital Stack'!$C$4</f>
        <v>0.57999999999999996</v>
      </c>
    </row>
    <row r="9" spans="2:7" x14ac:dyDescent="0.25">
      <c r="B9" s="2" t="s">
        <v>139</v>
      </c>
      <c r="C9" s="10">
        <f>Inputs!$C$29</f>
        <v>8</v>
      </c>
      <c r="D9" s="16">
        <f>SUM(C$7:C8)/Inputs!$C$24</f>
        <v>0.72499999999999998</v>
      </c>
      <c r="E9" s="16">
        <f>SUM(C$7:C9)/Inputs!$C$24</f>
        <v>0.82499999999999996</v>
      </c>
      <c r="F9" s="16">
        <f>SUM(C$7:C8)/'Capital Stack'!$C$4</f>
        <v>0.57999999999999996</v>
      </c>
      <c r="G9" s="16">
        <f>SUM(C$7:C9)/'Capital Stack'!$C$4</f>
        <v>0.66</v>
      </c>
    </row>
    <row r="10" spans="2:7" x14ac:dyDescent="0.25">
      <c r="B10" s="2" t="s">
        <v>140</v>
      </c>
      <c r="C10" s="10">
        <f>Inputs!$C$30</f>
        <v>14</v>
      </c>
      <c r="D10" s="16">
        <f>SUM(C$7:C9)/Inputs!$C$24</f>
        <v>0.82499999999999996</v>
      </c>
      <c r="E10" s="16">
        <f>SUM(C$7:C10)/Inputs!$C$24</f>
        <v>1</v>
      </c>
      <c r="F10" s="16">
        <f>SUM(C$7:C9)/'Capital Stack'!$C$4</f>
        <v>0.66</v>
      </c>
      <c r="G10" s="16">
        <f>SUM(C$7:C10)/'Capital Stack'!$C$4</f>
        <v>0.8</v>
      </c>
    </row>
    <row r="11" spans="2:7" x14ac:dyDescent="0.25">
      <c r="B11" s="13" t="s">
        <v>141</v>
      </c>
      <c r="C11" s="15" t="str">
        <f>IF(ABS(SUM(C7:C10)-Inputs!$C$24)&lt;0.001,"YES","NO")</f>
        <v>YES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D19"/>
  <sheetViews>
    <sheetView showGridLines="0" workbookViewId="0"/>
  </sheetViews>
  <sheetFormatPr baseColWidth="10" defaultColWidth="9.140625" defaultRowHeight="15" x14ac:dyDescent="0.25"/>
  <cols>
    <col min="1" max="1" width="2" customWidth="1"/>
    <col min="2" max="2" width="58" customWidth="1"/>
    <col min="3" max="3" width="14" customWidth="1"/>
    <col min="4" max="4" width="40" customWidth="1"/>
  </cols>
  <sheetData>
    <row r="1" spans="2:4" ht="9.9499999999999993" customHeight="1" x14ac:dyDescent="0.25"/>
    <row r="2" spans="2:4" ht="16.5" x14ac:dyDescent="0.25">
      <c r="B2" s="1" t="s">
        <v>142</v>
      </c>
      <c r="C2" s="3"/>
      <c r="D2" s="3"/>
    </row>
    <row r="4" spans="2:4" x14ac:dyDescent="0.25">
      <c r="B4" s="4" t="s">
        <v>95</v>
      </c>
      <c r="C4" s="4" t="s">
        <v>14</v>
      </c>
      <c r="D4" s="4" t="s">
        <v>15</v>
      </c>
    </row>
    <row r="5" spans="2:4" x14ac:dyDescent="0.25">
      <c r="B5" s="2" t="s">
        <v>128</v>
      </c>
      <c r="C5" s="11">
        <f>Inputs!$C$5+Inputs!$C$34</f>
        <v>7.5000000000000011E-2</v>
      </c>
      <c r="D5" s="2"/>
    </row>
    <row r="6" spans="2:4" x14ac:dyDescent="0.25">
      <c r="B6" s="2" t="s">
        <v>143</v>
      </c>
      <c r="C6" s="11">
        <f>(Inputs!$C$35+Inputs!$C$36)/Inputs!$C$37</f>
        <v>6.0000000000000001E-3</v>
      </c>
      <c r="D6" s="2"/>
    </row>
    <row r="7" spans="2:4" x14ac:dyDescent="0.25">
      <c r="B7" s="2" t="s">
        <v>144</v>
      </c>
      <c r="C7" s="11">
        <f>Leverage!$C$5+Leverage!$C$6</f>
        <v>8.1000000000000016E-2</v>
      </c>
      <c r="D7" s="2"/>
    </row>
    <row r="8" spans="2:4" x14ac:dyDescent="0.25">
      <c r="B8" s="2" t="s">
        <v>145</v>
      </c>
      <c r="C8" s="11">
        <f>Inputs!$C$5+Inputs!$C$39</f>
        <v>0.06</v>
      </c>
      <c r="D8" s="2"/>
    </row>
    <row r="9" spans="2:4" x14ac:dyDescent="0.25">
      <c r="B9" s="13" t="s">
        <v>146</v>
      </c>
      <c r="C9" s="20">
        <f>(Leverage!$C$7-Inputs!$C$38*Leverage!$C$8)/(1-Inputs!$C$38)</f>
        <v>0.13000000000000006</v>
      </c>
      <c r="D9" s="2"/>
    </row>
    <row r="10" spans="2:4" x14ac:dyDescent="0.25">
      <c r="B10" s="2" t="s">
        <v>147</v>
      </c>
      <c r="C10" s="11">
        <f>Inputs!$C$5+Inputs!$C$41</f>
        <v>5.8999999999999997E-2</v>
      </c>
      <c r="D10" s="2"/>
    </row>
    <row r="11" spans="2:4" x14ac:dyDescent="0.25">
      <c r="B11" s="13" t="s">
        <v>148</v>
      </c>
      <c r="C11" s="20">
        <f>(Leverage!$C$7-Inputs!$C$40*Leverage!$C$10)/(1-Inputs!$C$40)</f>
        <v>0.16900000000000012</v>
      </c>
      <c r="D11" s="2"/>
    </row>
    <row r="12" spans="2:4" x14ac:dyDescent="0.25">
      <c r="B12" s="2" t="s">
        <v>149</v>
      </c>
      <c r="C12" s="16">
        <f>((Leverage!$C$7+0.01)-Inputs!$C$38*(Leverage!$C$8+0.01))/(1-Inputs!$C$38)</f>
        <v>0.14000000000000004</v>
      </c>
      <c r="D12" s="2"/>
    </row>
    <row r="13" spans="2:4" x14ac:dyDescent="0.25">
      <c r="B13" s="4" t="s">
        <v>150</v>
      </c>
      <c r="C13" s="4" t="s">
        <v>14</v>
      </c>
      <c r="D13" s="4"/>
    </row>
    <row r="14" spans="2:4" x14ac:dyDescent="0.25">
      <c r="B14" s="2" t="s">
        <v>151</v>
      </c>
      <c r="C14" s="10">
        <f>Inputs!$C$32*Inputs!$C$33</f>
        <v>600</v>
      </c>
      <c r="D14" s="2"/>
    </row>
    <row r="15" spans="2:4" x14ac:dyDescent="0.25">
      <c r="B15" s="2" t="s">
        <v>152</v>
      </c>
      <c r="C15" s="10">
        <f>Inputs!$C$32*(1-Inputs!$C$33)</f>
        <v>149.99999999999997</v>
      </c>
      <c r="D15" s="2"/>
    </row>
    <row r="16" spans="2:4" x14ac:dyDescent="0.25">
      <c r="B16" s="2" t="s">
        <v>153</v>
      </c>
      <c r="C16" s="10">
        <f>Leverage!$C$14/(1-Inputs!$C$38)</f>
        <v>1999.9999999999998</v>
      </c>
      <c r="D16" s="2"/>
    </row>
    <row r="17" spans="2:4" x14ac:dyDescent="0.25">
      <c r="B17" s="2" t="s">
        <v>154</v>
      </c>
      <c r="C17" s="10">
        <f>Leverage!$C$16-Leverage!$C$14</f>
        <v>1399.9999999999998</v>
      </c>
      <c r="D17" s="2"/>
    </row>
    <row r="18" spans="2:4" x14ac:dyDescent="0.25">
      <c r="B18" s="2" t="s">
        <v>155</v>
      </c>
      <c r="C18" s="10">
        <f>Leverage!$C$16/Inputs!$C$43</f>
        <v>39.999999999999993</v>
      </c>
      <c r="D18" s="2"/>
    </row>
    <row r="19" spans="2:4" x14ac:dyDescent="0.25">
      <c r="B19" s="2" t="s">
        <v>156</v>
      </c>
      <c r="C19" s="10">
        <f>Leverage!$C$15/Inputs!$C$44</f>
        <v>14.999999999999996</v>
      </c>
      <c r="D19" s="2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F21"/>
  <sheetViews>
    <sheetView showGridLines="0" workbookViewId="0"/>
  </sheetViews>
  <sheetFormatPr baseColWidth="10" defaultColWidth="9.140625" defaultRowHeight="15" x14ac:dyDescent="0.25"/>
  <cols>
    <col min="1" max="1" width="2" customWidth="1"/>
    <col min="2" max="2" width="52" customWidth="1"/>
    <col min="3" max="6" width="12" customWidth="1"/>
  </cols>
  <sheetData>
    <row r="1" spans="2:6" ht="9.9499999999999993" customHeight="1" x14ac:dyDescent="0.25"/>
    <row r="2" spans="2:6" ht="16.5" x14ac:dyDescent="0.25">
      <c r="B2" s="1" t="s">
        <v>157</v>
      </c>
      <c r="C2" s="3"/>
      <c r="D2" s="3"/>
      <c r="E2" s="3"/>
      <c r="F2" s="3"/>
    </row>
    <row r="4" spans="2:6" x14ac:dyDescent="0.25">
      <c r="B4" s="4" t="s">
        <v>95</v>
      </c>
      <c r="C4" s="4" t="s">
        <v>14</v>
      </c>
      <c r="D4" s="4"/>
      <c r="E4" s="4"/>
      <c r="F4" s="4"/>
    </row>
    <row r="5" spans="2:6" x14ac:dyDescent="0.25">
      <c r="B5" s="2" t="s">
        <v>97</v>
      </c>
      <c r="C5" s="11">
        <f>Inputs!$C$5+Inputs!$C$70</f>
        <v>7.2500000000000009E-2</v>
      </c>
      <c r="D5" s="2"/>
    </row>
    <row r="6" spans="2:6" x14ac:dyDescent="0.25">
      <c r="B6" s="2" t="s">
        <v>158</v>
      </c>
      <c r="C6" s="16">
        <f>Inputs!$C$65/Inputs!$C$66</f>
        <v>0.703125</v>
      </c>
      <c r="D6" s="2"/>
    </row>
    <row r="7" spans="2:6" x14ac:dyDescent="0.25">
      <c r="B7" s="2" t="s">
        <v>159</v>
      </c>
      <c r="C7" s="10">
        <f>Inputs!$C$68/Inputs!$C$69</f>
        <v>37.5</v>
      </c>
      <c r="D7" s="2"/>
    </row>
    <row r="8" spans="2:6" x14ac:dyDescent="0.25">
      <c r="B8" s="2" t="s">
        <v>160</v>
      </c>
      <c r="C8" s="16">
        <f>Inputs!$C$65/Workout!$C$7</f>
        <v>1.2</v>
      </c>
      <c r="D8" s="2"/>
    </row>
    <row r="9" spans="2:6" x14ac:dyDescent="0.25">
      <c r="B9" s="2" t="s">
        <v>161</v>
      </c>
      <c r="C9" s="12">
        <f>Inputs!$C$68/(Inputs!$C$65*Workout!$C$5)</f>
        <v>0.91954022988505746</v>
      </c>
      <c r="D9" s="2"/>
    </row>
    <row r="10" spans="2:6" x14ac:dyDescent="0.25">
      <c r="B10" s="2" t="s">
        <v>162</v>
      </c>
      <c r="C10" s="10">
        <f>Inputs!$C$81*Inputs!$C$65</f>
        <v>31.499999999999996</v>
      </c>
      <c r="D10" s="2"/>
    </row>
    <row r="11" spans="2:6" x14ac:dyDescent="0.25">
      <c r="B11" s="13" t="s">
        <v>163</v>
      </c>
      <c r="C11" s="19">
        <f>Workout!$C$10-Inputs!$C$81*Inputs!$C$82*Inputs!$C$65</f>
        <v>6.3000000000000007</v>
      </c>
      <c r="D11" s="2"/>
    </row>
    <row r="12" spans="2:6" x14ac:dyDescent="0.25">
      <c r="B12" s="4" t="s">
        <v>164</v>
      </c>
      <c r="C12" s="4" t="s">
        <v>119</v>
      </c>
      <c r="D12" s="4" t="s">
        <v>120</v>
      </c>
      <c r="E12" s="4" t="s">
        <v>121</v>
      </c>
      <c r="F12" s="4" t="s">
        <v>122</v>
      </c>
    </row>
    <row r="13" spans="2:6" x14ac:dyDescent="0.25">
      <c r="B13" s="2" t="s">
        <v>165</v>
      </c>
      <c r="C13" s="12">
        <f>Inputs!$C$72</f>
        <v>4</v>
      </c>
      <c r="D13" s="12">
        <f>Inputs!$C$73*Workout!$C$5</f>
        <v>2.1750000000000003</v>
      </c>
      <c r="E13" s="12">
        <f>Inputs!$C$73*Workout!$C$5</f>
        <v>2.1750000000000003</v>
      </c>
      <c r="F13" s="12">
        <f>Inputs!$C$73*Workout!$C$5+Inputs!$C$73+Inputs!$C$74*(1+Workout!$C$5)^3*Inputs!$C$75</f>
        <v>37.603059243749996</v>
      </c>
    </row>
    <row r="14" spans="2:6" x14ac:dyDescent="0.25">
      <c r="B14" s="2" t="s">
        <v>166</v>
      </c>
      <c r="C14" s="12">
        <v>0</v>
      </c>
      <c r="D14" s="12">
        <f>-Inputs!$C$76</f>
        <v>-2.5</v>
      </c>
      <c r="E14" s="12">
        <f>-Inputs!$C$77+Inputs!$C$68</f>
        <v>-1</v>
      </c>
      <c r="F14" s="12">
        <f>Inputs!$C$68+Inputs!$C$78*(1-Inputs!$C$79)</f>
        <v>48.08</v>
      </c>
    </row>
    <row r="16" spans="2:6" x14ac:dyDescent="0.25">
      <c r="B16" s="4" t="s">
        <v>167</v>
      </c>
      <c r="C16" s="4" t="s">
        <v>14</v>
      </c>
      <c r="D16" s="4"/>
      <c r="E16" s="4"/>
      <c r="F16" s="4"/>
    </row>
    <row r="17" spans="2:4" x14ac:dyDescent="0.25">
      <c r="B17" s="2" t="s">
        <v>165</v>
      </c>
      <c r="C17" s="10">
        <f>C13+NPV(Inputs!$C$71,D13:F13)</f>
        <v>36.026528357438004</v>
      </c>
      <c r="D17" s="2"/>
    </row>
    <row r="18" spans="2:4" x14ac:dyDescent="0.25">
      <c r="B18" s="2" t="s">
        <v>168</v>
      </c>
      <c r="C18" s="10">
        <f>C14+NPV(Inputs!$C$71,D14:F14)</f>
        <v>33.024042073628841</v>
      </c>
      <c r="D18" s="2"/>
    </row>
    <row r="19" spans="2:4" x14ac:dyDescent="0.25">
      <c r="B19" s="2" t="s">
        <v>169</v>
      </c>
      <c r="C19" s="10">
        <f>Inputs!$C$80*Inputs!$C$65</f>
        <v>35.1</v>
      </c>
      <c r="D19" s="2"/>
    </row>
    <row r="20" spans="2:4" x14ac:dyDescent="0.25">
      <c r="B20" s="13" t="s">
        <v>170</v>
      </c>
      <c r="C20" s="15" t="str">
        <f>IF(MAX(Workout!$C$17,Workout!$C$18,Workout!$C$19)=Workout!$C$17,"A",IF(MAX(Workout!$C$17,Workout!$C$18,Workout!$C$19)=Workout!$C$18,"B","C"))</f>
        <v>A</v>
      </c>
      <c r="D20" s="2"/>
    </row>
    <row r="21" spans="2:4" x14ac:dyDescent="0.25">
      <c r="B21" s="13" t="s">
        <v>171</v>
      </c>
      <c r="C21" s="19">
        <f>Inputs!$C$65-Workout!$C$17</f>
        <v>8.9734716425619965</v>
      </c>
      <c r="D21" s="2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I28"/>
  <sheetViews>
    <sheetView showGridLines="0" workbookViewId="0"/>
  </sheetViews>
  <sheetFormatPr baseColWidth="10" defaultColWidth="9.140625" defaultRowHeight="15" x14ac:dyDescent="0.25"/>
  <cols>
    <col min="1" max="1" width="2" customWidth="1"/>
    <col min="2" max="2" width="46" customWidth="1"/>
    <col min="3" max="9" width="11" customWidth="1"/>
  </cols>
  <sheetData>
    <row r="1" spans="2:9" ht="9.9499999999999993" customHeight="1" x14ac:dyDescent="0.25"/>
    <row r="2" spans="2:9" ht="16.5" x14ac:dyDescent="0.25">
      <c r="B2" s="1" t="s">
        <v>172</v>
      </c>
      <c r="C2" s="3"/>
      <c r="D2" s="3"/>
      <c r="E2" s="3"/>
      <c r="F2" s="3"/>
      <c r="G2" s="3"/>
      <c r="H2" s="3"/>
      <c r="I2" s="3"/>
    </row>
    <row r="4" spans="2:9" x14ac:dyDescent="0.25">
      <c r="B4" s="4" t="s">
        <v>118</v>
      </c>
      <c r="C4" s="4" t="s">
        <v>173</v>
      </c>
      <c r="D4" s="4" t="s">
        <v>174</v>
      </c>
      <c r="E4" s="4" t="s">
        <v>175</v>
      </c>
      <c r="F4" s="4" t="s">
        <v>176</v>
      </c>
      <c r="G4" s="4" t="s">
        <v>177</v>
      </c>
      <c r="H4" s="4" t="s">
        <v>178</v>
      </c>
      <c r="I4" s="4" t="s">
        <v>179</v>
      </c>
    </row>
    <row r="5" spans="2:9" x14ac:dyDescent="0.25">
      <c r="B5" s="2" t="s">
        <v>180</v>
      </c>
      <c r="C5" s="10">
        <f>Inputs!$C$49</f>
        <v>300</v>
      </c>
      <c r="D5" s="10">
        <f>Inputs!$C$50</f>
        <v>300</v>
      </c>
      <c r="E5" s="10">
        <f>Inputs!$C$51</f>
        <v>150</v>
      </c>
      <c r="F5" s="10">
        <f>Inputs!$C$52</f>
        <v>0</v>
      </c>
      <c r="G5" s="10">
        <f>Inputs!$C$53</f>
        <v>0</v>
      </c>
      <c r="H5" s="10">
        <f>Inputs!$C$54</f>
        <v>0</v>
      </c>
      <c r="I5" s="10">
        <f>Inputs!$C$55</f>
        <v>0</v>
      </c>
    </row>
    <row r="6" spans="2:9" x14ac:dyDescent="0.25">
      <c r="B6" s="2" t="s">
        <v>181</v>
      </c>
      <c r="C6" s="10">
        <f>Inputs!$C$56*(Inputs!$C$49+Inputs!$C$50+Inputs!$C$51+Inputs!$C$52+Inputs!$C$53+Inputs!$C$54+Inputs!$C$55)</f>
        <v>0</v>
      </c>
      <c r="D6" s="10">
        <f>Inputs!$C$57*(Inputs!$C$49+Inputs!$C$50+Inputs!$C$51+Inputs!$C$52+Inputs!$C$53+Inputs!$C$54+Inputs!$C$55)</f>
        <v>0</v>
      </c>
      <c r="E6" s="10">
        <f>Inputs!$C$58*(Inputs!$C$49+Inputs!$C$50+Inputs!$C$51+Inputs!$C$52+Inputs!$C$53+Inputs!$C$54+Inputs!$C$55)</f>
        <v>0</v>
      </c>
      <c r="F6" s="10">
        <f>Inputs!$C$59*(Inputs!$C$49+Inputs!$C$50+Inputs!$C$51+Inputs!$C$52+Inputs!$C$53+Inputs!$C$54+Inputs!$C$55)</f>
        <v>0</v>
      </c>
      <c r="G6" s="10">
        <f>Inputs!$C$60*(Inputs!$C$49+Inputs!$C$50+Inputs!$C$51+Inputs!$C$52+Inputs!$C$53+Inputs!$C$54+Inputs!$C$55)</f>
        <v>225</v>
      </c>
      <c r="H6" s="10">
        <f>Inputs!$C$61*(Inputs!$C$49+Inputs!$C$50+Inputs!$C$51+Inputs!$C$52+Inputs!$C$53+Inputs!$C$54+Inputs!$C$55)</f>
        <v>300</v>
      </c>
      <c r="I6" s="10">
        <f>Inputs!$C$62*(Inputs!$C$49+Inputs!$C$50+Inputs!$C$51+Inputs!$C$52+Inputs!$C$53+Inputs!$C$54+Inputs!$C$55)</f>
        <v>225</v>
      </c>
    </row>
    <row r="7" spans="2:9" x14ac:dyDescent="0.25">
      <c r="B7" s="2" t="s">
        <v>182</v>
      </c>
      <c r="C7" s="10">
        <f>0+C5/2-C6/2</f>
        <v>150</v>
      </c>
      <c r="D7" s="10">
        <f t="shared" ref="D7:I7" si="0">C12+D5/2-D6/2</f>
        <v>450</v>
      </c>
      <c r="E7" s="10">
        <f t="shared" si="0"/>
        <v>675</v>
      </c>
      <c r="F7" s="10">
        <f t="shared" si="0"/>
        <v>750</v>
      </c>
      <c r="G7" s="10">
        <f t="shared" si="0"/>
        <v>637.5</v>
      </c>
      <c r="H7" s="10">
        <f t="shared" si="0"/>
        <v>375</v>
      </c>
      <c r="I7" s="10">
        <f t="shared" si="0"/>
        <v>112.5</v>
      </c>
    </row>
    <row r="8" spans="2:9" x14ac:dyDescent="0.25">
      <c r="B8" s="2" t="s">
        <v>183</v>
      </c>
      <c r="C8" s="10">
        <f>C7*(Inputs!$C$33*Leverage!$C$9+(1-Inputs!$C$33)*Inputs!$C$42)</f>
        <v>19.050000000000008</v>
      </c>
      <c r="D8" s="10">
        <f>D7*(Inputs!$C$33*Leverage!$C$9+(1-Inputs!$C$33)*Inputs!$C$42)</f>
        <v>57.150000000000027</v>
      </c>
      <c r="E8" s="10">
        <f>E7*(Inputs!$C$33*Leverage!$C$9+(1-Inputs!$C$33)*Inputs!$C$42)</f>
        <v>85.725000000000037</v>
      </c>
      <c r="F8" s="10">
        <f>F7*(Inputs!$C$33*Leverage!$C$9+(1-Inputs!$C$33)*Inputs!$C$42)</f>
        <v>95.250000000000043</v>
      </c>
      <c r="G8" s="10">
        <f>G7*(Inputs!$C$33*Leverage!$C$9+(1-Inputs!$C$33)*Inputs!$C$42)</f>
        <v>80.962500000000034</v>
      </c>
      <c r="H8" s="10">
        <f>H7*(Inputs!$C$33*Leverage!$C$9+(1-Inputs!$C$33)*Inputs!$C$42)</f>
        <v>47.625000000000021</v>
      </c>
      <c r="I8" s="10">
        <f>I7*(Inputs!$C$33*Leverage!$C$9+(1-Inputs!$C$33)*Inputs!$C$42)</f>
        <v>14.287500000000007</v>
      </c>
    </row>
    <row r="9" spans="2:9" x14ac:dyDescent="0.25">
      <c r="B9" s="2" t="s">
        <v>184</v>
      </c>
      <c r="C9" s="10">
        <f>C7*Inputs!$C$45</f>
        <v>1.875</v>
      </c>
      <c r="D9" s="10">
        <f>D7*Inputs!$C$45</f>
        <v>5.625</v>
      </c>
      <c r="E9" s="10">
        <f>E7*Inputs!$C$45</f>
        <v>8.4375</v>
      </c>
      <c r="F9" s="10">
        <f>F7*Inputs!$C$45</f>
        <v>9.375</v>
      </c>
      <c r="G9" s="10">
        <f>G7*Inputs!$C$45</f>
        <v>7.96875</v>
      </c>
      <c r="H9" s="10">
        <f>H7*Inputs!$C$45</f>
        <v>4.6875</v>
      </c>
      <c r="I9" s="10">
        <f>I7*Inputs!$C$45</f>
        <v>1.40625</v>
      </c>
    </row>
    <row r="10" spans="2:9" x14ac:dyDescent="0.25">
      <c r="B10" s="2" t="s">
        <v>185</v>
      </c>
      <c r="C10" s="10">
        <f>C7*Inputs!$C$46</f>
        <v>0.375</v>
      </c>
      <c r="D10" s="10">
        <f>D7*Inputs!$C$46</f>
        <v>1.125</v>
      </c>
      <c r="E10" s="10">
        <f>E7*Inputs!$C$46</f>
        <v>1.6875</v>
      </c>
      <c r="F10" s="10">
        <f>F7*Inputs!$C$46</f>
        <v>1.875</v>
      </c>
      <c r="G10" s="10">
        <f>G7*Inputs!$C$46</f>
        <v>1.59375</v>
      </c>
      <c r="H10" s="10">
        <f>H7*Inputs!$C$46</f>
        <v>0.9375</v>
      </c>
      <c r="I10" s="10">
        <f>I7*Inputs!$C$46</f>
        <v>0.28125</v>
      </c>
    </row>
    <row r="11" spans="2:9" x14ac:dyDescent="0.25">
      <c r="B11" s="2" t="s">
        <v>186</v>
      </c>
      <c r="C11" s="10">
        <f>IF(Inputs!$C$63=2024,Workout!$C$21,0)</f>
        <v>0</v>
      </c>
      <c r="D11" s="10">
        <f>IF(Inputs!$C$63=2025,Workout!$C$21,0)</f>
        <v>0</v>
      </c>
      <c r="E11" s="10">
        <f>IF(Inputs!$C$63=2026,Workout!$C$21,0)</f>
        <v>8.9734716425619965</v>
      </c>
      <c r="F11" s="10">
        <f>IF(Inputs!$C$63=2027,Workout!$C$21,0)</f>
        <v>0</v>
      </c>
      <c r="G11" s="10">
        <f>IF(Inputs!$C$63=2028,Workout!$C$21,0)</f>
        <v>0</v>
      </c>
      <c r="H11" s="10">
        <f>IF(Inputs!$C$63=2029,Workout!$C$21,0)</f>
        <v>0</v>
      </c>
      <c r="I11" s="10">
        <f>IF(Inputs!$C$63=2030,Workout!$C$21,0)</f>
        <v>0</v>
      </c>
    </row>
    <row r="12" spans="2:9" x14ac:dyDescent="0.25">
      <c r="B12" s="2" t="s">
        <v>187</v>
      </c>
      <c r="C12" s="10">
        <f>0+C5-C6</f>
        <v>300</v>
      </c>
      <c r="D12" s="10">
        <f t="shared" ref="D12:I12" si="1">C12+D5-D6</f>
        <v>600</v>
      </c>
      <c r="E12" s="10">
        <f t="shared" si="1"/>
        <v>750</v>
      </c>
      <c r="F12" s="10">
        <f t="shared" si="1"/>
        <v>750</v>
      </c>
      <c r="G12" s="10">
        <f t="shared" si="1"/>
        <v>525</v>
      </c>
      <c r="H12" s="10">
        <f t="shared" si="1"/>
        <v>225</v>
      </c>
      <c r="I12" s="10">
        <f t="shared" si="1"/>
        <v>0</v>
      </c>
    </row>
    <row r="13" spans="2:9" x14ac:dyDescent="0.25">
      <c r="B13" s="2" t="s">
        <v>188</v>
      </c>
      <c r="C13" s="10">
        <f t="shared" ref="C13:I13" si="2">-C5+C6+C8-C9-C10-C11</f>
        <v>-283.2</v>
      </c>
      <c r="D13" s="10">
        <f t="shared" si="2"/>
        <v>-249.59999999999997</v>
      </c>
      <c r="E13" s="10">
        <f t="shared" si="2"/>
        <v>-83.373471642561952</v>
      </c>
      <c r="F13" s="10">
        <f t="shared" si="2"/>
        <v>84.000000000000043</v>
      </c>
      <c r="G13" s="10">
        <f t="shared" si="2"/>
        <v>296.40000000000003</v>
      </c>
      <c r="H13" s="10">
        <f t="shared" si="2"/>
        <v>342</v>
      </c>
      <c r="I13" s="10">
        <f t="shared" si="2"/>
        <v>237.6</v>
      </c>
    </row>
    <row r="14" spans="2:9" x14ac:dyDescent="0.25">
      <c r="B14" s="2" t="s">
        <v>59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f>IF(IRR(C13:I13)&gt;Inputs!$C$48,Inputs!$C$47*SUM(C13:I13),0)</f>
        <v>51.573979253615711</v>
      </c>
    </row>
    <row r="15" spans="2:9" x14ac:dyDescent="0.25">
      <c r="B15" s="13" t="s">
        <v>189</v>
      </c>
      <c r="C15" s="19">
        <f t="shared" ref="C15:I15" si="3">C13-C14</f>
        <v>-283.2</v>
      </c>
      <c r="D15" s="19">
        <f t="shared" si="3"/>
        <v>-249.59999999999997</v>
      </c>
      <c r="E15" s="19">
        <f t="shared" si="3"/>
        <v>-83.373471642561952</v>
      </c>
      <c r="F15" s="19">
        <f t="shared" si="3"/>
        <v>84.000000000000043</v>
      </c>
      <c r="G15" s="19">
        <f t="shared" si="3"/>
        <v>296.40000000000003</v>
      </c>
      <c r="H15" s="19">
        <f t="shared" si="3"/>
        <v>342</v>
      </c>
      <c r="I15" s="19">
        <f t="shared" si="3"/>
        <v>186.02602074638429</v>
      </c>
    </row>
    <row r="16" spans="2:9" x14ac:dyDescent="0.25">
      <c r="B16" s="13" t="s">
        <v>190</v>
      </c>
      <c r="C16" s="10">
        <f t="shared" ref="C16:I16" si="4">-C5+C6+C8-C11</f>
        <v>-280.95</v>
      </c>
      <c r="D16" s="10">
        <f t="shared" si="4"/>
        <v>-242.84999999999997</v>
      </c>
      <c r="E16" s="10">
        <f t="shared" si="4"/>
        <v>-73.248471642561952</v>
      </c>
      <c r="F16" s="10">
        <f t="shared" si="4"/>
        <v>95.250000000000043</v>
      </c>
      <c r="G16" s="10">
        <f t="shared" si="4"/>
        <v>305.96250000000003</v>
      </c>
      <c r="H16" s="10">
        <f t="shared" si="4"/>
        <v>347.625</v>
      </c>
      <c r="I16" s="10">
        <f t="shared" si="4"/>
        <v>239.28749999999999</v>
      </c>
    </row>
    <row r="18" spans="2:3" x14ac:dyDescent="0.25">
      <c r="B18" s="13" t="s">
        <v>191</v>
      </c>
      <c r="C18" s="20">
        <f>IRR(C16:I16)</f>
        <v>0.13204430381832699</v>
      </c>
    </row>
    <row r="19" spans="2:3" x14ac:dyDescent="0.25">
      <c r="B19" s="13" t="s">
        <v>192</v>
      </c>
      <c r="C19" s="21">
        <f>(SUM(C5:I5)+SUM(C16:I16))/SUM(C5:I5)</f>
        <v>1.5214353711432511</v>
      </c>
    </row>
    <row r="20" spans="2:3" x14ac:dyDescent="0.25">
      <c r="B20" s="13" t="s">
        <v>193</v>
      </c>
      <c r="C20" s="20">
        <f>IRR(C13:I13)</f>
        <v>0.11516748246172814</v>
      </c>
    </row>
    <row r="21" spans="2:3" x14ac:dyDescent="0.25">
      <c r="B21" s="13" t="s">
        <v>194</v>
      </c>
      <c r="C21" s="20">
        <f>IRR(C15:I15)</f>
        <v>0.10185633050726239</v>
      </c>
    </row>
    <row r="22" spans="2:3" x14ac:dyDescent="0.25">
      <c r="B22" s="13" t="s">
        <v>195</v>
      </c>
      <c r="C22" s="21">
        <f>(SUM(C5:I5)+SUM(C15:I15))/SUM(C5:I5)</f>
        <v>1.3896700654717631</v>
      </c>
    </row>
    <row r="23" spans="2:3" x14ac:dyDescent="0.25">
      <c r="B23" s="13" t="s">
        <v>196</v>
      </c>
      <c r="C23" s="19">
        <f>SUM(C8:I8)</f>
        <v>400.05000000000018</v>
      </c>
    </row>
    <row r="24" spans="2:3" x14ac:dyDescent="0.25">
      <c r="B24" s="13" t="s">
        <v>197</v>
      </c>
      <c r="C24" s="19">
        <f>SUM(C9:I9)</f>
        <v>39.375</v>
      </c>
    </row>
    <row r="25" spans="2:3" x14ac:dyDescent="0.25">
      <c r="B25" s="13" t="s">
        <v>198</v>
      </c>
      <c r="C25" s="19">
        <f>SUM(C10:I10)</f>
        <v>7.875</v>
      </c>
    </row>
    <row r="26" spans="2:3" x14ac:dyDescent="0.25">
      <c r="B26" s="13" t="s">
        <v>199</v>
      </c>
      <c r="C26" s="19">
        <f>SUM(C14:I14)</f>
        <v>51.573979253615711</v>
      </c>
    </row>
    <row r="28" spans="2:3" x14ac:dyDescent="0.25">
      <c r="B28" s="2" t="s">
        <v>200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E35"/>
  <sheetViews>
    <sheetView showGridLines="0" workbookViewId="0"/>
  </sheetViews>
  <sheetFormatPr baseColWidth="10" defaultColWidth="9.140625" defaultRowHeight="15" x14ac:dyDescent="0.25"/>
  <cols>
    <col min="1" max="1" width="2" customWidth="1"/>
    <col min="2" max="2" width="62" customWidth="1"/>
    <col min="3" max="4" width="14" customWidth="1"/>
    <col min="5" max="5" width="10" customWidth="1"/>
  </cols>
  <sheetData>
    <row r="1" spans="2:5" ht="9.9499999999999993" customHeight="1" x14ac:dyDescent="0.25"/>
    <row r="2" spans="2:5" ht="16.5" x14ac:dyDescent="0.25">
      <c r="B2" s="1" t="s">
        <v>201</v>
      </c>
      <c r="C2" s="3"/>
      <c r="D2" s="3"/>
      <c r="E2" s="3"/>
    </row>
    <row r="4" spans="2:5" x14ac:dyDescent="0.25">
      <c r="B4" s="4" t="s">
        <v>202</v>
      </c>
      <c r="C4" s="4" t="s">
        <v>203</v>
      </c>
      <c r="D4" s="4" t="s">
        <v>204</v>
      </c>
      <c r="E4" s="4" t="s">
        <v>205</v>
      </c>
    </row>
    <row r="5" spans="2:5" x14ac:dyDescent="0.25">
      <c r="B5" s="2" t="s">
        <v>206</v>
      </c>
      <c r="C5" s="17">
        <v>41.25</v>
      </c>
      <c r="D5" s="17">
        <f>'Loan Sizing'!$C$9</f>
        <v>41.25</v>
      </c>
      <c r="E5" s="2" t="str">
        <f>IF(ABS(D5-C5)&lt;=0.005,"OK","CHECK")</f>
        <v>OK</v>
      </c>
    </row>
    <row r="6" spans="2:5" x14ac:dyDescent="0.25">
      <c r="B6" s="2" t="s">
        <v>207</v>
      </c>
      <c r="C6" s="17">
        <v>41.7</v>
      </c>
      <c r="D6" s="17">
        <f>'Loan Sizing'!$C$11</f>
        <v>41.739130434782602</v>
      </c>
      <c r="E6" s="2" t="str">
        <f>IF(ABS(D6-C6)&lt;=0.05,"OK","CHECK")</f>
        <v>OK</v>
      </c>
    </row>
    <row r="7" spans="2:5" x14ac:dyDescent="0.25">
      <c r="B7" s="2" t="s">
        <v>208</v>
      </c>
      <c r="C7" s="17">
        <v>42.4</v>
      </c>
      <c r="D7" s="17">
        <f>'Loan Sizing'!$C$12</f>
        <v>42.352941176470587</v>
      </c>
      <c r="E7" s="2" t="str">
        <f>IF(ABS(D7-C7)&lt;=0.05,"OK","CHECK")</f>
        <v>OK</v>
      </c>
    </row>
    <row r="8" spans="2:5" x14ac:dyDescent="0.25">
      <c r="B8" s="2" t="s">
        <v>209</v>
      </c>
      <c r="C8" s="17">
        <v>0.745</v>
      </c>
      <c r="D8" s="17">
        <f>'Loan Sizing'!$C$19</f>
        <v>0.74545454545454548</v>
      </c>
      <c r="E8" s="2" t="str">
        <f>IF(ABS(D8-C8)&lt;=0.0005,"OK","CHECK")</f>
        <v>OK</v>
      </c>
    </row>
    <row r="9" spans="2:5" x14ac:dyDescent="0.25">
      <c r="B9" s="2" t="s">
        <v>210</v>
      </c>
      <c r="C9" s="17">
        <v>0.68300000000000005</v>
      </c>
      <c r="D9" s="17">
        <f>'Loan Sizing'!$C$21</f>
        <v>0.68333333333333324</v>
      </c>
      <c r="E9" s="2" t="str">
        <f>IF(ABS(D9-C9)&lt;=0.0005,"OK","CHECK")</f>
        <v>OK</v>
      </c>
    </row>
    <row r="10" spans="2:5" x14ac:dyDescent="0.25">
      <c r="B10" s="2" t="s">
        <v>211</v>
      </c>
      <c r="C10" s="17">
        <v>8.7999999999999995E-2</v>
      </c>
      <c r="D10" s="17">
        <f>'Loan Sizing'!$C$23</f>
        <v>8.7804878048780496E-2</v>
      </c>
      <c r="E10" s="2" t="str">
        <f>IF(ABS(D10-C10)&lt;=0.0005,"OK","CHECK")</f>
        <v>OK</v>
      </c>
    </row>
    <row r="11" spans="2:5" x14ac:dyDescent="0.25">
      <c r="B11" s="2" t="s">
        <v>212</v>
      </c>
      <c r="C11" s="17">
        <v>0.89</v>
      </c>
      <c r="D11" s="17">
        <f>'Loan Sizing'!$C$25</f>
        <v>0.88888888888888884</v>
      </c>
      <c r="E11" s="2" t="str">
        <f>IF(ABS(D11-C11)&lt;=0.005,"OK","CHECK")</f>
        <v>OK</v>
      </c>
    </row>
    <row r="12" spans="2:5" x14ac:dyDescent="0.25">
      <c r="B12" s="2" t="s">
        <v>213</v>
      </c>
      <c r="C12" s="17">
        <v>1.17</v>
      </c>
      <c r="D12" s="17">
        <f>'Loan Sizing'!$C$28</f>
        <v>1.1707317073170729</v>
      </c>
      <c r="E12" s="2" t="str">
        <f>IF(ABS(D12-C12)&lt;=0.005,"OK","CHECK")</f>
        <v>OK</v>
      </c>
    </row>
    <row r="13" spans="2:5" x14ac:dyDescent="0.25">
      <c r="B13" s="2" t="s">
        <v>214</v>
      </c>
      <c r="C13" s="17">
        <v>8.0799999999999997E-2</v>
      </c>
      <c r="D13" s="17">
        <f>'Lender Yield'!$C$12</f>
        <v>8.0796631242451733E-2</v>
      </c>
      <c r="E13" s="2" t="str">
        <f>IF(ABS(D13-C13)&lt;=0.00005,"OK","CHECK")</f>
        <v>OK</v>
      </c>
    </row>
    <row r="14" spans="2:5" x14ac:dyDescent="0.25">
      <c r="B14" s="2" t="s">
        <v>215</v>
      </c>
      <c r="C14" s="17">
        <v>0.57999999999999996</v>
      </c>
      <c r="D14" s="17">
        <f>'Capital Stack'!$G$8</f>
        <v>0.57999999999999996</v>
      </c>
      <c r="E14" s="2" t="str">
        <f>IF(ABS(D14-C14)&lt;=0.0005,"OK","CHECK")</f>
        <v>OK</v>
      </c>
    </row>
    <row r="15" spans="2:5" x14ac:dyDescent="0.25">
      <c r="B15" s="2" t="s">
        <v>144</v>
      </c>
      <c r="C15" s="17">
        <v>8.1000000000000003E-2</v>
      </c>
      <c r="D15" s="17">
        <f>Leverage!$C$7</f>
        <v>8.1000000000000016E-2</v>
      </c>
      <c r="E15" s="2" t="str">
        <f>IF(ABS(D15-C15)&lt;=0.00005,"OK","CHECK")</f>
        <v>OK</v>
      </c>
    </row>
    <row r="16" spans="2:5" x14ac:dyDescent="0.25">
      <c r="B16" s="2" t="s">
        <v>216</v>
      </c>
      <c r="C16" s="17">
        <v>0.13</v>
      </c>
      <c r="D16" s="17">
        <f>Leverage!$C$9</f>
        <v>0.13000000000000006</v>
      </c>
      <c r="E16" s="2" t="str">
        <f>IF(ABS(D16-C16)&lt;=0.0005,"OK","CHECK")</f>
        <v>OK</v>
      </c>
    </row>
    <row r="17" spans="2:5" x14ac:dyDescent="0.25">
      <c r="B17" s="2" t="s">
        <v>148</v>
      </c>
      <c r="C17" s="17">
        <v>0.16900000000000001</v>
      </c>
      <c r="D17" s="17">
        <f>Leverage!$C$11</f>
        <v>0.16900000000000012</v>
      </c>
      <c r="E17" s="2" t="str">
        <f>IF(ABS(D17-C17)&lt;=0.0005,"OK","CHECK")</f>
        <v>OK</v>
      </c>
    </row>
    <row r="18" spans="2:5" x14ac:dyDescent="0.25">
      <c r="B18" s="2" t="s">
        <v>217</v>
      </c>
      <c r="C18" s="17">
        <v>0.14000000000000001</v>
      </c>
      <c r="D18" s="17">
        <f>Leverage!$C$12</f>
        <v>0.14000000000000004</v>
      </c>
      <c r="E18" s="2" t="str">
        <f>IF(ABS(D18-C18)&lt;=0.0005,"OK","CHECK")</f>
        <v>OK</v>
      </c>
    </row>
    <row r="19" spans="2:5" x14ac:dyDescent="0.25">
      <c r="B19" s="2" t="s">
        <v>153</v>
      </c>
      <c r="C19" s="17">
        <v>2000</v>
      </c>
      <c r="D19" s="17">
        <f>Leverage!$C$16</f>
        <v>1999.9999999999998</v>
      </c>
      <c r="E19" s="2" t="str">
        <f>IF(ABS(D19-C19)&lt;=0.5,"OK","CHECK")</f>
        <v>OK</v>
      </c>
    </row>
    <row r="20" spans="2:5" x14ac:dyDescent="0.25">
      <c r="B20" s="2" t="s">
        <v>218</v>
      </c>
      <c r="C20" s="17">
        <v>6.3</v>
      </c>
      <c r="D20" s="17">
        <f>Workout!$C$11</f>
        <v>6.3000000000000007</v>
      </c>
      <c r="E20" s="2" t="str">
        <f>IF(ABS(D20-C20)&lt;=0.05,"OK","CHECK")</f>
        <v>OK</v>
      </c>
    </row>
    <row r="21" spans="2:5" x14ac:dyDescent="0.25">
      <c r="B21" s="2" t="s">
        <v>219</v>
      </c>
      <c r="C21" s="17">
        <v>36</v>
      </c>
      <c r="D21" s="17">
        <f>Workout!$C$17</f>
        <v>36.026528357438004</v>
      </c>
      <c r="E21" s="2" t="str">
        <f>IF(ABS(D21-C21)&lt;=0.05,"OK","CHECK")</f>
        <v>OK</v>
      </c>
    </row>
    <row r="22" spans="2:5" x14ac:dyDescent="0.25">
      <c r="B22" s="2" t="s">
        <v>220</v>
      </c>
      <c r="C22" s="17">
        <v>33</v>
      </c>
      <c r="D22" s="17">
        <f>Workout!$C$18</f>
        <v>33.024042073628841</v>
      </c>
      <c r="E22" s="2" t="str">
        <f>IF(ABS(D22-C22)&lt;=0.05,"OK","CHECK")</f>
        <v>OK</v>
      </c>
    </row>
    <row r="23" spans="2:5" x14ac:dyDescent="0.25">
      <c r="B23" s="2" t="s">
        <v>221</v>
      </c>
      <c r="C23" s="17">
        <v>35.1</v>
      </c>
      <c r="D23" s="17">
        <f>Workout!$C$19</f>
        <v>35.1</v>
      </c>
      <c r="E23" s="2" t="str">
        <f>IF(ABS(D23-C23)&lt;=0.05,"OK","CHECK")</f>
        <v>OK</v>
      </c>
    </row>
    <row r="24" spans="2:5" x14ac:dyDescent="0.25">
      <c r="B24" s="2" t="s">
        <v>222</v>
      </c>
      <c r="C24" s="17">
        <v>9</v>
      </c>
      <c r="D24" s="17">
        <f>Workout!$C$21</f>
        <v>8.9734716425619965</v>
      </c>
      <c r="E24" s="2" t="str">
        <f>IF(ABS(D24-C24)&lt;=0.05,"OK","CHECK")</f>
        <v>OK</v>
      </c>
    </row>
    <row r="25" spans="2:5" x14ac:dyDescent="0.25">
      <c r="B25" s="2" t="s">
        <v>223</v>
      </c>
      <c r="C25" s="17">
        <v>0.13200000000000001</v>
      </c>
      <c r="D25" s="17">
        <f>'Fund II'!$C$18</f>
        <v>0.13204430381832699</v>
      </c>
      <c r="E25" s="2" t="str">
        <f>IF(ABS(D25-C25)&lt;=0.0005,"OK","CHECK")</f>
        <v>OK</v>
      </c>
    </row>
    <row r="26" spans="2:5" x14ac:dyDescent="0.25">
      <c r="B26" s="2" t="s">
        <v>224</v>
      </c>
      <c r="C26" s="17">
        <v>1.52</v>
      </c>
      <c r="D26" s="17">
        <f>'Fund II'!$C$19</f>
        <v>1.5214353711432511</v>
      </c>
      <c r="E26" s="2" t="str">
        <f>IF(ABS(D26-C26)&lt;=0.005,"OK","CHECK")</f>
        <v>OK</v>
      </c>
    </row>
    <row r="27" spans="2:5" x14ac:dyDescent="0.25">
      <c r="B27" s="2" t="s">
        <v>225</v>
      </c>
      <c r="C27" s="17">
        <v>0.115</v>
      </c>
      <c r="D27" s="17">
        <f>'Fund II'!$C$20</f>
        <v>0.11516748246172814</v>
      </c>
      <c r="E27" s="2" t="str">
        <f>IF(ABS(D27-C27)&lt;=0.0005,"OK","CHECK")</f>
        <v>OK</v>
      </c>
    </row>
    <row r="28" spans="2:5" x14ac:dyDescent="0.25">
      <c r="B28" s="2" t="s">
        <v>226</v>
      </c>
      <c r="C28" s="17">
        <v>0.10199999999999999</v>
      </c>
      <c r="D28" s="17">
        <f>'Fund II'!$C$21</f>
        <v>0.10185633050726239</v>
      </c>
      <c r="E28" s="2" t="str">
        <f>IF(ABS(D28-C28)&lt;=0.0005,"OK","CHECK")</f>
        <v>OK</v>
      </c>
    </row>
    <row r="29" spans="2:5" x14ac:dyDescent="0.25">
      <c r="B29" s="2" t="s">
        <v>227</v>
      </c>
      <c r="C29" s="17">
        <v>1.39</v>
      </c>
      <c r="D29" s="17">
        <f>'Fund II'!$C$22</f>
        <v>1.3896700654717631</v>
      </c>
      <c r="E29" s="2" t="str">
        <f>IF(ABS(D29-C29)&lt;=0.005,"OK","CHECK")</f>
        <v>OK</v>
      </c>
    </row>
    <row r="30" spans="2:5" x14ac:dyDescent="0.25">
      <c r="B30" s="2" t="s">
        <v>228</v>
      </c>
      <c r="C30" s="17">
        <v>39.4</v>
      </c>
      <c r="D30" s="17">
        <f>'Fund II'!$C$24</f>
        <v>39.375</v>
      </c>
      <c r="E30" s="2" t="str">
        <f>IF(ABS(D30-C30)&lt;=0.05,"OK","CHECK")</f>
        <v>OK</v>
      </c>
    </row>
    <row r="31" spans="2:5" x14ac:dyDescent="0.25">
      <c r="B31" s="2" t="s">
        <v>229</v>
      </c>
      <c r="C31" s="17">
        <v>7.9</v>
      </c>
      <c r="D31" s="17">
        <f>'Fund II'!$C$25</f>
        <v>7.875</v>
      </c>
      <c r="E31" s="2" t="str">
        <f>IF(ABS(D31-C31)&lt;=0.05,"OK","CHECK")</f>
        <v>OK</v>
      </c>
    </row>
    <row r="32" spans="2:5" x14ac:dyDescent="0.25">
      <c r="B32" s="2" t="s">
        <v>230</v>
      </c>
      <c r="C32" s="17">
        <v>51.6</v>
      </c>
      <c r="D32" s="17">
        <f>'Fund II'!$C$26</f>
        <v>51.573979253615711</v>
      </c>
      <c r="E32" s="2" t="str">
        <f>IF(ABS(D32-C32)&lt;=0.05,"OK","CHECK")</f>
        <v>OK</v>
      </c>
    </row>
    <row r="34" spans="2:4" x14ac:dyDescent="0.25">
      <c r="B34" s="15" t="s">
        <v>231</v>
      </c>
      <c r="D34" s="15" t="str">
        <f>IF(COUNTIF(E5:E32,"OK")=28,"ALL CHECKS OK","SOME CHECKS FAIL")</f>
        <v>ALL CHECKS OK</v>
      </c>
    </row>
    <row r="35" spans="2:4" x14ac:dyDescent="0.25">
      <c r="B35" s="2" t="s">
        <v>232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Read Me</vt:lpstr>
      <vt:lpstr>Inputs</vt:lpstr>
      <vt:lpstr>Loan Sizing</vt:lpstr>
      <vt:lpstr>Lender Yield</vt:lpstr>
      <vt:lpstr>Capital Stack</vt:lpstr>
      <vt:lpstr>Leverage</vt:lpstr>
      <vt:lpstr>Workout</vt:lpstr>
      <vt:lpstr>Fund II</vt:lpstr>
      <vt:lpstr>Checks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Marc Sancho</cp:lastModifiedBy>
  <dcterms:created xsi:type="dcterms:W3CDTF">2026-10-10T21:07:55Z</dcterms:created>
  <dcterms:modified xsi:type="dcterms:W3CDTF">2026-10-10T21:07:58Z</dcterms:modified>
</cp:coreProperties>
</file>